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C:\Users\DELL\Documents\TRABALHOS MARIA TERESA\TRAB 2024\ICM 2\QUANT INST DIVERSAS\"/>
    </mc:Choice>
  </mc:AlternateContent>
  <xr:revisionPtr revIDLastSave="0" documentId="8_{FA818252-EEE1-4C60-8429-1A125FA21F65}" xr6:coauthVersionLast="47" xr6:coauthVersionMax="47" xr10:uidLastSave="{00000000-0000-0000-0000-000000000000}"/>
  <bookViews>
    <workbookView xWindow="768" yWindow="768" windowWidth="17304" windowHeight="8880" tabRatio="842" xr2:uid="{00000000-000D-0000-FFFF-FFFF00000000}"/>
  </bookViews>
  <sheets>
    <sheet name="2024 R0" sheetId="33" r:id="rId1"/>
    <sheet name="EXCLUSOES" sheetId="18" r:id="rId2"/>
    <sheet name="AREAS" sheetId="26" r:id="rId3"/>
    <sheet name="MDO" sheetId="29" r:id="rId4"/>
    <sheet name="AUTOM" sheetId="31" r:id="rId5"/>
    <sheet name="Gases" sheetId="30" r:id="rId6"/>
    <sheet name="LUM" sheetId="34" r:id="rId7"/>
    <sheet name="REU" sheetId="35" r:id="rId8"/>
    <sheet name="BACK" sheetId="36" r:id="rId9"/>
    <sheet name="OBS" sheetId="37" r:id="rId10"/>
  </sheets>
  <definedNames>
    <definedName name="_xlnm._FilterDatabase" localSheetId="0" hidden="1">'2024 R0'!$A$6:$AL$2020</definedName>
    <definedName name="_xlnm._FilterDatabase" localSheetId="8" hidden="1">BACK!$A$3:$K$48</definedName>
    <definedName name="_xlnm.Print_Area" localSheetId="0">'2024 R0'!$A$1:$D$2002</definedName>
    <definedName name="_xlnm.Print_Titles" localSheetId="0">'2024 R0'!$1:$4</definedName>
    <definedName name="_xlnm.Print_Titles" localSheetId="1">EXCLUSOES!$1:$5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1091" i="33" l="1"/>
  <c r="AD1091" i="33"/>
  <c r="AG1090" i="33"/>
  <c r="AD1090" i="33"/>
  <c r="AG1089" i="33"/>
  <c r="AD1089" i="33"/>
  <c r="AG1088" i="33"/>
  <c r="AD1088" i="33"/>
  <c r="AG1095" i="33"/>
  <c r="AD1095" i="33"/>
  <c r="AG1094" i="33"/>
  <c r="AD1094" i="33"/>
  <c r="AG1093" i="33"/>
  <c r="AD1093" i="33"/>
  <c r="AG1092" i="33"/>
  <c r="AD1092" i="33"/>
  <c r="D1098" i="33"/>
  <c r="AD1098" i="33" s="1"/>
  <c r="D1079" i="33"/>
  <c r="AG1079" i="33" s="1"/>
  <c r="D1078" i="33"/>
  <c r="AG1078" i="33" s="1"/>
  <c r="D1077" i="33"/>
  <c r="D1076" i="33"/>
  <c r="D1083" i="33"/>
  <c r="AD1083" i="33" s="1"/>
  <c r="D1082" i="33"/>
  <c r="AD1082" i="33" s="1"/>
  <c r="D1081" i="33"/>
  <c r="AD1081" i="33" s="1"/>
  <c r="D1080" i="33"/>
  <c r="AD1080" i="33" s="1"/>
  <c r="D1085" i="33"/>
  <c r="AG1085" i="33" s="1"/>
  <c r="D1084" i="33"/>
  <c r="AG1063" i="33"/>
  <c r="AD1063" i="33"/>
  <c r="D1056" i="33"/>
  <c r="AD1056" i="33" s="1"/>
  <c r="D1057" i="33"/>
  <c r="AG1057" i="33" s="1"/>
  <c r="D906" i="33"/>
  <c r="AD906" i="33" s="1"/>
  <c r="D905" i="33"/>
  <c r="AD905" i="33" s="1"/>
  <c r="D904" i="33"/>
  <c r="AD904" i="33" s="1"/>
  <c r="D903" i="33"/>
  <c r="AD903" i="33" s="1"/>
  <c r="D907" i="33"/>
  <c r="AD907" i="33" s="1"/>
  <c r="D898" i="33"/>
  <c r="AD898" i="33" s="1"/>
  <c r="D892" i="33"/>
  <c r="AD892" i="33" s="1"/>
  <c r="D877" i="33"/>
  <c r="AD877" i="33" s="1"/>
  <c r="D878" i="33"/>
  <c r="D872" i="33"/>
  <c r="AD872" i="33" s="1"/>
  <c r="AD1085" i="33" l="1"/>
  <c r="AD1078" i="33"/>
  <c r="AG1081" i="33"/>
  <c r="AE1081" i="33"/>
  <c r="AG1083" i="33"/>
  <c r="AE1082" i="33"/>
  <c r="AE1083" i="33"/>
  <c r="AD1084" i="33"/>
  <c r="AE1080" i="33"/>
  <c r="AD1077" i="33"/>
  <c r="AG1080" i="33"/>
  <c r="AG1082" i="33"/>
  <c r="AD1076" i="33"/>
  <c r="AD1079" i="33"/>
  <c r="AG1098" i="33"/>
  <c r="AG1084" i="33"/>
  <c r="AG1077" i="33"/>
  <c r="AG1076" i="33"/>
  <c r="AE1095" i="33"/>
  <c r="AE1089" i="33"/>
  <c r="AE1090" i="33"/>
  <c r="AE1091" i="33"/>
  <c r="AE1092" i="33"/>
  <c r="AE1094" i="33"/>
  <c r="AE1093" i="33"/>
  <c r="AE1079" i="33"/>
  <c r="AE1085" i="33"/>
  <c r="AE1078" i="33"/>
  <c r="AG1056" i="33"/>
  <c r="AE1056" i="33"/>
  <c r="AD1057" i="33"/>
  <c r="AG907" i="33"/>
  <c r="AG904" i="33"/>
  <c r="AE898" i="33"/>
  <c r="AG906" i="33"/>
  <c r="D909" i="33"/>
  <c r="AG909" i="33" s="1"/>
  <c r="D908" i="33"/>
  <c r="AD908" i="33" s="1"/>
  <c r="AE905" i="33"/>
  <c r="AG905" i="33"/>
  <c r="AE904" i="33"/>
  <c r="AE906" i="33"/>
  <c r="AG903" i="33"/>
  <c r="AE907" i="33"/>
  <c r="AG892" i="33"/>
  <c r="AG898" i="33"/>
  <c r="AE892" i="33"/>
  <c r="AD878" i="33"/>
  <c r="AG878" i="33"/>
  <c r="AG877" i="33"/>
  <c r="AE877" i="33"/>
  <c r="AG872" i="33"/>
  <c r="AE872" i="33"/>
  <c r="AE1084" i="33" l="1"/>
  <c r="AE1076" i="33"/>
  <c r="AE1098" i="33"/>
  <c r="AE1077" i="33"/>
  <c r="AE1088" i="33"/>
  <c r="AE1063" i="33"/>
  <c r="AE1057" i="33"/>
  <c r="AE903" i="33"/>
  <c r="AD909" i="33"/>
  <c r="AE908" i="33"/>
  <c r="AG908" i="33"/>
  <c r="AE878" i="33"/>
  <c r="AE909" i="33" l="1"/>
  <c r="AC857" i="33" l="1"/>
  <c r="T857" i="33"/>
  <c r="T882" i="33" s="1"/>
  <c r="S857" i="33"/>
  <c r="S876" i="33" l="1"/>
  <c r="S882" i="33"/>
  <c r="AC876" i="33"/>
  <c r="AC882" i="33"/>
  <c r="T871" i="33"/>
  <c r="T876" i="33"/>
  <c r="S870" i="33"/>
  <c r="S871" i="33"/>
  <c r="AC870" i="33"/>
  <c r="AC871" i="33"/>
  <c r="D994" i="33" l="1"/>
  <c r="AH1968" i="33" l="1"/>
  <c r="AH1966" i="33"/>
  <c r="AH1965" i="33"/>
  <c r="AH1963" i="33"/>
  <c r="AH1959" i="33"/>
  <c r="AH1943" i="33"/>
  <c r="D1376" i="33" l="1"/>
  <c r="D1373" i="33" l="1"/>
  <c r="AG1373" i="33" s="1"/>
  <c r="D1371" i="33"/>
  <c r="D1372" i="33"/>
  <c r="AD1372" i="33" s="1"/>
  <c r="AD1373" i="33" l="1"/>
  <c r="AG1372" i="33"/>
  <c r="AD1371" i="33"/>
  <c r="AG1371" i="33"/>
  <c r="AE1372" i="33"/>
  <c r="AE1373" i="33" l="1"/>
  <c r="AE1371" i="33"/>
  <c r="AE426" i="33"/>
  <c r="AE593" i="33"/>
  <c r="AE1374" i="33"/>
  <c r="AE1391" i="33"/>
  <c r="AE1942" i="33"/>
  <c r="AE1958" i="33"/>
  <c r="AE1964" i="33"/>
  <c r="AE1967" i="33"/>
  <c r="D1002" i="33"/>
  <c r="AD1002" i="33" s="1"/>
  <c r="D1001" i="33"/>
  <c r="AG1001" i="33" s="1"/>
  <c r="D999" i="33"/>
  <c r="AG999" i="33" s="1"/>
  <c r="T998" i="33"/>
  <c r="AE1002" i="33" l="1"/>
  <c r="AG1002" i="33"/>
  <c r="AD1001" i="33"/>
  <c r="AD999" i="33"/>
  <c r="D997" i="33"/>
  <c r="AG997" i="33" s="1"/>
  <c r="D996" i="33"/>
  <c r="AG996" i="33" s="1"/>
  <c r="AE1001" i="33" l="1"/>
  <c r="AE999" i="33"/>
  <c r="AD997" i="33"/>
  <c r="AD996" i="33"/>
  <c r="AE997" i="33" l="1"/>
  <c r="AE996" i="33"/>
  <c r="AB1387" i="33"/>
  <c r="D1386" i="33"/>
  <c r="AD1386" i="33" l="1"/>
  <c r="AG1386" i="33"/>
  <c r="D1370" i="33"/>
  <c r="AG1370" i="33" s="1"/>
  <c r="AE1386" i="33" l="1"/>
  <c r="AD1370" i="33"/>
  <c r="AB1379" i="33"/>
  <c r="D1379" i="33" s="1"/>
  <c r="AG1379" i="33" s="1"/>
  <c r="AB1378" i="33"/>
  <c r="D1378" i="33" s="1"/>
  <c r="AD1378" i="33" s="1"/>
  <c r="D1383" i="33"/>
  <c r="D1382" i="33"/>
  <c r="AG1382" i="33" s="1"/>
  <c r="D1381" i="33"/>
  <c r="AD1381" i="33" s="1"/>
  <c r="D1380" i="33"/>
  <c r="AG1380" i="33" s="1"/>
  <c r="D1377" i="33"/>
  <c r="AG1393" i="33"/>
  <c r="AD1393" i="33"/>
  <c r="AE1393" i="33" s="1"/>
  <c r="D1392" i="33"/>
  <c r="AD1392" i="33" s="1"/>
  <c r="D1363" i="33"/>
  <c r="AG1363" i="33" s="1"/>
  <c r="D1339" i="33"/>
  <c r="D1289" i="33"/>
  <c r="AG1289" i="33" s="1"/>
  <c r="AB101" i="33"/>
  <c r="D1894" i="33"/>
  <c r="AB1875" i="33"/>
  <c r="AB1876" i="33" s="1"/>
  <c r="AB1877" i="33" s="1"/>
  <c r="AB1878" i="33" s="1"/>
  <c r="AB1867" i="33"/>
  <c r="AB1866" i="33"/>
  <c r="AB1865" i="33"/>
  <c r="AB1864" i="33"/>
  <c r="AB1863" i="33"/>
  <c r="AB1862" i="33"/>
  <c r="AB1861" i="33"/>
  <c r="AB1807" i="33"/>
  <c r="D1735" i="33"/>
  <c r="AG1735" i="33" s="1"/>
  <c r="AB1757" i="33"/>
  <c r="AB1952" i="33"/>
  <c r="AB1951" i="33"/>
  <c r="AB1947" i="33"/>
  <c r="AB1924" i="33" s="1"/>
  <c r="AB1925" i="33" s="1"/>
  <c r="AA1947" i="33"/>
  <c r="AE1370" i="33" l="1"/>
  <c r="AG1392" i="33"/>
  <c r="AG1378" i="33"/>
  <c r="AE1381" i="33"/>
  <c r="AG1381" i="33"/>
  <c r="AE1392" i="33"/>
  <c r="AE1378" i="33"/>
  <c r="AD1377" i="33"/>
  <c r="AD1383" i="33"/>
  <c r="AG1377" i="33"/>
  <c r="AD1382" i="33"/>
  <c r="AG1383" i="33"/>
  <c r="AD1380" i="33"/>
  <c r="AD1379" i="33"/>
  <c r="AD1363" i="33"/>
  <c r="AD1339" i="33"/>
  <c r="AG1339" i="33"/>
  <c r="AD1289" i="33"/>
  <c r="AD1894" i="33"/>
  <c r="AG1894" i="33"/>
  <c r="AB1880" i="33"/>
  <c r="AB1879" i="33"/>
  <c r="AD1735" i="33"/>
  <c r="D1957" i="33"/>
  <c r="D1956" i="33"/>
  <c r="D1965" i="33"/>
  <c r="D1963" i="33"/>
  <c r="AG1963" i="33" s="1"/>
  <c r="D1962" i="33"/>
  <c r="AD1962" i="33" s="1"/>
  <c r="D1961" i="33"/>
  <c r="AG1961" i="33" s="1"/>
  <c r="D1960" i="33"/>
  <c r="AD1960" i="33" s="1"/>
  <c r="D1959" i="33"/>
  <c r="AG1959" i="33" s="1"/>
  <c r="D1953" i="33"/>
  <c r="AA1952" i="33"/>
  <c r="Z1952" i="33"/>
  <c r="Y1952" i="33"/>
  <c r="X1952" i="33"/>
  <c r="W1952" i="33"/>
  <c r="V1952" i="33"/>
  <c r="U1952" i="33"/>
  <c r="R1952" i="33"/>
  <c r="Q1952" i="33"/>
  <c r="P1952" i="33"/>
  <c r="O1952" i="33"/>
  <c r="N1952" i="33"/>
  <c r="M1952" i="33"/>
  <c r="L1952" i="33"/>
  <c r="J1952" i="33"/>
  <c r="I1952" i="33"/>
  <c r="K1950" i="33"/>
  <c r="K1952" i="33" s="1"/>
  <c r="H1950" i="33"/>
  <c r="D1943" i="33"/>
  <c r="AE1379" i="33" l="1"/>
  <c r="AE1339" i="33"/>
  <c r="AE1363" i="33"/>
  <c r="AE1894" i="33"/>
  <c r="AE1735" i="33"/>
  <c r="AE1382" i="33"/>
  <c r="AE1289" i="33"/>
  <c r="AE1383" i="33"/>
  <c r="AE1380" i="33"/>
  <c r="AE1377" i="33"/>
  <c r="AD1957" i="33"/>
  <c r="AG1957" i="33"/>
  <c r="AD1956" i="33"/>
  <c r="AG1956" i="33"/>
  <c r="AG1965" i="33"/>
  <c r="AD1963" i="33"/>
  <c r="AD1965" i="33"/>
  <c r="AD1959" i="33"/>
  <c r="D1950" i="33"/>
  <c r="H1952" i="33"/>
  <c r="D1952" i="33" s="1"/>
  <c r="AG1962" i="33"/>
  <c r="AE1962" i="33"/>
  <c r="AD1961" i="33"/>
  <c r="AG1960" i="33"/>
  <c r="AE1960" i="33"/>
  <c r="AD1953" i="33"/>
  <c r="AG1953" i="33"/>
  <c r="AD1943" i="33"/>
  <c r="AG1943" i="33"/>
  <c r="D1053" i="33"/>
  <c r="AG1053" i="33" s="1"/>
  <c r="AE1963" i="33" l="1"/>
  <c r="AE1956" i="33"/>
  <c r="AE1953" i="33"/>
  <c r="AE1943" i="33"/>
  <c r="AE1957" i="33"/>
  <c r="AE1961" i="33"/>
  <c r="AE1965" i="33"/>
  <c r="AE1959" i="33"/>
  <c r="AG1950" i="33"/>
  <c r="AD1950" i="33"/>
  <c r="AE1950" i="33" s="1"/>
  <c r="AG1952" i="33"/>
  <c r="AD1952" i="33"/>
  <c r="AE1952" i="33" s="1"/>
  <c r="AD1053" i="33"/>
  <c r="H23" i="29"/>
  <c r="B19" i="29"/>
  <c r="H17" i="29"/>
  <c r="B15" i="29"/>
  <c r="C7" i="29"/>
  <c r="C6" i="29"/>
  <c r="AC328" i="33"/>
  <c r="AB328" i="33"/>
  <c r="AA328" i="33"/>
  <c r="Z328" i="33"/>
  <c r="Y328" i="33"/>
  <c r="X328" i="33"/>
  <c r="W328" i="33"/>
  <c r="V328" i="33"/>
  <c r="U328" i="33"/>
  <c r="T328" i="33"/>
  <c r="S328" i="33"/>
  <c r="R328" i="33"/>
  <c r="Q328" i="33"/>
  <c r="P328" i="33"/>
  <c r="O328" i="33"/>
  <c r="N328" i="33"/>
  <c r="M328" i="33"/>
  <c r="L328" i="33"/>
  <c r="K328" i="33"/>
  <c r="J328" i="33"/>
  <c r="I328" i="33"/>
  <c r="H328" i="33"/>
  <c r="G328" i="33"/>
  <c r="AE1053" i="33" l="1"/>
  <c r="X983" i="33"/>
  <c r="Z968" i="33"/>
  <c r="AA968" i="33"/>
  <c r="Y963" i="33"/>
  <c r="Y967" i="33" s="1"/>
  <c r="H967" i="33"/>
  <c r="I967" i="33"/>
  <c r="J967" i="33"/>
  <c r="K967" i="33"/>
  <c r="L967" i="33"/>
  <c r="M967" i="33"/>
  <c r="N967" i="33"/>
  <c r="O967" i="33"/>
  <c r="P967" i="33"/>
  <c r="Q967" i="33"/>
  <c r="R967" i="33"/>
  <c r="S967" i="33"/>
  <c r="T967" i="33"/>
  <c r="U967" i="33"/>
  <c r="V967" i="33"/>
  <c r="W967" i="33"/>
  <c r="X967" i="33"/>
  <c r="Z967" i="33"/>
  <c r="AA967" i="33"/>
  <c r="AB967" i="33"/>
  <c r="AC967" i="33"/>
  <c r="H968" i="33"/>
  <c r="I968" i="33"/>
  <c r="J968" i="33"/>
  <c r="K968" i="33"/>
  <c r="L968" i="33"/>
  <c r="M968" i="33"/>
  <c r="N968" i="33"/>
  <c r="O968" i="33"/>
  <c r="P968" i="33"/>
  <c r="Q968" i="33"/>
  <c r="R968" i="33"/>
  <c r="S968" i="33"/>
  <c r="T968" i="33"/>
  <c r="U968" i="33"/>
  <c r="V968" i="33"/>
  <c r="W968" i="33"/>
  <c r="Y968" i="33"/>
  <c r="AB968" i="33"/>
  <c r="AC968" i="33"/>
  <c r="G968" i="33"/>
  <c r="G967" i="33"/>
  <c r="AC969" i="33"/>
  <c r="AB969" i="33"/>
  <c r="AA969" i="33"/>
  <c r="Z969" i="33"/>
  <c r="Y969" i="33"/>
  <c r="X969" i="33"/>
  <c r="W969" i="33"/>
  <c r="V969" i="33"/>
  <c r="T969" i="33"/>
  <c r="S969" i="33"/>
  <c r="R969" i="33"/>
  <c r="Q969" i="33"/>
  <c r="P969" i="33"/>
  <c r="O969" i="33"/>
  <c r="N969" i="33"/>
  <c r="M969" i="33"/>
  <c r="L969" i="33"/>
  <c r="K969" i="33"/>
  <c r="J969" i="33"/>
  <c r="I969" i="33"/>
  <c r="D965" i="33"/>
  <c r="AG965" i="33" s="1"/>
  <c r="D964" i="33" l="1"/>
  <c r="AG964" i="33" s="1"/>
  <c r="X968" i="33"/>
  <c r="D969" i="33"/>
  <c r="AD969" i="33" s="1"/>
  <c r="D967" i="33"/>
  <c r="AG967" i="33" s="1"/>
  <c r="AD965" i="33"/>
  <c r="D486" i="33"/>
  <c r="D477" i="33"/>
  <c r="AE969" i="33" l="1"/>
  <c r="AE965" i="33"/>
  <c r="AD964" i="33"/>
  <c r="AG969" i="33"/>
  <c r="AD967" i="33"/>
  <c r="AD486" i="33"/>
  <c r="AG486" i="33"/>
  <c r="AD477" i="33"/>
  <c r="AG477" i="33"/>
  <c r="AE477" i="33" l="1"/>
  <c r="AE486" i="33"/>
  <c r="AE967" i="33"/>
  <c r="AE964" i="33"/>
  <c r="D492" i="33"/>
  <c r="AD492" i="33" l="1"/>
  <c r="AG492" i="33"/>
  <c r="AE492" i="33" l="1"/>
  <c r="D191" i="33"/>
  <c r="AG191" i="33" s="1"/>
  <c r="D190" i="33"/>
  <c r="AG190" i="33" s="1"/>
  <c r="AC189" i="33"/>
  <c r="AB189" i="33"/>
  <c r="AA189" i="33"/>
  <c r="Z189" i="33"/>
  <c r="Y189" i="33"/>
  <c r="X189" i="33"/>
  <c r="W189" i="33"/>
  <c r="V189" i="33"/>
  <c r="U189" i="33"/>
  <c r="T189" i="33"/>
  <c r="S189" i="33"/>
  <c r="R189" i="33"/>
  <c r="Q189" i="33"/>
  <c r="P189" i="33"/>
  <c r="O189" i="33"/>
  <c r="N189" i="33"/>
  <c r="M189" i="33"/>
  <c r="K189" i="33"/>
  <c r="J189" i="33"/>
  <c r="I189" i="33"/>
  <c r="H189" i="33"/>
  <c r="G189" i="33"/>
  <c r="L189" i="33"/>
  <c r="D188" i="33"/>
  <c r="Z209" i="33"/>
  <c r="Z196" i="33"/>
  <c r="Z192" i="33"/>
  <c r="Z173" i="33"/>
  <c r="D448" i="33"/>
  <c r="D189" i="33" l="1"/>
  <c r="AG189" i="33" s="1"/>
  <c r="AG188" i="33"/>
  <c r="AD188" i="33"/>
  <c r="AD190" i="33"/>
  <c r="AD191" i="33"/>
  <c r="AD448" i="33"/>
  <c r="AG448" i="33"/>
  <c r="D733" i="33"/>
  <c r="D732" i="33"/>
  <c r="AG732" i="33" s="1"/>
  <c r="AD189" i="33" l="1"/>
  <c r="AD733" i="33"/>
  <c r="AD732" i="33"/>
  <c r="AG733" i="33"/>
  <c r="D712" i="33"/>
  <c r="AD712" i="33" s="1"/>
  <c r="D710" i="33"/>
  <c r="AG710" i="33" s="1"/>
  <c r="D711" i="33"/>
  <c r="AG712" i="33" l="1"/>
  <c r="AD710" i="33"/>
  <c r="AD711" i="33"/>
  <c r="AG711" i="33"/>
  <c r="D756" i="33"/>
  <c r="D729" i="33"/>
  <c r="D767" i="33"/>
  <c r="AG767" i="33" s="1"/>
  <c r="D766" i="33"/>
  <c r="AD766" i="33" s="1"/>
  <c r="D765" i="33"/>
  <c r="D764" i="33"/>
  <c r="Q700" i="33"/>
  <c r="H700" i="33"/>
  <c r="T700" i="33"/>
  <c r="D681" i="33"/>
  <c r="D680" i="33"/>
  <c r="AG680" i="33" s="1"/>
  <c r="R668" i="33"/>
  <c r="D668" i="33" s="1"/>
  <c r="R667" i="33"/>
  <c r="D667" i="33" s="1"/>
  <c r="D669" i="33"/>
  <c r="D689" i="33"/>
  <c r="D688" i="33"/>
  <c r="AG688" i="33" s="1"/>
  <c r="D687" i="33"/>
  <c r="AG687" i="33" s="1"/>
  <c r="AD756" i="33" l="1"/>
  <c r="AG756" i="33"/>
  <c r="AD729" i="33"/>
  <c r="AG729" i="33"/>
  <c r="AG766" i="33"/>
  <c r="AG765" i="33"/>
  <c r="AD765" i="33"/>
  <c r="AD764" i="33"/>
  <c r="AG764" i="33"/>
  <c r="AD767" i="33"/>
  <c r="AG681" i="33"/>
  <c r="AD681" i="33"/>
  <c r="AD680" i="33"/>
  <c r="AD669" i="33"/>
  <c r="AD667" i="33"/>
  <c r="AD668" i="33"/>
  <c r="AG669" i="33"/>
  <c r="AG667" i="33"/>
  <c r="AG668" i="33"/>
  <c r="AD687" i="33"/>
  <c r="AD688" i="33"/>
  <c r="AD689" i="33"/>
  <c r="AG689" i="33"/>
  <c r="D653" i="33" l="1"/>
  <c r="AG653" i="33" s="1"/>
  <c r="D651" i="33"/>
  <c r="AG651" i="33" s="1"/>
  <c r="D650" i="33"/>
  <c r="AG650" i="33" s="1"/>
  <c r="D652" i="33"/>
  <c r="AG652" i="33" s="1"/>
  <c r="D654" i="33"/>
  <c r="AD654" i="33" s="1"/>
  <c r="D677" i="33"/>
  <c r="AD677" i="33" s="1"/>
  <c r="D678" i="33"/>
  <c r="AD678" i="33" s="1"/>
  <c r="D676" i="33"/>
  <c r="AD676" i="33" s="1"/>
  <c r="AC675" i="33"/>
  <c r="AB675" i="33"/>
  <c r="AA675" i="33"/>
  <c r="Z675" i="33"/>
  <c r="Y675" i="33"/>
  <c r="X675" i="33"/>
  <c r="W675" i="33"/>
  <c r="V675" i="33"/>
  <c r="U675" i="33"/>
  <c r="T675" i="33"/>
  <c r="S675" i="33"/>
  <c r="R675" i="33"/>
  <c r="Q675" i="33"/>
  <c r="P675" i="33"/>
  <c r="O675" i="33"/>
  <c r="N675" i="33"/>
  <c r="M675" i="33"/>
  <c r="L675" i="33"/>
  <c r="K675" i="33"/>
  <c r="J675" i="33"/>
  <c r="I675" i="33"/>
  <c r="H675" i="33"/>
  <c r="G675" i="33"/>
  <c r="D674" i="33"/>
  <c r="AG674" i="33" s="1"/>
  <c r="H632" i="33"/>
  <c r="D630" i="33"/>
  <c r="AG630" i="33" s="1"/>
  <c r="D631" i="33"/>
  <c r="AG631" i="33" s="1"/>
  <c r="D629" i="33"/>
  <c r="AG629" i="33" s="1"/>
  <c r="D643" i="33"/>
  <c r="AG643" i="33" s="1"/>
  <c r="D640" i="33"/>
  <c r="AG640" i="33" s="1"/>
  <c r="H641" i="33"/>
  <c r="H637" i="33"/>
  <c r="H636" i="33"/>
  <c r="D625" i="33"/>
  <c r="AD625" i="33" s="1"/>
  <c r="D624" i="33"/>
  <c r="AD624" i="33" s="1"/>
  <c r="AD653" i="33" l="1"/>
  <c r="AD652" i="33"/>
  <c r="AD650" i="33"/>
  <c r="AD651" i="33"/>
  <c r="AG654" i="33"/>
  <c r="D675" i="33"/>
  <c r="AG677" i="33"/>
  <c r="AG678" i="33"/>
  <c r="AG676" i="33"/>
  <c r="AD674" i="33"/>
  <c r="AD631" i="33"/>
  <c r="AD630" i="33"/>
  <c r="AD629" i="33"/>
  <c r="AD643" i="33"/>
  <c r="AD640" i="33"/>
  <c r="AG625" i="33"/>
  <c r="AG624" i="33"/>
  <c r="D1788" i="33"/>
  <c r="AD1788" i="33" s="1"/>
  <c r="AB1785" i="33"/>
  <c r="AG675" i="33" l="1"/>
  <c r="AD675" i="33"/>
  <c r="AG1788" i="33"/>
  <c r="X374" i="33"/>
  <c r="Y369" i="33"/>
  <c r="X369" i="33"/>
  <c r="AA368" i="33"/>
  <c r="Z368" i="33"/>
  <c r="X368" i="33"/>
  <c r="W368" i="33"/>
  <c r="V368" i="33"/>
  <c r="Z366" i="33"/>
  <c r="D377" i="33"/>
  <c r="AD377" i="33" s="1"/>
  <c r="U355" i="33"/>
  <c r="U366" i="33"/>
  <c r="U338" i="33"/>
  <c r="Y333" i="33"/>
  <c r="Z333" i="33"/>
  <c r="I307" i="33"/>
  <c r="J307" i="33"/>
  <c r="K307" i="33"/>
  <c r="L307" i="33"/>
  <c r="M307" i="33"/>
  <c r="N307" i="33"/>
  <c r="O307" i="33"/>
  <c r="P307" i="33"/>
  <c r="Q307" i="33"/>
  <c r="R307" i="33"/>
  <c r="S307" i="33"/>
  <c r="T307" i="33"/>
  <c r="U307" i="33"/>
  <c r="V307" i="33"/>
  <c r="W307" i="33"/>
  <c r="X307" i="33"/>
  <c r="Y307" i="33"/>
  <c r="Z307" i="33"/>
  <c r="AA307" i="33"/>
  <c r="AB307" i="33"/>
  <c r="H307" i="33"/>
  <c r="AC316" i="33"/>
  <c r="AB316" i="33"/>
  <c r="AA316" i="33"/>
  <c r="Z316" i="33"/>
  <c r="Y316" i="33"/>
  <c r="X316" i="33"/>
  <c r="W316" i="33"/>
  <c r="V316" i="33"/>
  <c r="U316" i="33"/>
  <c r="T316" i="33"/>
  <c r="S316" i="33"/>
  <c r="R316" i="33"/>
  <c r="Q316" i="33"/>
  <c r="P316" i="33"/>
  <c r="O316" i="33"/>
  <c r="N316" i="33"/>
  <c r="M316" i="33"/>
  <c r="L316" i="33"/>
  <c r="K316" i="33"/>
  <c r="J316" i="33"/>
  <c r="I316" i="33"/>
  <c r="H316" i="33"/>
  <c r="I304" i="33"/>
  <c r="J304" i="33"/>
  <c r="K304" i="33"/>
  <c r="L304" i="33"/>
  <c r="M304" i="33"/>
  <c r="N304" i="33"/>
  <c r="O304" i="33"/>
  <c r="P304" i="33"/>
  <c r="Q304" i="33"/>
  <c r="R304" i="33"/>
  <c r="S304" i="33"/>
  <c r="T304" i="33"/>
  <c r="U304" i="33"/>
  <c r="V304" i="33"/>
  <c r="W304" i="33"/>
  <c r="X304" i="33"/>
  <c r="Y304" i="33"/>
  <c r="Z304" i="33"/>
  <c r="AA304" i="33"/>
  <c r="AB304" i="33"/>
  <c r="AC304" i="33"/>
  <c r="I305" i="33"/>
  <c r="J305" i="33"/>
  <c r="K305" i="33"/>
  <c r="L305" i="33"/>
  <c r="M305" i="33"/>
  <c r="N305" i="33"/>
  <c r="O305" i="33"/>
  <c r="P305" i="33"/>
  <c r="Q305" i="33"/>
  <c r="R305" i="33"/>
  <c r="S305" i="33"/>
  <c r="T305" i="33"/>
  <c r="U305" i="33"/>
  <c r="V305" i="33"/>
  <c r="W305" i="33"/>
  <c r="X305" i="33"/>
  <c r="Y305" i="33"/>
  <c r="Z305" i="33"/>
  <c r="AA305" i="33"/>
  <c r="AB305" i="33"/>
  <c r="AC305" i="33"/>
  <c r="H305" i="33"/>
  <c r="H304" i="33"/>
  <c r="G304" i="33"/>
  <c r="L301" i="33"/>
  <c r="D299" i="33"/>
  <c r="AD299" i="33" s="1"/>
  <c r="D298" i="33"/>
  <c r="AD298" i="33" s="1"/>
  <c r="D297" i="33"/>
  <c r="AD297" i="33" s="1"/>
  <c r="AC296" i="33"/>
  <c r="AB296" i="33"/>
  <c r="AA296" i="33"/>
  <c r="Z296" i="33"/>
  <c r="Y296" i="33"/>
  <c r="X296" i="33"/>
  <c r="W296" i="33"/>
  <c r="V296" i="33"/>
  <c r="U296" i="33"/>
  <c r="T296" i="33"/>
  <c r="S296" i="33"/>
  <c r="R296" i="33"/>
  <c r="Q296" i="33"/>
  <c r="P296" i="33"/>
  <c r="O296" i="33"/>
  <c r="N296" i="33"/>
  <c r="M296" i="33"/>
  <c r="L296" i="33"/>
  <c r="K296" i="33"/>
  <c r="J296" i="33"/>
  <c r="I296" i="33"/>
  <c r="H296" i="33"/>
  <c r="G296" i="33"/>
  <c r="D295" i="33"/>
  <c r="AD295" i="33" s="1"/>
  <c r="D287" i="33"/>
  <c r="AG287" i="33" s="1"/>
  <c r="D286" i="33"/>
  <c r="D285" i="33"/>
  <c r="AG285" i="33" s="1"/>
  <c r="D284" i="33"/>
  <c r="AD284" i="33" s="1"/>
  <c r="D283" i="33"/>
  <c r="AC282" i="33"/>
  <c r="AB282" i="33"/>
  <c r="AA282" i="33"/>
  <c r="Z282" i="33"/>
  <c r="Y282" i="33"/>
  <c r="X282" i="33"/>
  <c r="W282" i="33"/>
  <c r="V282" i="33"/>
  <c r="U282" i="33"/>
  <c r="T282" i="33"/>
  <c r="S282" i="33"/>
  <c r="R282" i="33"/>
  <c r="Q282" i="33"/>
  <c r="P282" i="33"/>
  <c r="O282" i="33"/>
  <c r="N282" i="33"/>
  <c r="M282" i="33"/>
  <c r="L282" i="33"/>
  <c r="K282" i="33"/>
  <c r="J282" i="33"/>
  <c r="I282" i="33"/>
  <c r="H282" i="33"/>
  <c r="G282" i="33"/>
  <c r="D281" i="33"/>
  <c r="D293" i="33"/>
  <c r="AD293" i="33" s="1"/>
  <c r="D294" i="33"/>
  <c r="AD294" i="33" s="1"/>
  <c r="D291" i="33"/>
  <c r="AD291" i="33" s="1"/>
  <c r="D280" i="33"/>
  <c r="AD280" i="33" s="1"/>
  <c r="AC279" i="33"/>
  <c r="AB279" i="33"/>
  <c r="AA279" i="33"/>
  <c r="Z279" i="33"/>
  <c r="Y279" i="33"/>
  <c r="X279" i="33"/>
  <c r="W279" i="33"/>
  <c r="V279" i="33"/>
  <c r="U279" i="33"/>
  <c r="T279" i="33"/>
  <c r="S279" i="33"/>
  <c r="R279" i="33"/>
  <c r="Q279" i="33"/>
  <c r="P279" i="33"/>
  <c r="O279" i="33"/>
  <c r="N279" i="33"/>
  <c r="M279" i="33"/>
  <c r="L279" i="33"/>
  <c r="K279" i="33"/>
  <c r="J279" i="33"/>
  <c r="I279" i="33"/>
  <c r="H279" i="33"/>
  <c r="G279" i="33"/>
  <c r="D278" i="33"/>
  <c r="AG278" i="33" s="1"/>
  <c r="V261" i="33"/>
  <c r="W261" i="33"/>
  <c r="X261" i="33"/>
  <c r="Y261" i="33"/>
  <c r="Z261" i="33"/>
  <c r="AA261" i="33"/>
  <c r="V262" i="33"/>
  <c r="W262" i="33"/>
  <c r="X262" i="33"/>
  <c r="Y262" i="33"/>
  <c r="Z262" i="33"/>
  <c r="AA262" i="33"/>
  <c r="V263" i="33"/>
  <c r="W263" i="33"/>
  <c r="X263" i="33"/>
  <c r="Y263" i="33"/>
  <c r="Z263" i="33"/>
  <c r="AA263" i="33"/>
  <c r="V264" i="33"/>
  <c r="W264" i="33"/>
  <c r="X264" i="33"/>
  <c r="Y264" i="33"/>
  <c r="Z264" i="33"/>
  <c r="AA264" i="33"/>
  <c r="V265" i="33"/>
  <c r="W265" i="33"/>
  <c r="X265" i="33"/>
  <c r="Y265" i="33"/>
  <c r="Z265" i="33"/>
  <c r="AA265" i="33"/>
  <c r="U262" i="33"/>
  <c r="U263" i="33"/>
  <c r="U264" i="33"/>
  <c r="U265" i="33"/>
  <c r="AB261" i="33"/>
  <c r="U261" i="33"/>
  <c r="X244" i="33"/>
  <c r="AG377" i="33" l="1"/>
  <c r="D304" i="33"/>
  <c r="AD304" i="33" s="1"/>
  <c r="AG293" i="33"/>
  <c r="AG299" i="33"/>
  <c r="AG297" i="33"/>
  <c r="AG295" i="33"/>
  <c r="D296" i="33"/>
  <c r="AD296" i="33" s="1"/>
  <c r="AG298" i="33"/>
  <c r="AD287" i="33"/>
  <c r="AG284" i="33"/>
  <c r="AD283" i="33"/>
  <c r="AG283" i="33"/>
  <c r="D282" i="33"/>
  <c r="AD282" i="33" s="1"/>
  <c r="AD281" i="33"/>
  <c r="AD286" i="33"/>
  <c r="AG281" i="33"/>
  <c r="AD285" i="33"/>
  <c r="AG286" i="33"/>
  <c r="AG294" i="33"/>
  <c r="AG291" i="33"/>
  <c r="D279" i="33"/>
  <c r="AD279" i="33" s="1"/>
  <c r="AG280" i="33"/>
  <c r="AD278" i="33"/>
  <c r="B38" i="37"/>
  <c r="D38" i="37" s="1"/>
  <c r="C39" i="37" s="1"/>
  <c r="AG304" i="33" l="1"/>
  <c r="AG296" i="33"/>
  <c r="AG282" i="33"/>
  <c r="AG279" i="33"/>
  <c r="B18" i="26"/>
  <c r="D476" i="33" l="1"/>
  <c r="AD476" i="33" l="1"/>
  <c r="AG476" i="33"/>
  <c r="U11" i="33"/>
  <c r="D550" i="33"/>
  <c r="AD550" i="33" s="1"/>
  <c r="D482" i="33"/>
  <c r="AG482" i="33" s="1"/>
  <c r="D573" i="33"/>
  <c r="AG573" i="33" s="1"/>
  <c r="D572" i="33"/>
  <c r="D574" i="33"/>
  <c r="AG574" i="33" s="1"/>
  <c r="D575" i="33"/>
  <c r="AG575" i="33" s="1"/>
  <c r="D516" i="33"/>
  <c r="AG516" i="33" s="1"/>
  <c r="D548" i="33"/>
  <c r="AD548" i="33" s="1"/>
  <c r="D480" i="33"/>
  <c r="AG480" i="33" s="1"/>
  <c r="D566" i="33"/>
  <c r="AG566" i="33" s="1"/>
  <c r="D567" i="33"/>
  <c r="D513" i="33"/>
  <c r="AG513" i="33" s="1"/>
  <c r="D478" i="33"/>
  <c r="AG478" i="33" s="1"/>
  <c r="D560" i="33"/>
  <c r="D556" i="33"/>
  <c r="AG556" i="33" s="1"/>
  <c r="D555" i="33"/>
  <c r="D557" i="33"/>
  <c r="D558" i="33"/>
  <c r="AD558" i="33" s="1"/>
  <c r="D506" i="33"/>
  <c r="AD506" i="33" s="1"/>
  <c r="D544" i="33"/>
  <c r="AD544" i="33" s="1"/>
  <c r="D499" i="33"/>
  <c r="AG499" i="33" s="1"/>
  <c r="D502" i="33"/>
  <c r="AD502" i="33" s="1"/>
  <c r="D473" i="33"/>
  <c r="AD473" i="33" s="1"/>
  <c r="D539" i="33"/>
  <c r="AG539" i="33" s="1"/>
  <c r="D465" i="33"/>
  <c r="AG465" i="33" s="1"/>
  <c r="D464" i="33"/>
  <c r="D467" i="33"/>
  <c r="AD467" i="33" s="1"/>
  <c r="D495" i="33"/>
  <c r="AD495" i="33" s="1"/>
  <c r="D469" i="33"/>
  <c r="AG469" i="33" s="1"/>
  <c r="D468" i="33"/>
  <c r="AG468" i="33" s="1"/>
  <c r="D470" i="33"/>
  <c r="D466" i="33"/>
  <c r="AG466" i="33" s="1"/>
  <c r="D493" i="33"/>
  <c r="AD493" i="33" s="1"/>
  <c r="D536" i="33"/>
  <c r="D460" i="33"/>
  <c r="AD460" i="33" s="1"/>
  <c r="D526" i="33"/>
  <c r="AG526" i="33" s="1"/>
  <c r="AD567" i="33" l="1"/>
  <c r="AD573" i="33"/>
  <c r="AD560" i="33"/>
  <c r="AG550" i="33"/>
  <c r="AD482" i="33"/>
  <c r="AG572" i="33"/>
  <c r="AD572" i="33"/>
  <c r="AD574" i="33"/>
  <c r="AD575" i="33"/>
  <c r="AD516" i="33"/>
  <c r="AG548" i="33"/>
  <c r="AD480" i="33"/>
  <c r="AD566" i="33"/>
  <c r="AG567" i="33"/>
  <c r="AD513" i="33"/>
  <c r="AD478" i="33"/>
  <c r="AG560" i="33"/>
  <c r="AG544" i="33"/>
  <c r="AG502" i="33"/>
  <c r="AG558" i="33"/>
  <c r="AG506" i="33"/>
  <c r="AD555" i="33"/>
  <c r="AG473" i="33"/>
  <c r="AG555" i="33"/>
  <c r="AD557" i="33"/>
  <c r="AG557" i="33"/>
  <c r="AD556" i="33"/>
  <c r="AD539" i="33"/>
  <c r="AD499" i="33"/>
  <c r="AG467" i="33"/>
  <c r="AD466" i="33"/>
  <c r="AD465" i="33"/>
  <c r="AD464" i="33"/>
  <c r="AG464" i="33"/>
  <c r="AG495" i="33"/>
  <c r="AD468" i="33"/>
  <c r="AD469" i="33"/>
  <c r="AD470" i="33"/>
  <c r="AG470" i="33"/>
  <c r="AG493" i="33"/>
  <c r="AD526" i="33"/>
  <c r="AD536" i="33"/>
  <c r="AG536" i="33"/>
  <c r="AG460" i="33"/>
  <c r="Z62" i="33"/>
  <c r="Y58" i="33"/>
  <c r="U41" i="33"/>
  <c r="U35" i="33"/>
  <c r="G738" i="33" l="1"/>
  <c r="G743" i="33" s="1"/>
  <c r="G737" i="33"/>
  <c r="G736" i="33"/>
  <c r="AC737" i="33"/>
  <c r="AB737" i="33"/>
  <c r="AA737" i="33"/>
  <c r="Z737" i="33"/>
  <c r="Y737" i="33"/>
  <c r="X737" i="33"/>
  <c r="W737" i="33"/>
  <c r="V737" i="33"/>
  <c r="U737" i="33"/>
  <c r="T737" i="33"/>
  <c r="S737" i="33"/>
  <c r="R737" i="33"/>
  <c r="Q737" i="33"/>
  <c r="P737" i="33"/>
  <c r="O737" i="33"/>
  <c r="N737" i="33"/>
  <c r="M737" i="33"/>
  <c r="L737" i="33"/>
  <c r="K737" i="33"/>
  <c r="J737" i="33"/>
  <c r="I737" i="33"/>
  <c r="H737" i="33"/>
  <c r="D649" i="33"/>
  <c r="AG649" i="33" s="1"/>
  <c r="D690" i="33"/>
  <c r="AG690" i="33" s="1"/>
  <c r="D701" i="33"/>
  <c r="AD701" i="33" s="1"/>
  <c r="I698" i="33"/>
  <c r="J698" i="33"/>
  <c r="K698" i="33"/>
  <c r="L698" i="33"/>
  <c r="M698" i="33"/>
  <c r="N698" i="33"/>
  <c r="O698" i="33"/>
  <c r="P698" i="33"/>
  <c r="R698" i="33"/>
  <c r="S698" i="33"/>
  <c r="D699" i="33"/>
  <c r="AG699" i="33" s="1"/>
  <c r="D697" i="33"/>
  <c r="AG697" i="33" s="1"/>
  <c r="H694" i="33"/>
  <c r="AG768" i="33"/>
  <c r="AD768" i="33"/>
  <c r="AE768" i="33" s="1"/>
  <c r="D763" i="33"/>
  <c r="AG763" i="33" s="1"/>
  <c r="D762" i="33"/>
  <c r="AD762" i="33" s="1"/>
  <c r="D761" i="33"/>
  <c r="AG761" i="33" s="1"/>
  <c r="D760" i="33"/>
  <c r="AD760" i="33" s="1"/>
  <c r="D759" i="33"/>
  <c r="AG759" i="33" s="1"/>
  <c r="D758" i="33"/>
  <c r="AG758" i="33" s="1"/>
  <c r="D757" i="33"/>
  <c r="AG757" i="33" s="1"/>
  <c r="D755" i="33"/>
  <c r="AG755" i="33" s="1"/>
  <c r="D754" i="33"/>
  <c r="AD754" i="33" s="1"/>
  <c r="D753" i="33"/>
  <c r="AG753" i="33" s="1"/>
  <c r="D752" i="33"/>
  <c r="AD752" i="33" s="1"/>
  <c r="D751" i="33"/>
  <c r="AD751" i="33" s="1"/>
  <c r="D750" i="33"/>
  <c r="AG750" i="33" s="1"/>
  <c r="D749" i="33"/>
  <c r="AG749" i="33" s="1"/>
  <c r="D748" i="33"/>
  <c r="AD748" i="33" s="1"/>
  <c r="D747" i="33"/>
  <c r="AG747" i="33" s="1"/>
  <c r="D746" i="33"/>
  <c r="AD746" i="33" s="1"/>
  <c r="D745" i="33"/>
  <c r="AD745" i="33" s="1"/>
  <c r="D744" i="33"/>
  <c r="D735" i="33"/>
  <c r="AG735" i="33" s="1"/>
  <c r="D734" i="33"/>
  <c r="AG734" i="33" s="1"/>
  <c r="AC731" i="33"/>
  <c r="AB731" i="33"/>
  <c r="AA731" i="33"/>
  <c r="Z731" i="33"/>
  <c r="Y731" i="33"/>
  <c r="X731" i="33"/>
  <c r="W731" i="33"/>
  <c r="V731" i="33"/>
  <c r="U731" i="33"/>
  <c r="T731" i="33"/>
  <c r="S731" i="33"/>
  <c r="R731" i="33"/>
  <c r="Q731" i="33"/>
  <c r="P731" i="33"/>
  <c r="O731" i="33"/>
  <c r="N731" i="33"/>
  <c r="M731" i="33"/>
  <c r="L731" i="33"/>
  <c r="K731" i="33"/>
  <c r="J731" i="33"/>
  <c r="I731" i="33"/>
  <c r="H731" i="33"/>
  <c r="G731" i="33"/>
  <c r="D730" i="33"/>
  <c r="AD730" i="33" s="1"/>
  <c r="D728" i="33"/>
  <c r="AD728" i="33" s="1"/>
  <c r="D727" i="33"/>
  <c r="AG727" i="33" s="1"/>
  <c r="D726" i="33"/>
  <c r="AG726" i="33" s="1"/>
  <c r="AC725" i="33"/>
  <c r="AC738" i="33" s="1"/>
  <c r="AC743" i="33" s="1"/>
  <c r="AB725" i="33"/>
  <c r="AB738" i="33" s="1"/>
  <c r="AB743" i="33" s="1"/>
  <c r="AA725" i="33"/>
  <c r="AA738" i="33" s="1"/>
  <c r="AA743" i="33" s="1"/>
  <c r="Z725" i="33"/>
  <c r="Z738" i="33" s="1"/>
  <c r="Z743" i="33" s="1"/>
  <c r="Y725" i="33"/>
  <c r="Y738" i="33" s="1"/>
  <c r="Y743" i="33" s="1"/>
  <c r="X725" i="33"/>
  <c r="X738" i="33" s="1"/>
  <c r="X743" i="33" s="1"/>
  <c r="W725" i="33"/>
  <c r="W736" i="33" s="1"/>
  <c r="W742" i="33" s="1"/>
  <c r="V725" i="33"/>
  <c r="V738" i="33" s="1"/>
  <c r="V743" i="33" s="1"/>
  <c r="U725" i="33"/>
  <c r="U738" i="33" s="1"/>
  <c r="U743" i="33" s="1"/>
  <c r="T725" i="33"/>
  <c r="T736" i="33" s="1"/>
  <c r="T742" i="33" s="1"/>
  <c r="S725" i="33"/>
  <c r="S738" i="33" s="1"/>
  <c r="S743" i="33" s="1"/>
  <c r="R725" i="33"/>
  <c r="R738" i="33" s="1"/>
  <c r="R743" i="33" s="1"/>
  <c r="Q725" i="33"/>
  <c r="Q738" i="33" s="1"/>
  <c r="Q743" i="33" s="1"/>
  <c r="P725" i="33"/>
  <c r="P738" i="33" s="1"/>
  <c r="P743" i="33" s="1"/>
  <c r="O725" i="33"/>
  <c r="O738" i="33" s="1"/>
  <c r="O743" i="33" s="1"/>
  <c r="N725" i="33"/>
  <c r="N738" i="33" s="1"/>
  <c r="N743" i="33" s="1"/>
  <c r="M725" i="33"/>
  <c r="M738" i="33" s="1"/>
  <c r="M743" i="33" s="1"/>
  <c r="L725" i="33"/>
  <c r="L738" i="33" s="1"/>
  <c r="L743" i="33" s="1"/>
  <c r="K725" i="33"/>
  <c r="K738" i="33" s="1"/>
  <c r="K743" i="33" s="1"/>
  <c r="J725" i="33"/>
  <c r="J738" i="33" s="1"/>
  <c r="J743" i="33" s="1"/>
  <c r="I725" i="33"/>
  <c r="I738" i="33" s="1"/>
  <c r="I743" i="33" s="1"/>
  <c r="H725" i="33"/>
  <c r="H738" i="33" s="1"/>
  <c r="H743" i="33" s="1"/>
  <c r="G725" i="33"/>
  <c r="D724" i="33"/>
  <c r="AD724" i="33" s="1"/>
  <c r="D723" i="33"/>
  <c r="AD723" i="33" s="1"/>
  <c r="D722" i="33"/>
  <c r="AG722" i="33" s="1"/>
  <c r="D721" i="33"/>
  <c r="AG721" i="33" s="1"/>
  <c r="D720" i="33"/>
  <c r="AD720" i="33" s="1"/>
  <c r="AC718" i="33"/>
  <c r="AC719" i="33" s="1"/>
  <c r="AB718" i="33"/>
  <c r="AA718" i="33"/>
  <c r="AA719" i="33" s="1"/>
  <c r="Z718" i="33"/>
  <c r="Z719" i="33" s="1"/>
  <c r="Y718" i="33"/>
  <c r="Y719" i="33" s="1"/>
  <c r="X718" i="33"/>
  <c r="X719" i="33" s="1"/>
  <c r="W718" i="33"/>
  <c r="W719" i="33" s="1"/>
  <c r="V718" i="33"/>
  <c r="V719" i="33" s="1"/>
  <c r="U718" i="33"/>
  <c r="U719" i="33" s="1"/>
  <c r="T718" i="33"/>
  <c r="T719" i="33" s="1"/>
  <c r="S718" i="33"/>
  <c r="S719" i="33" s="1"/>
  <c r="R718" i="33"/>
  <c r="R719" i="33" s="1"/>
  <c r="Q718" i="33"/>
  <c r="Q719" i="33" s="1"/>
  <c r="P718" i="33"/>
  <c r="P719" i="33" s="1"/>
  <c r="O718" i="33"/>
  <c r="O719" i="33" s="1"/>
  <c r="N718" i="33"/>
  <c r="N719" i="33" s="1"/>
  <c r="M718" i="33"/>
  <c r="M719" i="33" s="1"/>
  <c r="L718" i="33"/>
  <c r="L719" i="33" s="1"/>
  <c r="K718" i="33"/>
  <c r="K719" i="33" s="1"/>
  <c r="J718" i="33"/>
  <c r="J719" i="33" s="1"/>
  <c r="I718" i="33"/>
  <c r="I719" i="33" s="1"/>
  <c r="H718" i="33"/>
  <c r="H719" i="33" s="1"/>
  <c r="G718" i="33"/>
  <c r="G719" i="33" s="1"/>
  <c r="D717" i="33"/>
  <c r="AG717" i="33" s="1"/>
  <c r="D716" i="33"/>
  <c r="AD716" i="33" s="1"/>
  <c r="D715" i="33"/>
  <c r="AG715" i="33" s="1"/>
  <c r="G714" i="33"/>
  <c r="D714" i="33" s="1"/>
  <c r="D713" i="33"/>
  <c r="AD713" i="33" s="1"/>
  <c r="D709" i="33"/>
  <c r="AD709" i="33" s="1"/>
  <c r="D708" i="33"/>
  <c r="AG708" i="33" s="1"/>
  <c r="D707" i="33"/>
  <c r="AG707" i="33" s="1"/>
  <c r="D706" i="33"/>
  <c r="AD706" i="33" s="1"/>
  <c r="D705" i="33"/>
  <c r="AG705" i="33" s="1"/>
  <c r="D704" i="33"/>
  <c r="H645" i="33"/>
  <c r="AG702" i="33"/>
  <c r="AD702" i="33"/>
  <c r="AE702" i="33" s="1"/>
  <c r="D700" i="33"/>
  <c r="D696" i="33"/>
  <c r="AG696" i="33" s="1"/>
  <c r="D695" i="33"/>
  <c r="AG695" i="33" s="1"/>
  <c r="D607" i="33"/>
  <c r="AB719" i="33" l="1"/>
  <c r="D719" i="33" s="1"/>
  <c r="AB1768" i="33"/>
  <c r="K736" i="33"/>
  <c r="K742" i="33" s="1"/>
  <c r="Z736" i="33"/>
  <c r="Z742" i="33" s="1"/>
  <c r="T738" i="33"/>
  <c r="T743" i="33" s="1"/>
  <c r="AC736" i="33"/>
  <c r="AC742" i="33" s="1"/>
  <c r="W738" i="33"/>
  <c r="W743" i="33" s="1"/>
  <c r="H736" i="33"/>
  <c r="H742" i="33" s="1"/>
  <c r="N736" i="33"/>
  <c r="N742" i="33" s="1"/>
  <c r="Q736" i="33"/>
  <c r="Q742" i="33" s="1"/>
  <c r="D737" i="33"/>
  <c r="AD737" i="33" s="1"/>
  <c r="J736" i="33"/>
  <c r="J742" i="33" s="1"/>
  <c r="P736" i="33"/>
  <c r="P742" i="33" s="1"/>
  <c r="V736" i="33"/>
  <c r="V742" i="33" s="1"/>
  <c r="AB736" i="33"/>
  <c r="AB742" i="33" s="1"/>
  <c r="G739" i="33"/>
  <c r="L736" i="33"/>
  <c r="L742" i="33" s="1"/>
  <c r="R736" i="33"/>
  <c r="R742" i="33" s="1"/>
  <c r="X736" i="33"/>
  <c r="X742" i="33" s="1"/>
  <c r="M736" i="33"/>
  <c r="M742" i="33" s="1"/>
  <c r="S736" i="33"/>
  <c r="S742" i="33" s="1"/>
  <c r="Y736" i="33"/>
  <c r="Y742" i="33" s="1"/>
  <c r="I736" i="33"/>
  <c r="I742" i="33" s="1"/>
  <c r="O736" i="33"/>
  <c r="O742" i="33" s="1"/>
  <c r="U736" i="33"/>
  <c r="U742" i="33" s="1"/>
  <c r="AA736" i="33"/>
  <c r="AA742" i="33" s="1"/>
  <c r="T739" i="33"/>
  <c r="W739" i="33"/>
  <c r="AD649" i="33"/>
  <c r="AD690" i="33"/>
  <c r="D698" i="33"/>
  <c r="AG698" i="33" s="1"/>
  <c r="D694" i="33"/>
  <c r="AG694" i="33" s="1"/>
  <c r="AD699" i="33"/>
  <c r="AD697" i="33"/>
  <c r="AG745" i="33"/>
  <c r="AD704" i="33"/>
  <c r="AG716" i="33"/>
  <c r="AG723" i="33"/>
  <c r="AD759" i="33"/>
  <c r="AD744" i="33"/>
  <c r="AG751" i="33"/>
  <c r="AG744" i="33"/>
  <c r="AG762" i="33"/>
  <c r="AG709" i="33"/>
  <c r="AD715" i="33"/>
  <c r="AG720" i="33"/>
  <c r="D731" i="33"/>
  <c r="AG731" i="33" s="1"/>
  <c r="AG754" i="33"/>
  <c r="AG706" i="33"/>
  <c r="D718" i="33"/>
  <c r="AG718" i="33" s="1"/>
  <c r="D725" i="33"/>
  <c r="AD725" i="33" s="1"/>
  <c r="AG728" i="33"/>
  <c r="AG748" i="33"/>
  <c r="AD714" i="33"/>
  <c r="AG714" i="33"/>
  <c r="AG704" i="33"/>
  <c r="AG713" i="33"/>
  <c r="AG724" i="33"/>
  <c r="AG730" i="33"/>
  <c r="AG746" i="33"/>
  <c r="AG752" i="33"/>
  <c r="AG760" i="33"/>
  <c r="AD708" i="33"/>
  <c r="AD722" i="33"/>
  <c r="AD727" i="33"/>
  <c r="AD735" i="33"/>
  <c r="AD750" i="33"/>
  <c r="AD758" i="33"/>
  <c r="AD707" i="33"/>
  <c r="AD717" i="33"/>
  <c r="AD721" i="33"/>
  <c r="AD726" i="33"/>
  <c r="AD734" i="33"/>
  <c r="AD749" i="33"/>
  <c r="AD755" i="33"/>
  <c r="AD757" i="33"/>
  <c r="AD763" i="33"/>
  <c r="AD705" i="33"/>
  <c r="AD747" i="33"/>
  <c r="AD753" i="33"/>
  <c r="AD761" i="33"/>
  <c r="AG701" i="33"/>
  <c r="AD696" i="33"/>
  <c r="AD695" i="33"/>
  <c r="AD700" i="33"/>
  <c r="AG700" i="33"/>
  <c r="AB1638" i="33"/>
  <c r="AB1450" i="33"/>
  <c r="AB1449" i="33"/>
  <c r="AB1448" i="33"/>
  <c r="AB1447" i="33"/>
  <c r="AB1439" i="33"/>
  <c r="S739" i="33" l="1"/>
  <c r="S741" i="33" s="1"/>
  <c r="N739" i="33"/>
  <c r="N741" i="33" s="1"/>
  <c r="Q739" i="33"/>
  <c r="Q741" i="33" s="1"/>
  <c r="K739" i="33"/>
  <c r="K741" i="33" s="1"/>
  <c r="AC739" i="33"/>
  <c r="AC740" i="33" s="1"/>
  <c r="AG737" i="33"/>
  <c r="Z739" i="33"/>
  <c r="Z740" i="33" s="1"/>
  <c r="H739" i="33"/>
  <c r="H741" i="33" s="1"/>
  <c r="D738" i="33"/>
  <c r="AG738" i="33" s="1"/>
  <c r="D743" i="33"/>
  <c r="AG743" i="33" s="1"/>
  <c r="P739" i="33"/>
  <c r="P741" i="33" s="1"/>
  <c r="U739" i="33"/>
  <c r="U741" i="33" s="1"/>
  <c r="O739" i="33"/>
  <c r="O741" i="33" s="1"/>
  <c r="M739" i="33"/>
  <c r="M741" i="33" s="1"/>
  <c r="X739" i="33"/>
  <c r="X741" i="33" s="1"/>
  <c r="J739" i="33"/>
  <c r="J741" i="33" s="1"/>
  <c r="D736" i="33"/>
  <c r="AA739" i="33"/>
  <c r="AA741" i="33" s="1"/>
  <c r="G742" i="33"/>
  <c r="D742" i="33" s="1"/>
  <c r="AD742" i="33" s="1"/>
  <c r="G741" i="33"/>
  <c r="G740" i="33"/>
  <c r="R739" i="33"/>
  <c r="R740" i="33" s="1"/>
  <c r="AB739" i="33"/>
  <c r="AB740" i="33" s="1"/>
  <c r="L739" i="33"/>
  <c r="L740" i="33" s="1"/>
  <c r="V739" i="33"/>
  <c r="V741" i="33" s="1"/>
  <c r="I739" i="33"/>
  <c r="I741" i="33" s="1"/>
  <c r="Y739" i="33"/>
  <c r="Y740" i="33" s="1"/>
  <c r="W740" i="33"/>
  <c r="W741" i="33"/>
  <c r="T741" i="33"/>
  <c r="T740" i="33"/>
  <c r="AD694" i="33"/>
  <c r="AD698" i="33"/>
  <c r="AG725" i="33"/>
  <c r="AD731" i="33"/>
  <c r="AD718" i="33"/>
  <c r="AG719" i="33"/>
  <c r="AD719" i="33"/>
  <c r="D1421" i="33"/>
  <c r="D1420" i="33"/>
  <c r="AG1420" i="33" s="1"/>
  <c r="G1419" i="33"/>
  <c r="G1418" i="33"/>
  <c r="D1418" i="33" s="1"/>
  <c r="G1417" i="33"/>
  <c r="D1417" i="33" s="1"/>
  <c r="G1416" i="33"/>
  <c r="D1416" i="33" s="1"/>
  <c r="AG1416" i="33" s="1"/>
  <c r="G1404" i="33"/>
  <c r="K740" i="33" l="1"/>
  <c r="S740" i="33"/>
  <c r="N740" i="33"/>
  <c r="Q740" i="33"/>
  <c r="L741" i="33"/>
  <c r="M740" i="33"/>
  <c r="Z741" i="33"/>
  <c r="O740" i="33"/>
  <c r="AD743" i="33"/>
  <c r="P740" i="33"/>
  <c r="AC741" i="33"/>
  <c r="R741" i="33"/>
  <c r="H740" i="33"/>
  <c r="V740" i="33"/>
  <c r="J740" i="33"/>
  <c r="AD738" i="33"/>
  <c r="U740" i="33"/>
  <c r="AG742" i="33"/>
  <c r="X740" i="33"/>
  <c r="Y741" i="33"/>
  <c r="AA740" i="33"/>
  <c r="I740" i="33"/>
  <c r="D739" i="33"/>
  <c r="AD739" i="33" s="1"/>
  <c r="AG736" i="33"/>
  <c r="AD736" i="33"/>
  <c r="AB741" i="33"/>
  <c r="AD1420" i="33"/>
  <c r="AD1417" i="33"/>
  <c r="AD1416" i="33"/>
  <c r="AG1417" i="33"/>
  <c r="AD1418" i="33"/>
  <c r="AG1418" i="33"/>
  <c r="I793" i="33"/>
  <c r="J793" i="33"/>
  <c r="K793" i="33"/>
  <c r="L793" i="33"/>
  <c r="M793" i="33"/>
  <c r="N793" i="33"/>
  <c r="O793" i="33"/>
  <c r="P793" i="33"/>
  <c r="Q793" i="33"/>
  <c r="R793" i="33"/>
  <c r="S793" i="33"/>
  <c r="T793" i="33"/>
  <c r="U793" i="33"/>
  <c r="V793" i="33"/>
  <c r="W793" i="33"/>
  <c r="X793" i="33"/>
  <c r="Y793" i="33"/>
  <c r="Z793" i="33"/>
  <c r="AA793" i="33"/>
  <c r="AB793" i="33"/>
  <c r="H793" i="33"/>
  <c r="AA806" i="33"/>
  <c r="Z806" i="33"/>
  <c r="Y806" i="33"/>
  <c r="Q806" i="33"/>
  <c r="N806" i="33"/>
  <c r="M806" i="33"/>
  <c r="L806" i="33"/>
  <c r="K806" i="33"/>
  <c r="J806" i="33"/>
  <c r="I806" i="33"/>
  <c r="H806" i="33"/>
  <c r="S802" i="33"/>
  <c r="T802" i="33"/>
  <c r="H801" i="33"/>
  <c r="I880" i="33"/>
  <c r="J880" i="33"/>
  <c r="K880" i="33"/>
  <c r="L880" i="33"/>
  <c r="M880" i="33"/>
  <c r="N880" i="33"/>
  <c r="O880" i="33"/>
  <c r="P880" i="33"/>
  <c r="Q880" i="33"/>
  <c r="R880" i="33"/>
  <c r="S880" i="33"/>
  <c r="T880" i="33"/>
  <c r="U880" i="33"/>
  <c r="V880" i="33"/>
  <c r="W880" i="33"/>
  <c r="X880" i="33"/>
  <c r="Y880" i="33"/>
  <c r="Z880" i="33"/>
  <c r="AA880" i="33"/>
  <c r="AB880" i="33"/>
  <c r="I881" i="33"/>
  <c r="J881" i="33"/>
  <c r="K881" i="33"/>
  <c r="L881" i="33"/>
  <c r="M881" i="33"/>
  <c r="N881" i="33"/>
  <c r="O881" i="33"/>
  <c r="P881" i="33"/>
  <c r="Q881" i="33"/>
  <c r="R881" i="33"/>
  <c r="S881" i="33"/>
  <c r="T881" i="33"/>
  <c r="U881" i="33"/>
  <c r="V881" i="33"/>
  <c r="W881" i="33"/>
  <c r="X881" i="33"/>
  <c r="Y881" i="33"/>
  <c r="Z881" i="33"/>
  <c r="AA881" i="33"/>
  <c r="AB881" i="33"/>
  <c r="H881" i="33"/>
  <c r="H880" i="33"/>
  <c r="D741" i="33" l="1"/>
  <c r="AG741" i="33" s="1"/>
  <c r="AG739" i="33"/>
  <c r="D740" i="33"/>
  <c r="AD740" i="33" s="1"/>
  <c r="AD1072" i="33"/>
  <c r="AD741" i="33" l="1"/>
  <c r="AG740" i="33"/>
  <c r="AG1072" i="33"/>
  <c r="AB931" i="33"/>
  <c r="AB930" i="33"/>
  <c r="AB858" i="33"/>
  <c r="AA858" i="33"/>
  <c r="AB802" i="33" l="1"/>
  <c r="AB857" i="33"/>
  <c r="W100" i="33"/>
  <c r="V100" i="33"/>
  <c r="AB870" i="33" l="1"/>
  <c r="AB871" i="33"/>
  <c r="U207" i="33"/>
  <c r="W204" i="33"/>
  <c r="AA176" i="33"/>
  <c r="Z176" i="33"/>
  <c r="Y176" i="33"/>
  <c r="X176" i="33"/>
  <c r="W176" i="33"/>
  <c r="V176" i="33"/>
  <c r="U176" i="33"/>
  <c r="H894" i="33" l="1"/>
  <c r="T838" i="33"/>
  <c r="D873" i="33"/>
  <c r="D874" i="33"/>
  <c r="D875" i="33"/>
  <c r="L883" i="33"/>
  <c r="M883" i="33"/>
  <c r="N883" i="33"/>
  <c r="O883" i="33"/>
  <c r="P883" i="33"/>
  <c r="Q883" i="33"/>
  <c r="R883" i="33"/>
  <c r="S883" i="33"/>
  <c r="T883" i="33"/>
  <c r="U883" i="33"/>
  <c r="V883" i="33"/>
  <c r="W883" i="33"/>
  <c r="X883" i="33"/>
  <c r="Y883" i="33"/>
  <c r="Z883" i="33"/>
  <c r="AA883" i="33"/>
  <c r="AB883" i="33"/>
  <c r="AC883" i="33"/>
  <c r="AG874" i="33" l="1"/>
  <c r="AD873" i="33"/>
  <c r="AG873" i="33"/>
  <c r="AG875" i="33"/>
  <c r="J28" i="36"/>
  <c r="J30" i="36"/>
  <c r="J32" i="36"/>
  <c r="J34" i="36"/>
  <c r="J36" i="36"/>
  <c r="J38" i="36"/>
  <c r="J40" i="36"/>
  <c r="J41" i="36"/>
  <c r="J42" i="36"/>
  <c r="J43" i="36"/>
  <c r="J44" i="36"/>
  <c r="J45" i="36"/>
  <c r="J46" i="36"/>
  <c r="J47" i="36"/>
  <c r="J48" i="36"/>
  <c r="J26" i="36"/>
  <c r="J25" i="36"/>
  <c r="J4" i="36"/>
  <c r="J6" i="36"/>
  <c r="J8" i="36"/>
  <c r="J10" i="36"/>
  <c r="J12" i="36"/>
  <c r="J14" i="36"/>
  <c r="J16" i="36"/>
  <c r="J18" i="36"/>
  <c r="J20" i="36"/>
  <c r="J22" i="36"/>
  <c r="J24" i="36"/>
  <c r="J3" i="36"/>
  <c r="I39" i="36"/>
  <c r="J39" i="36" s="1"/>
  <c r="I37" i="36"/>
  <c r="J37" i="36" s="1"/>
  <c r="I35" i="36"/>
  <c r="J35" i="36" s="1"/>
  <c r="I33" i="36"/>
  <c r="J33" i="36" s="1"/>
  <c r="I31" i="36"/>
  <c r="J31" i="36" s="1"/>
  <c r="M31" i="36" s="1"/>
  <c r="I29" i="36"/>
  <c r="J29" i="36" s="1"/>
  <c r="M29" i="36" s="1"/>
  <c r="I27" i="36"/>
  <c r="J27" i="36" s="1"/>
  <c r="I23" i="36"/>
  <c r="J23" i="36" s="1"/>
  <c r="I21" i="36"/>
  <c r="J21" i="36" s="1"/>
  <c r="I19" i="36"/>
  <c r="J19" i="36" s="1"/>
  <c r="I17" i="36"/>
  <c r="J17" i="36" s="1"/>
  <c r="I15" i="36"/>
  <c r="J15" i="36" s="1"/>
  <c r="I13" i="36"/>
  <c r="J13" i="36" s="1"/>
  <c r="I11" i="36"/>
  <c r="J11" i="36" s="1"/>
  <c r="I9" i="36"/>
  <c r="J9" i="36" s="1"/>
  <c r="I7" i="36"/>
  <c r="J7" i="36" s="1"/>
  <c r="I5" i="36"/>
  <c r="J5" i="36" s="1"/>
  <c r="F51" i="36" l="1"/>
  <c r="M27" i="36"/>
  <c r="AD874" i="33" l="1"/>
  <c r="U813" i="33"/>
  <c r="W858" i="33"/>
  <c r="W859" i="33"/>
  <c r="V799" i="33"/>
  <c r="W799" i="33"/>
  <c r="X799" i="33"/>
  <c r="Y799" i="33"/>
  <c r="Z799" i="33"/>
  <c r="AA799" i="33"/>
  <c r="AB799" i="33"/>
  <c r="AC799" i="33"/>
  <c r="V796" i="33"/>
  <c r="W796" i="33"/>
  <c r="X796" i="33"/>
  <c r="Y796" i="33"/>
  <c r="Z796" i="33"/>
  <c r="AA796" i="33"/>
  <c r="AB796" i="33"/>
  <c r="AC796" i="33"/>
  <c r="AB786" i="33"/>
  <c r="AC802" i="33"/>
  <c r="AC786" i="33" s="1"/>
  <c r="AA859" i="33"/>
  <c r="AA857" i="33" s="1"/>
  <c r="Z859" i="33"/>
  <c r="Y859" i="33"/>
  <c r="X859" i="33"/>
  <c r="Z858" i="33"/>
  <c r="Y858" i="33"/>
  <c r="X858" i="33"/>
  <c r="V858" i="33"/>
  <c r="U858" i="33"/>
  <c r="U857" i="33" s="1"/>
  <c r="X857" i="33" l="1"/>
  <c r="X882" i="33" s="1"/>
  <c r="Y857" i="33"/>
  <c r="AA876" i="33"/>
  <c r="AA882" i="33"/>
  <c r="Y876" i="33"/>
  <c r="Y882" i="33"/>
  <c r="X876" i="33"/>
  <c r="U876" i="33"/>
  <c r="U882" i="33"/>
  <c r="Z857" i="33"/>
  <c r="Z870" i="33" s="1"/>
  <c r="W857" i="33"/>
  <c r="X870" i="33"/>
  <c r="X871" i="33"/>
  <c r="AA870" i="33"/>
  <c r="AA871" i="33"/>
  <c r="Y870" i="33"/>
  <c r="Y871" i="33"/>
  <c r="Z871" i="33"/>
  <c r="U870" i="33"/>
  <c r="U871" i="33"/>
  <c r="X802" i="33"/>
  <c r="X786" i="33" s="1"/>
  <c r="Y802" i="33"/>
  <c r="Y786" i="33" s="1"/>
  <c r="Z802" i="33"/>
  <c r="Z786" i="33" s="1"/>
  <c r="W802" i="33"/>
  <c r="W786" i="33" s="1"/>
  <c r="AA802" i="33"/>
  <c r="AA786" i="33" s="1"/>
  <c r="U802" i="33"/>
  <c r="D881" i="33"/>
  <c r="I849" i="33"/>
  <c r="J849" i="33"/>
  <c r="K849" i="33"/>
  <c r="L849" i="33"/>
  <c r="M849" i="33"/>
  <c r="N849" i="33"/>
  <c r="O849" i="33"/>
  <c r="P849" i="33"/>
  <c r="Q849" i="33"/>
  <c r="R849" i="33"/>
  <c r="S849" i="33"/>
  <c r="T849" i="33"/>
  <c r="U849" i="33"/>
  <c r="V849" i="33"/>
  <c r="W849" i="33"/>
  <c r="X849" i="33"/>
  <c r="Y849" i="33"/>
  <c r="Z849" i="33"/>
  <c r="AA849" i="33"/>
  <c r="AB849" i="33"/>
  <c r="AC849" i="33"/>
  <c r="H849" i="33"/>
  <c r="H848" i="33"/>
  <c r="U827" i="33"/>
  <c r="U837" i="33"/>
  <c r="V859" i="33"/>
  <c r="D826" i="33"/>
  <c r="AG826" i="33" s="1"/>
  <c r="V827" i="33"/>
  <c r="W827" i="33"/>
  <c r="X827" i="33"/>
  <c r="Y827" i="33"/>
  <c r="Z827" i="33"/>
  <c r="AA827" i="33"/>
  <c r="AB827" i="33"/>
  <c r="AC827" i="33"/>
  <c r="V822" i="33"/>
  <c r="W822" i="33"/>
  <c r="X822" i="33"/>
  <c r="Y822" i="33"/>
  <c r="Z822" i="33"/>
  <c r="AA822" i="33"/>
  <c r="AB822" i="33"/>
  <c r="AC822" i="33"/>
  <c r="U822" i="33"/>
  <c r="V820" i="33"/>
  <c r="W820" i="33"/>
  <c r="X820" i="33"/>
  <c r="Y820" i="33"/>
  <c r="Z820" i="33"/>
  <c r="AA820" i="33"/>
  <c r="AB820" i="33"/>
  <c r="AC820" i="33"/>
  <c r="U820" i="33"/>
  <c r="T820" i="33"/>
  <c r="S820" i="33"/>
  <c r="R820" i="33"/>
  <c r="Q820" i="33"/>
  <c r="P820" i="33"/>
  <c r="O820" i="33"/>
  <c r="N820" i="33"/>
  <c r="M820" i="33"/>
  <c r="L820" i="33"/>
  <c r="K820" i="33"/>
  <c r="J820" i="33"/>
  <c r="I820" i="33"/>
  <c r="H820" i="33"/>
  <c r="G820" i="33"/>
  <c r="D821" i="33"/>
  <c r="AG821" i="33" s="1"/>
  <c r="D804" i="33"/>
  <c r="AG804" i="33" s="1"/>
  <c r="D805" i="33"/>
  <c r="U1107" i="33"/>
  <c r="D1153" i="33"/>
  <c r="AA1129" i="33"/>
  <c r="Z1129" i="33"/>
  <c r="X1129" i="33"/>
  <c r="W1129" i="33"/>
  <c r="V1129" i="33"/>
  <c r="U1129" i="33"/>
  <c r="U1123" i="33" s="1"/>
  <c r="W876" i="33" l="1"/>
  <c r="W882" i="33"/>
  <c r="Z876" i="33"/>
  <c r="Z882" i="33"/>
  <c r="W871" i="33"/>
  <c r="W870" i="33"/>
  <c r="V857" i="33"/>
  <c r="V802" i="33"/>
  <c r="V786" i="33" s="1"/>
  <c r="AD875" i="33"/>
  <c r="U850" i="33"/>
  <c r="U851" i="33" s="1"/>
  <c r="AD881" i="33"/>
  <c r="AG881" i="33"/>
  <c r="D820" i="33"/>
  <c r="AD820" i="33" s="1"/>
  <c r="AD826" i="33"/>
  <c r="AD821" i="33"/>
  <c r="AD804" i="33"/>
  <c r="AD805" i="33"/>
  <c r="AG805" i="33"/>
  <c r="AD1153" i="33"/>
  <c r="AG1153" i="33"/>
  <c r="AA1279" i="33"/>
  <c r="X1279" i="33"/>
  <c r="V1168" i="33"/>
  <c r="W1168" i="33"/>
  <c r="X1168" i="33"/>
  <c r="Y1168" i="33"/>
  <c r="Z1168" i="33"/>
  <c r="AA1168" i="33"/>
  <c r="AB1168" i="33"/>
  <c r="AC1168" i="33"/>
  <c r="V1169" i="33"/>
  <c r="X1169" i="33"/>
  <c r="Y1169" i="33"/>
  <c r="Z1169" i="33"/>
  <c r="AA1169" i="33"/>
  <c r="AB1169" i="33"/>
  <c r="AC1169" i="33"/>
  <c r="W1170" i="33"/>
  <c r="X1170" i="33"/>
  <c r="Y1170" i="33"/>
  <c r="Z1170" i="33"/>
  <c r="AA1170" i="33"/>
  <c r="AB1170" i="33"/>
  <c r="AC1170" i="33"/>
  <c r="V1171" i="33"/>
  <c r="W1171" i="33"/>
  <c r="X1171" i="33"/>
  <c r="Y1171" i="33"/>
  <c r="Z1171" i="33"/>
  <c r="AA1171" i="33"/>
  <c r="AB1171" i="33"/>
  <c r="AC1171" i="33"/>
  <c r="V1172" i="33"/>
  <c r="W1172" i="33"/>
  <c r="X1172" i="33"/>
  <c r="Y1172" i="33"/>
  <c r="Z1172" i="33"/>
  <c r="AA1172" i="33"/>
  <c r="AB1172" i="33"/>
  <c r="AC1172" i="33"/>
  <c r="U1168" i="33"/>
  <c r="U1170" i="33"/>
  <c r="U1171" i="33"/>
  <c r="U1172" i="33"/>
  <c r="V1167" i="33"/>
  <c r="W1167" i="33"/>
  <c r="X1167" i="33"/>
  <c r="Y1167" i="33"/>
  <c r="Z1167" i="33"/>
  <c r="AA1167" i="33"/>
  <c r="AB1167" i="33"/>
  <c r="AC1167" i="33"/>
  <c r="U1167" i="33"/>
  <c r="AB1259" i="33"/>
  <c r="U1314" i="33"/>
  <c r="D1351" i="33"/>
  <c r="U1273" i="33"/>
  <c r="V1161" i="33"/>
  <c r="V1170" i="33" s="1"/>
  <c r="W1160" i="33"/>
  <c r="W1169" i="33" s="1"/>
  <c r="U1160" i="33"/>
  <c r="U1169" i="33" s="1"/>
  <c r="V876" i="33" l="1"/>
  <c r="V882" i="33"/>
  <c r="V870" i="33"/>
  <c r="V871" i="33"/>
  <c r="U853" i="33"/>
  <c r="U852" i="33"/>
  <c r="AG820" i="33"/>
  <c r="AD1351" i="33"/>
  <c r="AG1351" i="33"/>
  <c r="V1019" i="33" l="1"/>
  <c r="W1019" i="33"/>
  <c r="X1019" i="33"/>
  <c r="Y1019" i="33"/>
  <c r="Z1019" i="33"/>
  <c r="AA1019" i="33"/>
  <c r="U1019" i="33"/>
  <c r="W1015" i="33"/>
  <c r="AA1015" i="33"/>
  <c r="Z1015" i="33"/>
  <c r="Z930" i="33"/>
  <c r="AA930" i="33"/>
  <c r="Z931" i="33"/>
  <c r="AA931" i="33"/>
  <c r="U919" i="33"/>
  <c r="AA915" i="33"/>
  <c r="D422" i="33" l="1"/>
  <c r="AG422" i="33" s="1"/>
  <c r="V399" i="33"/>
  <c r="U399" i="33"/>
  <c r="AD422" i="33" l="1"/>
  <c r="Q53" i="33"/>
  <c r="P53" i="33"/>
  <c r="O53" i="33"/>
  <c r="Q58" i="33"/>
  <c r="P58" i="33"/>
  <c r="O58" i="33"/>
  <c r="I1128" i="33"/>
  <c r="J1128" i="33"/>
  <c r="K1128" i="33"/>
  <c r="L1128" i="33"/>
  <c r="M1128" i="33"/>
  <c r="N1128" i="33"/>
  <c r="O1128" i="33"/>
  <c r="P1128" i="33"/>
  <c r="Q1128" i="33"/>
  <c r="R1128" i="33"/>
  <c r="H1128" i="33"/>
  <c r="I1154" i="33"/>
  <c r="J1154" i="33"/>
  <c r="K1154" i="33"/>
  <c r="L1154" i="33"/>
  <c r="M1154" i="33"/>
  <c r="N1154" i="33"/>
  <c r="O1154" i="33"/>
  <c r="P1154" i="33"/>
  <c r="Q1154" i="33"/>
  <c r="R1154" i="33"/>
  <c r="H1154" i="33"/>
  <c r="Q406" i="33"/>
  <c r="Q400" i="33"/>
  <c r="H402" i="33" l="1"/>
  <c r="H399" i="33"/>
  <c r="I399" i="33"/>
  <c r="O406" i="33" l="1"/>
  <c r="P406" i="33"/>
  <c r="D425" i="33"/>
  <c r="AG425" i="33" s="1"/>
  <c r="U406" i="33"/>
  <c r="AD425" i="33" l="1"/>
  <c r="V1154" i="33"/>
  <c r="W1154" i="33"/>
  <c r="X1154" i="33"/>
  <c r="Y1154" i="33"/>
  <c r="Z1154" i="33"/>
  <c r="AA1154" i="33"/>
  <c r="U1154" i="33"/>
  <c r="U1149" i="33" s="1"/>
  <c r="Z1562" i="33"/>
  <c r="AA1562" i="33"/>
  <c r="Z1563" i="33"/>
  <c r="AA1563" i="33"/>
  <c r="V1149" i="33" l="1"/>
  <c r="V1147" i="33"/>
  <c r="V1145" i="33"/>
  <c r="V1143" i="33"/>
  <c r="V1144" i="33" s="1"/>
  <c r="V1150" i="33"/>
  <c r="AA1147" i="33"/>
  <c r="AA1143" i="33"/>
  <c r="AA1144" i="33" s="1"/>
  <c r="AA1145" i="33"/>
  <c r="Z1147" i="33"/>
  <c r="Z1145" i="33"/>
  <c r="Z1143" i="33"/>
  <c r="Z1144" i="33" s="1"/>
  <c r="Y1147" i="33"/>
  <c r="Y1145" i="33"/>
  <c r="Y1143" i="33"/>
  <c r="Y1144" i="33" s="1"/>
  <c r="X1147" i="33"/>
  <c r="X1143" i="33"/>
  <c r="X1144" i="33" s="1"/>
  <c r="X1145" i="33"/>
  <c r="W1145" i="33"/>
  <c r="W1143" i="33"/>
  <c r="W1144" i="33" s="1"/>
  <c r="W1147" i="33"/>
  <c r="D1502" i="33"/>
  <c r="AG1502" i="33" s="1"/>
  <c r="D1501" i="33"/>
  <c r="D1496" i="33"/>
  <c r="D1492" i="33"/>
  <c r="AG1492" i="33" s="1"/>
  <c r="V1491" i="33"/>
  <c r="X1635" i="33"/>
  <c r="U1615" i="33"/>
  <c r="AA1521" i="33"/>
  <c r="Z1521" i="33"/>
  <c r="AA1520" i="33"/>
  <c r="Z1520" i="33"/>
  <c r="AA1519" i="33"/>
  <c r="Z1519" i="33"/>
  <c r="AA1515" i="33"/>
  <c r="AA1516" i="33" s="1"/>
  <c r="Z1515" i="33"/>
  <c r="Z1517" i="33" s="1"/>
  <c r="AA1511" i="33"/>
  <c r="Z1511" i="33"/>
  <c r="AA1510" i="33"/>
  <c r="Z1510" i="33"/>
  <c r="AA1508" i="33"/>
  <c r="Z1508" i="33"/>
  <c r="AA1450" i="33"/>
  <c r="Z1450" i="33"/>
  <c r="AA1449" i="33"/>
  <c r="Z1449" i="33"/>
  <c r="AA1448" i="33"/>
  <c r="Z1448" i="33"/>
  <c r="AA1447" i="33"/>
  <c r="Z1447" i="33"/>
  <c r="AA1442" i="33"/>
  <c r="Z1442" i="33"/>
  <c r="AA1441" i="33"/>
  <c r="Z1441" i="33"/>
  <c r="AA1440" i="33"/>
  <c r="Z1440" i="33"/>
  <c r="AA1439" i="33"/>
  <c r="Z1439" i="33"/>
  <c r="AA1433" i="33"/>
  <c r="Z1433" i="33"/>
  <c r="AA1427" i="33"/>
  <c r="Z1427" i="33"/>
  <c r="AA1426" i="33"/>
  <c r="Z1426" i="33"/>
  <c r="Z1548" i="33"/>
  <c r="AA1548" i="33"/>
  <c r="AA1529" i="33"/>
  <c r="Z1529" i="33"/>
  <c r="AA1528" i="33"/>
  <c r="Z1528" i="33"/>
  <c r="AA1527" i="33"/>
  <c r="Z1527" i="33"/>
  <c r="Y1548" i="33"/>
  <c r="X1548" i="33"/>
  <c r="D1546" i="33"/>
  <c r="AG1546" i="33" s="1"/>
  <c r="D1547" i="33"/>
  <c r="AG1547" i="33" s="1"/>
  <c r="AA1638" i="33"/>
  <c r="Z1638" i="33"/>
  <c r="Z1601" i="33"/>
  <c r="AA1601" i="33"/>
  <c r="Z1602" i="33"/>
  <c r="AA1602" i="33"/>
  <c r="Z1598" i="33"/>
  <c r="AA1598" i="33"/>
  <c r="Z1599" i="33"/>
  <c r="AA1599" i="33"/>
  <c r="Z1600" i="33"/>
  <c r="AA1600" i="33"/>
  <c r="AA1591" i="33"/>
  <c r="Z1591" i="33"/>
  <c r="Z1708" i="33"/>
  <c r="D1131" i="33"/>
  <c r="V1702" i="33"/>
  <c r="W1702" i="33"/>
  <c r="X1702" i="33"/>
  <c r="Y1702" i="33"/>
  <c r="Z1702" i="33"/>
  <c r="AA1702" i="33"/>
  <c r="AB1702" i="33"/>
  <c r="AC1702" i="33"/>
  <c r="U1702" i="33"/>
  <c r="U1699" i="33" s="1"/>
  <c r="Y1694" i="33"/>
  <c r="AB1694" i="33"/>
  <c r="AC1694" i="33"/>
  <c r="AA1682" i="33"/>
  <c r="AA1694" i="33" s="1"/>
  <c r="Z1682" i="33"/>
  <c r="Z1694" i="33" s="1"/>
  <c r="X1682" i="33"/>
  <c r="X1694" i="33" s="1"/>
  <c r="W1682" i="33"/>
  <c r="W1694" i="33" s="1"/>
  <c r="V1682" i="33"/>
  <c r="V1694" i="33" s="1"/>
  <c r="U1682" i="33"/>
  <c r="U1694" i="33" s="1"/>
  <c r="D1685" i="33"/>
  <c r="H1683" i="33"/>
  <c r="D1683" i="33" s="1"/>
  <c r="Z33" i="33" l="1"/>
  <c r="AA33" i="33"/>
  <c r="AA1517" i="33"/>
  <c r="U1681" i="33"/>
  <c r="Z1549" i="33"/>
  <c r="AA1549" i="33"/>
  <c r="AD1502" i="33"/>
  <c r="AD1492" i="33"/>
  <c r="AD1501" i="33"/>
  <c r="AG1501" i="33"/>
  <c r="AD1496" i="33"/>
  <c r="AG1496" i="33"/>
  <c r="Z1516" i="33"/>
  <c r="AD1546" i="33"/>
  <c r="AD1547" i="33"/>
  <c r="AD1685" i="33"/>
  <c r="AG1685" i="33"/>
  <c r="AG1683" i="33"/>
  <c r="AD1683" i="33"/>
  <c r="U1947" i="33" l="1"/>
  <c r="U1924" i="33" s="1"/>
  <c r="W1928" i="33"/>
  <c r="Y1928" i="33"/>
  <c r="Z1928" i="33"/>
  <c r="U1928" i="33"/>
  <c r="U1918" i="33"/>
  <c r="AA1951" i="33"/>
  <c r="Z1951" i="33"/>
  <c r="Z1947" i="33"/>
  <c r="AA1886" i="33"/>
  <c r="Z1886" i="33"/>
  <c r="Y1886" i="33"/>
  <c r="X1886" i="33"/>
  <c r="W1886" i="33"/>
  <c r="V1886" i="33"/>
  <c r="U1886" i="33"/>
  <c r="D1892" i="33"/>
  <c r="U1865" i="33"/>
  <c r="U1862" i="33"/>
  <c r="V1861" i="33"/>
  <c r="W1861" i="33"/>
  <c r="X1861" i="33"/>
  <c r="Y1861" i="33"/>
  <c r="Z1861" i="33"/>
  <c r="AA1861" i="33"/>
  <c r="U1861" i="33"/>
  <c r="AA1807" i="33"/>
  <c r="AA1808" i="33" s="1"/>
  <c r="Z1807" i="33"/>
  <c r="Z1808" i="33" s="1"/>
  <c r="AA1875" i="33"/>
  <c r="AA1876" i="33" s="1"/>
  <c r="AA1877" i="33" s="1"/>
  <c r="AA1878" i="33" s="1"/>
  <c r="AA1867" i="33"/>
  <c r="AA1866" i="33"/>
  <c r="AA1865" i="33"/>
  <c r="AA1864" i="33"/>
  <c r="AA1863" i="33"/>
  <c r="AA1862" i="33"/>
  <c r="Z1875" i="33"/>
  <c r="Z1876" i="33" s="1"/>
  <c r="Z1877" i="33" s="1"/>
  <c r="Z1878" i="33" s="1"/>
  <c r="Z1867" i="33"/>
  <c r="Z1866" i="33"/>
  <c r="Z1865" i="33"/>
  <c r="Z1864" i="33"/>
  <c r="Z1863" i="33"/>
  <c r="Z1862" i="33"/>
  <c r="AA1906" i="33"/>
  <c r="Z1906" i="33"/>
  <c r="Y1906" i="33"/>
  <c r="X1906" i="33"/>
  <c r="U1906" i="33"/>
  <c r="V1768" i="33"/>
  <c r="W1768" i="33"/>
  <c r="X1768" i="33"/>
  <c r="Y1768" i="33"/>
  <c r="Z1768" i="33"/>
  <c r="AA1768" i="33"/>
  <c r="U1768" i="33"/>
  <c r="AD1892" i="33" l="1"/>
  <c r="AG1892" i="33"/>
  <c r="AA1880" i="33"/>
  <c r="AA1879" i="33"/>
  <c r="Z1880" i="33"/>
  <c r="Z1879" i="33"/>
  <c r="D1507" i="33"/>
  <c r="D1165" i="33"/>
  <c r="D1163" i="33"/>
  <c r="D1161" i="33"/>
  <c r="D1105" i="33"/>
  <c r="D1553" i="33"/>
  <c r="D1526" i="33"/>
  <c r="D1524" i="33"/>
  <c r="D1719" i="33"/>
  <c r="D1799" i="33"/>
  <c r="D1556" i="33"/>
  <c r="D1493" i="33"/>
  <c r="D1491" i="33"/>
  <c r="D1490" i="33"/>
  <c r="D1489" i="33"/>
  <c r="D775" i="33"/>
  <c r="D244" i="33"/>
  <c r="D175" i="33"/>
  <c r="D914" i="33"/>
  <c r="D774" i="33"/>
  <c r="D773" i="33"/>
  <c r="D243" i="33"/>
  <c r="D100" i="33"/>
  <c r="H1919" i="33"/>
  <c r="D934" i="33"/>
  <c r="D792" i="33"/>
  <c r="D791" i="33"/>
  <c r="D627" i="33"/>
  <c r="D275" i="33"/>
  <c r="H776" i="33" l="1"/>
  <c r="J776" i="33"/>
  <c r="AG51" i="33" l="1"/>
  <c r="AG90" i="33"/>
  <c r="AG97" i="33"/>
  <c r="AG158" i="33"/>
  <c r="AG171" i="33"/>
  <c r="AG216" i="33"/>
  <c r="AG222" i="33"/>
  <c r="AG237" i="33"/>
  <c r="AG350" i="33"/>
  <c r="AG396" i="33"/>
  <c r="AG432" i="33"/>
  <c r="AG594" i="33"/>
  <c r="AG619" i="33"/>
  <c r="AG656" i="33"/>
  <c r="AG692" i="33"/>
  <c r="AG453" i="33"/>
  <c r="AG817" i="33"/>
  <c r="AG856" i="33"/>
  <c r="AG867" i="33"/>
  <c r="AG884" i="33"/>
  <c r="AG910" i="33"/>
  <c r="AG935" i="33"/>
  <c r="AG936" i="33"/>
  <c r="AG953" i="33"/>
  <c r="AG960" i="33"/>
  <c r="AG991" i="33"/>
  <c r="AG992" i="33"/>
  <c r="AG1006" i="33"/>
  <c r="AG1029" i="33"/>
  <c r="AG1030" i="33"/>
  <c r="AG1035" i="33"/>
  <c r="AG1049" i="33"/>
  <c r="AG1099" i="33"/>
  <c r="AG1100" i="33"/>
  <c r="AG1101" i="33"/>
  <c r="AG1141" i="33"/>
  <c r="AG1156" i="33"/>
  <c r="AG1265" i="33"/>
  <c r="AG1321" i="33"/>
  <c r="AG1349" i="33"/>
  <c r="AG1374" i="33"/>
  <c r="AG1389" i="33"/>
  <c r="AG1422" i="33"/>
  <c r="AG1522" i="33"/>
  <c r="AG1551" i="33"/>
  <c r="AG1588" i="33"/>
  <c r="AG1629" i="33"/>
  <c r="AG1639" i="33"/>
  <c r="AG1653" i="33"/>
  <c r="AG1715" i="33"/>
  <c r="AG1716" i="33"/>
  <c r="AG1754" i="33"/>
  <c r="AG1774" i="33"/>
  <c r="AG1790" i="33"/>
  <c r="AG1889" i="33"/>
  <c r="AG1909" i="33"/>
  <c r="AG1937" i="33"/>
  <c r="AG1940" i="33"/>
  <c r="AG1969" i="33"/>
  <c r="AG1996" i="33"/>
  <c r="M58" i="33"/>
  <c r="N58" i="33"/>
  <c r="N53" i="33"/>
  <c r="M53" i="33"/>
  <c r="L1932" i="33"/>
  <c r="L1927" i="33"/>
  <c r="L1912" i="33"/>
  <c r="L1945" i="33"/>
  <c r="L1885" i="33"/>
  <c r="L1818" i="33"/>
  <c r="L1809" i="33"/>
  <c r="L1798" i="33" l="1"/>
  <c r="D1798" i="33" s="1"/>
  <c r="L1797" i="33"/>
  <c r="L1796" i="33"/>
  <c r="L1795" i="33"/>
  <c r="L1794" i="33"/>
  <c r="L1793" i="33"/>
  <c r="L1904" i="33"/>
  <c r="L1724" i="33"/>
  <c r="L1635" i="33"/>
  <c r="L1615" i="33"/>
  <c r="L1612" i="33"/>
  <c r="L1596" i="33"/>
  <c r="L1594" i="33"/>
  <c r="L1592" i="33"/>
  <c r="L1530" i="33"/>
  <c r="L1518" i="33"/>
  <c r="L1464" i="33"/>
  <c r="L1457" i="33"/>
  <c r="L1453" i="33"/>
  <c r="L1445" i="33"/>
  <c r="L1437" i="33"/>
  <c r="L1430" i="33"/>
  <c r="L1429" i="33"/>
  <c r="L1428" i="33"/>
  <c r="L1425" i="33"/>
  <c r="L1259" i="33"/>
  <c r="L1177" i="33"/>
  <c r="L1129" i="33"/>
  <c r="L1116" i="33"/>
  <c r="L1110" i="33"/>
  <c r="L1104" i="33"/>
  <c r="L1682" i="33"/>
  <c r="L1019" i="33"/>
  <c r="L1009" i="33"/>
  <c r="L1032" i="33"/>
  <c r="L958" i="33"/>
  <c r="L957" i="33"/>
  <c r="L956" i="33"/>
  <c r="L955" i="33"/>
  <c r="L913" i="33"/>
  <c r="L941" i="33"/>
  <c r="L801" i="33"/>
  <c r="L797" i="33"/>
  <c r="L776" i="33"/>
  <c r="L772" i="33"/>
  <c r="L859" i="33" l="1"/>
  <c r="L858" i="33"/>
  <c r="L332" i="33"/>
  <c r="L240" i="33"/>
  <c r="D240" i="33" s="1"/>
  <c r="L417" i="33"/>
  <c r="L400" i="33"/>
  <c r="L166" i="33"/>
  <c r="L161" i="33"/>
  <c r="L160" i="33"/>
  <c r="L148" i="33"/>
  <c r="L125" i="33"/>
  <c r="L115" i="33"/>
  <c r="L103" i="33"/>
  <c r="L99" i="33"/>
  <c r="L93" i="33"/>
  <c r="Y93" i="33"/>
  <c r="L92" i="33"/>
  <c r="L74" i="33"/>
  <c r="Y74" i="33"/>
  <c r="L67" i="33"/>
  <c r="L58" i="33"/>
  <c r="L54" i="33"/>
  <c r="L53" i="33"/>
  <c r="L48" i="33"/>
  <c r="Y48" i="33"/>
  <c r="L47" i="33"/>
  <c r="L32" i="33"/>
  <c r="L31" i="33"/>
  <c r="L30" i="33"/>
  <c r="Y30" i="33"/>
  <c r="L29" i="33"/>
  <c r="L27" i="33"/>
  <c r="L19" i="33"/>
  <c r="L15" i="33"/>
  <c r="L13" i="33"/>
  <c r="L9" i="33"/>
  <c r="L7" i="33"/>
  <c r="K1932" i="33"/>
  <c r="K1927" i="33"/>
  <c r="K1912" i="33"/>
  <c r="K1939" i="33"/>
  <c r="K1945" i="33"/>
  <c r="K1949" i="33"/>
  <c r="K1904" i="33"/>
  <c r="K1885" i="33"/>
  <c r="K1818" i="33"/>
  <c r="K1809" i="33"/>
  <c r="K1797" i="33"/>
  <c r="D1797" i="33" s="1"/>
  <c r="K1796" i="33"/>
  <c r="K1795" i="33"/>
  <c r="K1793" i="33"/>
  <c r="K1749" i="33"/>
  <c r="K1720" i="33"/>
  <c r="K1259" i="33"/>
  <c r="K1129" i="33"/>
  <c r="K1116" i="33"/>
  <c r="K1112" i="33"/>
  <c r="K1110" i="33"/>
  <c r="K1104" i="33"/>
  <c r="K1682" i="33"/>
  <c r="K1034" i="33"/>
  <c r="K1033" i="33"/>
  <c r="K1032" i="33"/>
  <c r="K1011" i="33"/>
  <c r="K1009" i="33"/>
  <c r="K957" i="33"/>
  <c r="K956" i="33"/>
  <c r="K955" i="33"/>
  <c r="K927" i="33"/>
  <c r="K913" i="33"/>
  <c r="K941" i="33"/>
  <c r="L857" i="33" l="1"/>
  <c r="L870" i="33" s="1"/>
  <c r="L802" i="33"/>
  <c r="K888" i="33"/>
  <c r="K883" i="33" s="1"/>
  <c r="K865" i="33"/>
  <c r="K859" i="33"/>
  <c r="K858" i="33"/>
  <c r="K847" i="33"/>
  <c r="K797" i="33"/>
  <c r="K776" i="33"/>
  <c r="K772" i="33"/>
  <c r="K229" i="33"/>
  <c r="K218" i="33"/>
  <c r="K196" i="33"/>
  <c r="K192" i="33"/>
  <c r="K183" i="33"/>
  <c r="K176" i="33"/>
  <c r="K173" i="33"/>
  <c r="K166" i="33"/>
  <c r="K160" i="33"/>
  <c r="K99" i="33"/>
  <c r="K95" i="33"/>
  <c r="K92" i="33"/>
  <c r="K48" i="33"/>
  <c r="X48" i="33"/>
  <c r="K47" i="33"/>
  <c r="K32" i="33"/>
  <c r="K31" i="33"/>
  <c r="K29" i="33"/>
  <c r="K27" i="33"/>
  <c r="K19" i="33"/>
  <c r="K15" i="33"/>
  <c r="K13" i="33"/>
  <c r="K9" i="33"/>
  <c r="K7" i="33"/>
  <c r="K417" i="33"/>
  <c r="K67" i="33"/>
  <c r="K58" i="33"/>
  <c r="K54" i="33"/>
  <c r="K53" i="33"/>
  <c r="J1945" i="33"/>
  <c r="J1939" i="33"/>
  <c r="J1932" i="33"/>
  <c r="J1927" i="33"/>
  <c r="J1912" i="33"/>
  <c r="J1904" i="33"/>
  <c r="J1793" i="33"/>
  <c r="J1749" i="33"/>
  <c r="J1720" i="33"/>
  <c r="J1625" i="33"/>
  <c r="J1612" i="33"/>
  <c r="J1596" i="33"/>
  <c r="J1592" i="33"/>
  <c r="J1590" i="33"/>
  <c r="J1555" i="33"/>
  <c r="J1518" i="33"/>
  <c r="J1466" i="33"/>
  <c r="J1464" i="33"/>
  <c r="J1457" i="33"/>
  <c r="J1455" i="33"/>
  <c r="J1453" i="33"/>
  <c r="J1451" i="33"/>
  <c r="J1438" i="33"/>
  <c r="J1436" i="33"/>
  <c r="J1435" i="33"/>
  <c r="J1430" i="33"/>
  <c r="J1429" i="33"/>
  <c r="J1428" i="33"/>
  <c r="J1425" i="33"/>
  <c r="J1259" i="33"/>
  <c r="J1177" i="33"/>
  <c r="J1158" i="33"/>
  <c r="J1129" i="33"/>
  <c r="J1116" i="33"/>
  <c r="J1112" i="33"/>
  <c r="J1110" i="33"/>
  <c r="J1104" i="33"/>
  <c r="J1682" i="33"/>
  <c r="J1032" i="33"/>
  <c r="J1019" i="33"/>
  <c r="J1009" i="33"/>
  <c r="J957" i="33"/>
  <c r="J956" i="33"/>
  <c r="J955" i="33"/>
  <c r="J927" i="33"/>
  <c r="J913" i="33"/>
  <c r="J888" i="33"/>
  <c r="J883" i="33" s="1"/>
  <c r="J859" i="33"/>
  <c r="J858" i="33"/>
  <c r="J368" i="33"/>
  <c r="J857" i="33" l="1"/>
  <c r="J876" i="33" s="1"/>
  <c r="L871" i="33"/>
  <c r="J882" i="33"/>
  <c r="L876" i="33"/>
  <c r="L882" i="33"/>
  <c r="J870" i="33"/>
  <c r="J871" i="33"/>
  <c r="K857" i="33"/>
  <c r="J802" i="33"/>
  <c r="K802" i="33"/>
  <c r="J225" i="33"/>
  <c r="J218" i="33"/>
  <c r="J196" i="33"/>
  <c r="J192" i="33"/>
  <c r="J183" i="33"/>
  <c r="J176" i="33"/>
  <c r="J173" i="33"/>
  <c r="J160" i="33"/>
  <c r="J148" i="33"/>
  <c r="J95" i="33"/>
  <c r="J93" i="33"/>
  <c r="J92" i="33"/>
  <c r="J76" i="33"/>
  <c r="J63" i="33"/>
  <c r="J58" i="33"/>
  <c r="J55" i="33"/>
  <c r="J54" i="33"/>
  <c r="J53" i="33"/>
  <c r="J48" i="33"/>
  <c r="J47" i="33"/>
  <c r="J32" i="33"/>
  <c r="J30" i="33"/>
  <c r="J29" i="33"/>
  <c r="J27" i="33"/>
  <c r="J19" i="33"/>
  <c r="J15" i="33"/>
  <c r="J13" i="33"/>
  <c r="J9" i="33"/>
  <c r="J7" i="33"/>
  <c r="K876" i="33" l="1"/>
  <c r="K882" i="33"/>
  <c r="K870" i="33"/>
  <c r="K871" i="33"/>
  <c r="J417" i="33"/>
  <c r="I1939" i="33" l="1"/>
  <c r="I1932" i="33"/>
  <c r="I1927" i="33"/>
  <c r="I1912" i="33"/>
  <c r="I1945" i="33"/>
  <c r="I1904" i="33"/>
  <c r="I1885" i="33"/>
  <c r="I1825" i="33"/>
  <c r="I1809" i="33"/>
  <c r="I1794" i="33"/>
  <c r="I1793" i="33"/>
  <c r="I1724" i="33"/>
  <c r="I1720" i="33"/>
  <c r="I1625" i="33"/>
  <c r="I1615" i="33"/>
  <c r="I1612" i="33"/>
  <c r="I1603" i="33"/>
  <c r="I1596" i="33"/>
  <c r="I1594" i="33"/>
  <c r="I1592" i="33"/>
  <c r="I1590" i="33"/>
  <c r="I1555" i="33"/>
  <c r="I1530" i="33"/>
  <c r="I1518" i="33"/>
  <c r="I1466" i="33"/>
  <c r="I1457" i="33"/>
  <c r="I1453" i="33"/>
  <c r="I1451" i="33"/>
  <c r="I1437" i="33"/>
  <c r="D1437" i="33" s="1"/>
  <c r="I1435" i="33"/>
  <c r="I1428" i="33"/>
  <c r="I1259" i="33"/>
  <c r="I1158" i="33"/>
  <c r="I1116" i="33"/>
  <c r="I1112" i="33"/>
  <c r="I1110" i="33"/>
  <c r="I1104" i="33"/>
  <c r="I1033" i="33"/>
  <c r="I1032" i="33"/>
  <c r="I1019" i="33"/>
  <c r="I1011" i="33"/>
  <c r="I1009" i="33"/>
  <c r="I1040" i="33"/>
  <c r="I956" i="33"/>
  <c r="I955" i="33"/>
  <c r="I913" i="33"/>
  <c r="D913" i="33" s="1"/>
  <c r="I941" i="33"/>
  <c r="I888" i="33"/>
  <c r="I883" i="33" s="1"/>
  <c r="I847" i="33"/>
  <c r="I797" i="33"/>
  <c r="I776" i="33"/>
  <c r="I772" i="33"/>
  <c r="I865" i="33"/>
  <c r="I858" i="33"/>
  <c r="I379" i="33" l="1"/>
  <c r="I355" i="33"/>
  <c r="I353" i="33"/>
  <c r="I218" i="33"/>
  <c r="I213" i="33"/>
  <c r="I209" i="33"/>
  <c r="I196" i="33"/>
  <c r="I192" i="33"/>
  <c r="D192" i="33" s="1"/>
  <c r="I183" i="33"/>
  <c r="I176" i="33"/>
  <c r="I173" i="33"/>
  <c r="I235" i="33"/>
  <c r="I230" i="33"/>
  <c r="I229" i="33"/>
  <c r="I225" i="33"/>
  <c r="I160" i="33"/>
  <c r="I148" i="33"/>
  <c r="I99" i="33"/>
  <c r="I95" i="33"/>
  <c r="I92" i="33"/>
  <c r="I48" i="33"/>
  <c r="I47" i="33"/>
  <c r="I32" i="33"/>
  <c r="I31" i="33"/>
  <c r="V30" i="33"/>
  <c r="I30" i="33"/>
  <c r="I29" i="33"/>
  <c r="I27" i="33"/>
  <c r="I13" i="33"/>
  <c r="I7" i="33"/>
  <c r="I417" i="33"/>
  <c r="I76" i="33"/>
  <c r="I63" i="33"/>
  <c r="I58" i="33"/>
  <c r="H1946" i="33"/>
  <c r="H1945" i="33"/>
  <c r="H1939" i="33" l="1"/>
  <c r="H1932" i="33"/>
  <c r="H1927" i="33"/>
  <c r="H1912" i="33"/>
  <c r="H1949" i="33"/>
  <c r="H1904" i="33"/>
  <c r="H1885" i="33"/>
  <c r="H1809" i="33"/>
  <c r="H1796" i="33"/>
  <c r="D1796" i="33" s="1"/>
  <c r="H1794" i="33"/>
  <c r="D1794" i="33" s="1"/>
  <c r="H1793" i="33"/>
  <c r="D1793" i="33" s="1"/>
  <c r="H1781" i="33"/>
  <c r="H1778" i="33"/>
  <c r="H1777" i="33"/>
  <c r="H1768" i="33"/>
  <c r="H1765" i="33"/>
  <c r="H1749" i="33"/>
  <c r="H1720" i="33"/>
  <c r="G1720" i="33"/>
  <c r="D1720" i="33" l="1"/>
  <c r="H1724" i="33"/>
  <c r="G1641" i="33" l="1"/>
  <c r="D1641" i="33" s="1"/>
  <c r="H1635" i="33"/>
  <c r="H1632" i="33"/>
  <c r="H1625" i="33"/>
  <c r="H1615" i="33"/>
  <c r="H1594" i="33"/>
  <c r="H1593" i="33"/>
  <c r="H1592" i="33"/>
  <c r="H1590" i="33"/>
  <c r="H1530" i="33"/>
  <c r="H1525" i="33"/>
  <c r="D1525" i="33" s="1"/>
  <c r="H1455" i="33"/>
  <c r="H1453" i="33"/>
  <c r="H1451" i="33"/>
  <c r="H1436" i="33" l="1"/>
  <c r="H1435" i="33"/>
  <c r="D1435" i="33" s="1"/>
  <c r="H1430" i="33"/>
  <c r="H1429" i="33"/>
  <c r="U1426" i="33"/>
  <c r="H1425" i="33"/>
  <c r="D1425" i="33" s="1"/>
  <c r="H1314" i="33"/>
  <c r="H1269" i="33"/>
  <c r="H1268" i="33"/>
  <c r="D1268" i="33" s="1"/>
  <c r="H1267" i="33"/>
  <c r="D1267" i="33" s="1"/>
  <c r="H1259" i="33"/>
  <c r="H1178" i="33"/>
  <c r="H1177" i="33"/>
  <c r="H1160" i="33"/>
  <c r="D1160" i="33" s="1"/>
  <c r="H1159" i="33"/>
  <c r="D1159" i="33" s="1"/>
  <c r="H1158" i="33"/>
  <c r="D1158" i="33" s="1"/>
  <c r="H1144" i="33"/>
  <c r="H1143" i="33"/>
  <c r="H1129" i="33"/>
  <c r="H1116" i="33"/>
  <c r="H1112" i="33"/>
  <c r="H1111" i="33"/>
  <c r="H1110" i="33"/>
  <c r="H1104" i="33"/>
  <c r="D1104" i="33" s="1"/>
  <c r="Q1692" i="33"/>
  <c r="O1694" i="33"/>
  <c r="N1694" i="33"/>
  <c r="M1694" i="33"/>
  <c r="L1694" i="33"/>
  <c r="K1694" i="33"/>
  <c r="J1694" i="33"/>
  <c r="I1694" i="33"/>
  <c r="D1695" i="33"/>
  <c r="AG1695" i="33" s="1"/>
  <c r="H1682" i="33" l="1"/>
  <c r="H1694" i="33" s="1"/>
  <c r="H1696" i="33" s="1"/>
  <c r="H1705" i="33"/>
  <c r="D1705" i="33" s="1"/>
  <c r="AG1705" i="33" s="1"/>
  <c r="H1702" i="33"/>
  <c r="D1702" i="33" s="1"/>
  <c r="AG1702" i="33" s="1"/>
  <c r="H1700" i="33"/>
  <c r="D1700" i="33" s="1"/>
  <c r="AG1700" i="33" s="1"/>
  <c r="H1689" i="33"/>
  <c r="D1689" i="33" s="1"/>
  <c r="AG1689" i="33" s="1"/>
  <c r="D1656" i="33"/>
  <c r="AG1656" i="33" s="1"/>
  <c r="H1032" i="33"/>
  <c r="D1032" i="33" s="1"/>
  <c r="AG1032" i="33" s="1"/>
  <c r="H1011" i="33"/>
  <c r="D1011" i="33" s="1"/>
  <c r="AG1011" i="33" s="1"/>
  <c r="H1009" i="33"/>
  <c r="H956" i="33"/>
  <c r="D956" i="33" s="1"/>
  <c r="AG956" i="33" s="1"/>
  <c r="H955" i="33"/>
  <c r="H941" i="33"/>
  <c r="D941" i="33" s="1"/>
  <c r="AG941" i="33" s="1"/>
  <c r="D938" i="33"/>
  <c r="AG938" i="33" s="1"/>
  <c r="H888" i="33"/>
  <c r="H883" i="33" s="1"/>
  <c r="D883" i="33" s="1"/>
  <c r="AG883" i="33" s="1"/>
  <c r="H859" i="33"/>
  <c r="H858" i="33"/>
  <c r="D803" i="33"/>
  <c r="AG803" i="33" s="1"/>
  <c r="U797" i="33"/>
  <c r="U799" i="33" s="1"/>
  <c r="H797" i="33"/>
  <c r="H795" i="33"/>
  <c r="D795" i="33" s="1"/>
  <c r="AG795" i="33" s="1"/>
  <c r="H790" i="33"/>
  <c r="D790" i="33" s="1"/>
  <c r="AG790" i="33" s="1"/>
  <c r="U785" i="33"/>
  <c r="H785" i="33"/>
  <c r="U772" i="33"/>
  <c r="U781" i="33" s="1"/>
  <c r="H772" i="33"/>
  <c r="U771" i="33"/>
  <c r="U780" i="33" s="1"/>
  <c r="H771" i="33"/>
  <c r="U384" i="33"/>
  <c r="H383" i="33"/>
  <c r="D383" i="33" s="1"/>
  <c r="AG383" i="33" s="1"/>
  <c r="H381" i="33"/>
  <c r="H380" i="33"/>
  <c r="H379" i="33"/>
  <c r="D379" i="33" s="1"/>
  <c r="AG379" i="33" s="1"/>
  <c r="H363" i="33"/>
  <c r="D363" i="33" s="1"/>
  <c r="AG363" i="33" s="1"/>
  <c r="H355" i="33"/>
  <c r="H354" i="33"/>
  <c r="H353" i="33"/>
  <c r="H170" i="33"/>
  <c r="H169" i="33"/>
  <c r="H168" i="33"/>
  <c r="H162" i="33"/>
  <c r="H161" i="33"/>
  <c r="H160" i="33"/>
  <c r="H156" i="33"/>
  <c r="H155" i="33"/>
  <c r="H150" i="33"/>
  <c r="H149" i="33"/>
  <c r="H148" i="33"/>
  <c r="H140" i="33"/>
  <c r="H139" i="33"/>
  <c r="H137" i="33"/>
  <c r="U142" i="33"/>
  <c r="H135" i="33"/>
  <c r="H118" i="33"/>
  <c r="H117" i="33"/>
  <c r="U111" i="33"/>
  <c r="H111" i="33"/>
  <c r="H103" i="33"/>
  <c r="U102" i="33"/>
  <c r="H102" i="33"/>
  <c r="U101" i="33"/>
  <c r="H101" i="33"/>
  <c r="H99" i="33"/>
  <c r="U93" i="33"/>
  <c r="H93" i="33"/>
  <c r="H92" i="33"/>
  <c r="U48" i="33"/>
  <c r="U49" i="33" s="1"/>
  <c r="H48" i="33"/>
  <c r="U47" i="33"/>
  <c r="H47" i="33"/>
  <c r="H32" i="33"/>
  <c r="H31" i="33"/>
  <c r="H29" i="33"/>
  <c r="H27" i="33"/>
  <c r="U36" i="33"/>
  <c r="H19" i="33"/>
  <c r="H15" i="33"/>
  <c r="H13" i="33"/>
  <c r="H9" i="33"/>
  <c r="U12" i="33"/>
  <c r="H8" i="33"/>
  <c r="H7" i="33"/>
  <c r="U78" i="33"/>
  <c r="H78" i="33"/>
  <c r="H77" i="33"/>
  <c r="H76" i="33"/>
  <c r="U74" i="33"/>
  <c r="H74" i="33"/>
  <c r="H73" i="33"/>
  <c r="H68" i="33"/>
  <c r="U67" i="33"/>
  <c r="H67" i="33"/>
  <c r="H58" i="33"/>
  <c r="H55" i="33"/>
  <c r="H54" i="33"/>
  <c r="H53" i="33"/>
  <c r="H411" i="33"/>
  <c r="H417" i="33"/>
  <c r="D1995" i="33"/>
  <c r="D1994" i="33"/>
  <c r="AG1994" i="33" s="1"/>
  <c r="D1993" i="33"/>
  <c r="AG1993" i="33" s="1"/>
  <c r="D1992" i="33"/>
  <c r="AG1992" i="33" s="1"/>
  <c r="D1991" i="33"/>
  <c r="AG1991" i="33" s="1"/>
  <c r="D1988" i="33"/>
  <c r="AG1988" i="33" s="1"/>
  <c r="D1987" i="33"/>
  <c r="AG1987" i="33" s="1"/>
  <c r="D1986" i="33"/>
  <c r="AG1986" i="33" s="1"/>
  <c r="D1985" i="33"/>
  <c r="AG1985" i="33" s="1"/>
  <c r="D1984" i="33"/>
  <c r="AG1984" i="33" s="1"/>
  <c r="D1983" i="33"/>
  <c r="AG1983" i="33" s="1"/>
  <c r="D1982" i="33"/>
  <c r="AG1982" i="33" s="1"/>
  <c r="D1981" i="33"/>
  <c r="AG1981" i="33" s="1"/>
  <c r="D1980" i="33"/>
  <c r="AG1980" i="33" s="1"/>
  <c r="D1979" i="33"/>
  <c r="AG1979" i="33" s="1"/>
  <c r="D1978" i="33"/>
  <c r="AG1978" i="33" s="1"/>
  <c r="D1973" i="33"/>
  <c r="AG1973" i="33" s="1"/>
  <c r="D1972" i="33"/>
  <c r="AG1972" i="33" s="1"/>
  <c r="D1968" i="33"/>
  <c r="AG1968" i="33" s="1"/>
  <c r="D1966" i="33"/>
  <c r="AG1966" i="33" s="1"/>
  <c r="D1955" i="33"/>
  <c r="AG1955" i="33" s="1"/>
  <c r="D1954" i="33"/>
  <c r="AG1954" i="33" s="1"/>
  <c r="D1948" i="33"/>
  <c r="AG1948" i="33" s="1"/>
  <c r="D1944" i="33"/>
  <c r="AG1944" i="33" s="1"/>
  <c r="D1946" i="33"/>
  <c r="AG1946" i="33" s="1"/>
  <c r="D1945" i="33"/>
  <c r="AG1945" i="33" s="1"/>
  <c r="D1949" i="33"/>
  <c r="AG1949" i="33" s="1"/>
  <c r="D1939" i="33"/>
  <c r="AG1939" i="33" s="1"/>
  <c r="D1932" i="33"/>
  <c r="AG1932" i="33" s="1"/>
  <c r="D1930" i="33"/>
  <c r="AG1930" i="33" s="1"/>
  <c r="D1929" i="33"/>
  <c r="AG1929" i="33" s="1"/>
  <c r="D1927" i="33"/>
  <c r="AG1927" i="33" s="1"/>
  <c r="D1926" i="33"/>
  <c r="AG1926" i="33" s="1"/>
  <c r="D1923" i="33"/>
  <c r="AG1923" i="33" s="1"/>
  <c r="D1922" i="33"/>
  <c r="AG1922" i="33" s="1"/>
  <c r="D1921" i="33"/>
  <c r="AG1921" i="33" s="1"/>
  <c r="D1917" i="33"/>
  <c r="AG1917" i="33" s="1"/>
  <c r="D1916" i="33"/>
  <c r="AG1916" i="33" s="1"/>
  <c r="D1908" i="33"/>
  <c r="AG1908" i="33" s="1"/>
  <c r="D1907" i="33"/>
  <c r="AG1907" i="33" s="1"/>
  <c r="D1905" i="33"/>
  <c r="AG1905" i="33" s="1"/>
  <c r="D1904" i="33"/>
  <c r="AG1904" i="33" s="1"/>
  <c r="D1903" i="33"/>
  <c r="AG1903" i="33" s="1"/>
  <c r="D1902" i="33"/>
  <c r="AG1902" i="33" s="1"/>
  <c r="D1901" i="33"/>
  <c r="AG1901" i="33" s="1"/>
  <c r="D1900" i="33"/>
  <c r="AG1900" i="33" s="1"/>
  <c r="D1899" i="33"/>
  <c r="AG1899" i="33" s="1"/>
  <c r="D1898" i="33"/>
  <c r="AG1898" i="33" s="1"/>
  <c r="D1897" i="33"/>
  <c r="AG1897" i="33" s="1"/>
  <c r="D1896" i="33"/>
  <c r="AG1896" i="33" s="1"/>
  <c r="D1895" i="33"/>
  <c r="AG1895" i="33" s="1"/>
  <c r="D1893" i="33"/>
  <c r="AG1893" i="33" s="1"/>
  <c r="D1891" i="33"/>
  <c r="AG1891" i="33" s="1"/>
  <c r="D1885" i="33"/>
  <c r="AG1885" i="33" s="1"/>
  <c r="D1881" i="33"/>
  <c r="AG1881" i="33" s="1"/>
  <c r="D1874" i="33"/>
  <c r="AG1874" i="33" s="1"/>
  <c r="D1873" i="33"/>
  <c r="AG1873" i="33" s="1"/>
  <c r="D1871" i="33"/>
  <c r="AG1871" i="33" s="1"/>
  <c r="D1870" i="33"/>
  <c r="AG1870" i="33" s="1"/>
  <c r="D1869" i="33"/>
  <c r="AG1869" i="33" s="1"/>
  <c r="D1868" i="33"/>
  <c r="AG1868" i="33" s="1"/>
  <c r="D1860" i="33"/>
  <c r="AG1860" i="33" s="1"/>
  <c r="D1859" i="33"/>
  <c r="AG1859" i="33" s="1"/>
  <c r="D1858" i="33"/>
  <c r="AG1858" i="33" s="1"/>
  <c r="D1857" i="33"/>
  <c r="AG1857" i="33" s="1"/>
  <c r="D1856" i="33"/>
  <c r="AG1856" i="33" s="1"/>
  <c r="D1855" i="33"/>
  <c r="AG1855" i="33" s="1"/>
  <c r="D1854" i="33"/>
  <c r="AG1854" i="33" s="1"/>
  <c r="D1853" i="33"/>
  <c r="AG1853" i="33" s="1"/>
  <c r="D1852" i="33"/>
  <c r="AG1852" i="33" s="1"/>
  <c r="D1851" i="33"/>
  <c r="AG1851" i="33" s="1"/>
  <c r="D1850" i="33"/>
  <c r="AG1850" i="33" s="1"/>
  <c r="D1849" i="33"/>
  <c r="AG1849" i="33" s="1"/>
  <c r="D1848" i="33"/>
  <c r="AG1848" i="33" s="1"/>
  <c r="D1847" i="33"/>
  <c r="AG1847" i="33" s="1"/>
  <c r="D1846" i="33"/>
  <c r="AG1846" i="33" s="1"/>
  <c r="D1845" i="33"/>
  <c r="AG1845" i="33" s="1"/>
  <c r="D1844" i="33"/>
  <c r="AG1844" i="33" s="1"/>
  <c r="D1843" i="33"/>
  <c r="AG1843" i="33" s="1"/>
  <c r="D1842" i="33"/>
  <c r="AG1842" i="33" s="1"/>
  <c r="D1841" i="33"/>
  <c r="AG1841" i="33" s="1"/>
  <c r="D1840" i="33"/>
  <c r="AG1840" i="33" s="1"/>
  <c r="D1839" i="33"/>
  <c r="AG1839" i="33" s="1"/>
  <c r="D1838" i="33"/>
  <c r="AG1838" i="33" s="1"/>
  <c r="D1837" i="33"/>
  <c r="AG1837" i="33" s="1"/>
  <c r="D1836" i="33"/>
  <c r="AG1836" i="33" s="1"/>
  <c r="D1835" i="33"/>
  <c r="AG1835" i="33" s="1"/>
  <c r="D1834" i="33"/>
  <c r="AG1834" i="33" s="1"/>
  <c r="D1833" i="33"/>
  <c r="AG1833" i="33" s="1"/>
  <c r="D1832" i="33"/>
  <c r="AG1832" i="33" s="1"/>
  <c r="D1831" i="33"/>
  <c r="AG1831" i="33" s="1"/>
  <c r="D1830" i="33"/>
  <c r="AG1830" i="33" s="1"/>
  <c r="D1829" i="33"/>
  <c r="AG1829" i="33" s="1"/>
  <c r="D1828" i="33"/>
  <c r="AG1828" i="33" s="1"/>
  <c r="D1827" i="33"/>
  <c r="AG1827" i="33" s="1"/>
  <c r="D1826" i="33"/>
  <c r="AG1826" i="33" s="1"/>
  <c r="D1825" i="33"/>
  <c r="AG1825" i="33" s="1"/>
  <c r="D1824" i="33"/>
  <c r="AG1824" i="33" s="1"/>
  <c r="D1823" i="33"/>
  <c r="AG1823" i="33" s="1"/>
  <c r="D1822" i="33"/>
  <c r="AG1822" i="33" s="1"/>
  <c r="D1821" i="33"/>
  <c r="AG1821" i="33" s="1"/>
  <c r="D1820" i="33"/>
  <c r="AG1820" i="33" s="1"/>
  <c r="D1819" i="33"/>
  <c r="AG1819" i="33" s="1"/>
  <c r="D1818" i="33"/>
  <c r="AG1818" i="33" s="1"/>
  <c r="D1817" i="33"/>
  <c r="AG1817" i="33" s="1"/>
  <c r="D1816" i="33"/>
  <c r="AG1816" i="33" s="1"/>
  <c r="D1815" i="33"/>
  <c r="AG1815" i="33" s="1"/>
  <c r="D1814" i="33"/>
  <c r="AG1814" i="33" s="1"/>
  <c r="D1813" i="33"/>
  <c r="AG1813" i="33" s="1"/>
  <c r="D1812" i="33"/>
  <c r="AG1812" i="33" s="1"/>
  <c r="D1811" i="33"/>
  <c r="AG1811" i="33" s="1"/>
  <c r="D1810" i="33"/>
  <c r="AG1810" i="33" s="1"/>
  <c r="D1809" i="33"/>
  <c r="AG1809" i="33" s="1"/>
  <c r="AG1799" i="33"/>
  <c r="AG1798" i="33"/>
  <c r="AG1797" i="33"/>
  <c r="AG1796" i="33"/>
  <c r="AG1794" i="33"/>
  <c r="AG1793" i="33"/>
  <c r="D1789" i="33"/>
  <c r="AG1789" i="33" s="1"/>
  <c r="D1787" i="33"/>
  <c r="AG1787" i="33" s="1"/>
  <c r="D1786" i="33"/>
  <c r="AG1786" i="33" s="1"/>
  <c r="D1785" i="33"/>
  <c r="AG1785" i="33" s="1"/>
  <c r="D1784" i="33"/>
  <c r="AG1784" i="33" s="1"/>
  <c r="D1783" i="33"/>
  <c r="AG1783" i="33" s="1"/>
  <c r="D1782" i="33"/>
  <c r="AG1782" i="33" s="1"/>
  <c r="D1780" i="33"/>
  <c r="AG1780" i="33" s="1"/>
  <c r="D1779" i="33"/>
  <c r="AG1779" i="33" s="1"/>
  <c r="D1778" i="33"/>
  <c r="AG1778" i="33" s="1"/>
  <c r="D1777" i="33"/>
  <c r="AG1777" i="33" s="1"/>
  <c r="D1773" i="33"/>
  <c r="AG1773" i="33" s="1"/>
  <c r="D1772" i="33"/>
  <c r="AG1772" i="33" s="1"/>
  <c r="D1771" i="33"/>
  <c r="AG1771" i="33" s="1"/>
  <c r="D1770" i="33"/>
  <c r="AG1770" i="33" s="1"/>
  <c r="D1769" i="33"/>
  <c r="AG1769" i="33" s="1"/>
  <c r="D1768" i="33"/>
  <c r="AG1768" i="33" s="1"/>
  <c r="D1765" i="33"/>
  <c r="AG1765" i="33" s="1"/>
  <c r="D1764" i="33"/>
  <c r="AG1764" i="33" s="1"/>
  <c r="D1763" i="33"/>
  <c r="AG1763" i="33" s="1"/>
  <c r="D1762" i="33"/>
  <c r="AG1762" i="33" s="1"/>
  <c r="D1756" i="33"/>
  <c r="AG1756" i="33" s="1"/>
  <c r="D1753" i="33"/>
  <c r="AG1753" i="33" s="1"/>
  <c r="D1748" i="33"/>
  <c r="AG1748" i="33" s="1"/>
  <c r="D1747" i="33"/>
  <c r="AG1747" i="33" s="1"/>
  <c r="D1746" i="33"/>
  <c r="AG1746" i="33" s="1"/>
  <c r="D1745" i="33"/>
  <c r="AG1745" i="33" s="1"/>
  <c r="D1744" i="33"/>
  <c r="AG1744" i="33" s="1"/>
  <c r="D1743" i="33"/>
  <c r="AG1743" i="33" s="1"/>
  <c r="D1742" i="33"/>
  <c r="AG1742" i="33" s="1"/>
  <c r="D1741" i="33"/>
  <c r="AG1741" i="33" s="1"/>
  <c r="D1740" i="33"/>
  <c r="AG1740" i="33" s="1"/>
  <c r="D1739" i="33"/>
  <c r="AG1739" i="33" s="1"/>
  <c r="D1738" i="33"/>
  <c r="AG1738" i="33" s="1"/>
  <c r="D1737" i="33"/>
  <c r="AG1737" i="33" s="1"/>
  <c r="D1736" i="33"/>
  <c r="AG1736" i="33" s="1"/>
  <c r="D1734" i="33"/>
  <c r="AG1734" i="33" s="1"/>
  <c r="D1733" i="33"/>
  <c r="AG1733" i="33" s="1"/>
  <c r="D1732" i="33"/>
  <c r="AG1732" i="33" s="1"/>
  <c r="D1731" i="33"/>
  <c r="AG1731" i="33" s="1"/>
  <c r="D1730" i="33"/>
  <c r="AG1730" i="33" s="1"/>
  <c r="D1729" i="33"/>
  <c r="AG1729" i="33" s="1"/>
  <c r="D1728" i="33"/>
  <c r="AG1728" i="33" s="1"/>
  <c r="D1727" i="33"/>
  <c r="AG1727" i="33" s="1"/>
  <c r="D1726" i="33"/>
  <c r="AG1726" i="33" s="1"/>
  <c r="D1725" i="33"/>
  <c r="AG1725" i="33" s="1"/>
  <c r="D1724" i="33"/>
  <c r="AG1724" i="33" s="1"/>
  <c r="D1723" i="33"/>
  <c r="AG1723" i="33" s="1"/>
  <c r="AG1720" i="33"/>
  <c r="AG1719" i="33"/>
  <c r="D1711" i="33"/>
  <c r="AG1711" i="33" s="1"/>
  <c r="D1706" i="33"/>
  <c r="AG1706" i="33" s="1"/>
  <c r="D1704" i="33"/>
  <c r="AG1704" i="33" s="1"/>
  <c r="D1703" i="33"/>
  <c r="AG1703" i="33" s="1"/>
  <c r="D1701" i="33"/>
  <c r="AG1701" i="33" s="1"/>
  <c r="D1693" i="33"/>
  <c r="AG1693" i="33" s="1"/>
  <c r="D1687" i="33"/>
  <c r="AG1687" i="33" s="1"/>
  <c r="D1686" i="33"/>
  <c r="AG1686" i="33" s="1"/>
  <c r="D1684" i="33"/>
  <c r="AG1684" i="33" s="1"/>
  <c r="D1680" i="33"/>
  <c r="AG1680" i="33" s="1"/>
  <c r="D1668" i="33"/>
  <c r="AG1668" i="33" s="1"/>
  <c r="D1657" i="33"/>
  <c r="AG1657" i="33" s="1"/>
  <c r="D1652" i="33"/>
  <c r="AG1652" i="33" s="1"/>
  <c r="D1651" i="33"/>
  <c r="AG1651" i="33" s="1"/>
  <c r="D1650" i="33"/>
  <c r="AG1650" i="33" s="1"/>
  <c r="D1649" i="33"/>
  <c r="AG1649" i="33" s="1"/>
  <c r="D1648" i="33"/>
  <c r="AG1648" i="33" s="1"/>
  <c r="D1647" i="33"/>
  <c r="AG1647" i="33" s="1"/>
  <c r="D1646" i="33"/>
  <c r="AG1646" i="33" s="1"/>
  <c r="D1645" i="33"/>
  <c r="AG1645" i="33" s="1"/>
  <c r="D1644" i="33"/>
  <c r="AG1644" i="33" s="1"/>
  <c r="D1643" i="33"/>
  <c r="AG1643" i="33" s="1"/>
  <c r="D1642" i="33"/>
  <c r="AG1642" i="33" s="1"/>
  <c r="D1637" i="33"/>
  <c r="AG1637" i="33" s="1"/>
  <c r="D1636" i="33"/>
  <c r="AG1636" i="33" s="1"/>
  <c r="D1635" i="33"/>
  <c r="AG1635" i="33" s="1"/>
  <c r="D1634" i="33"/>
  <c r="AG1634" i="33" s="1"/>
  <c r="D1633" i="33"/>
  <c r="AG1633" i="33" s="1"/>
  <c r="D1632" i="33"/>
  <c r="AG1632" i="33" s="1"/>
  <c r="D1631" i="33"/>
  <c r="AG1631" i="33" s="1"/>
  <c r="D1625" i="33"/>
  <c r="AG1625" i="33" s="1"/>
  <c r="D1615" i="33"/>
  <c r="AG1615" i="33" s="1"/>
  <c r="D1614" i="33"/>
  <c r="AG1614" i="33" s="1"/>
  <c r="D1613" i="33"/>
  <c r="AG1613" i="33" s="1"/>
  <c r="D1612" i="33"/>
  <c r="AG1612" i="33" s="1"/>
  <c r="D1611" i="33"/>
  <c r="AG1611" i="33" s="1"/>
  <c r="D1610" i="33"/>
  <c r="AG1610" i="33" s="1"/>
  <c r="D1609" i="33"/>
  <c r="AG1609" i="33" s="1"/>
  <c r="D1608" i="33"/>
  <c r="AG1608" i="33" s="1"/>
  <c r="D1607" i="33"/>
  <c r="AG1607" i="33" s="1"/>
  <c r="D1606" i="33"/>
  <c r="AG1606" i="33" s="1"/>
  <c r="D1605" i="33"/>
  <c r="AG1605" i="33" s="1"/>
  <c r="D1604" i="33"/>
  <c r="AG1604" i="33" s="1"/>
  <c r="D1603" i="33"/>
  <c r="AG1603" i="33" s="1"/>
  <c r="D1594" i="33"/>
  <c r="AG1594" i="33" s="1"/>
  <c r="D1593" i="33"/>
  <c r="AG1593" i="33" s="1"/>
  <c r="D1592" i="33"/>
  <c r="AG1592" i="33" s="1"/>
  <c r="D1587" i="33"/>
  <c r="AG1587" i="33" s="1"/>
  <c r="D1583" i="33"/>
  <c r="AG1583" i="33" s="1"/>
  <c r="D1580" i="33"/>
  <c r="AG1580" i="33" s="1"/>
  <c r="D1579" i="33"/>
  <c r="AG1579" i="33" s="1"/>
  <c r="D1578" i="33"/>
  <c r="AG1578" i="33" s="1"/>
  <c r="D1577" i="33"/>
  <c r="AG1577" i="33" s="1"/>
  <c r="D1576" i="33"/>
  <c r="AG1576" i="33" s="1"/>
  <c r="D1575" i="33"/>
  <c r="AG1575" i="33" s="1"/>
  <c r="D1574" i="33"/>
  <c r="AG1574" i="33" s="1"/>
  <c r="D1573" i="33"/>
  <c r="AG1573" i="33" s="1"/>
  <c r="D1572" i="33"/>
  <c r="AG1572" i="33" s="1"/>
  <c r="D1571" i="33"/>
  <c r="AG1571" i="33" s="1"/>
  <c r="D1570" i="33"/>
  <c r="AG1570" i="33" s="1"/>
  <c r="D1569" i="33"/>
  <c r="AG1569" i="33" s="1"/>
  <c r="D1568" i="33"/>
  <c r="AG1568" i="33" s="1"/>
  <c r="D1567" i="33"/>
  <c r="AG1567" i="33" s="1"/>
  <c r="D1566" i="33"/>
  <c r="AG1566" i="33" s="1"/>
  <c r="D1565" i="33"/>
  <c r="AG1565" i="33" s="1"/>
  <c r="D1564" i="33"/>
  <c r="AG1564" i="33" s="1"/>
  <c r="D1560" i="33"/>
  <c r="AG1560" i="33" s="1"/>
  <c r="D1559" i="33"/>
  <c r="AG1559" i="33" s="1"/>
  <c r="AG1556" i="33"/>
  <c r="D1548" i="33"/>
  <c r="AG1548" i="33" s="1"/>
  <c r="D1545" i="33"/>
  <c r="AG1545" i="33" s="1"/>
  <c r="D1544" i="33"/>
  <c r="AG1544" i="33" s="1"/>
  <c r="D1543" i="33"/>
  <c r="AG1543" i="33" s="1"/>
  <c r="D1542" i="33"/>
  <c r="AG1542" i="33" s="1"/>
  <c r="D1541" i="33"/>
  <c r="AG1541" i="33" s="1"/>
  <c r="D1540" i="33"/>
  <c r="AG1540" i="33" s="1"/>
  <c r="D1539" i="33"/>
  <c r="AG1539" i="33" s="1"/>
  <c r="D1538" i="33"/>
  <c r="AG1538" i="33" s="1"/>
  <c r="D1537" i="33"/>
  <c r="AG1537" i="33" s="1"/>
  <c r="D1536" i="33"/>
  <c r="AG1536" i="33" s="1"/>
  <c r="D1535" i="33"/>
  <c r="AG1535" i="33" s="1"/>
  <c r="D1534" i="33"/>
  <c r="AG1534" i="33" s="1"/>
  <c r="D1533" i="33"/>
  <c r="AG1533" i="33" s="1"/>
  <c r="D1532" i="33"/>
  <c r="AG1532" i="33" s="1"/>
  <c r="D1531" i="33"/>
  <c r="AG1531" i="33" s="1"/>
  <c r="AG1525" i="33"/>
  <c r="D1512" i="33"/>
  <c r="AG1512" i="33" s="1"/>
  <c r="D1509" i="33"/>
  <c r="AG1509" i="33" s="1"/>
  <c r="D1506" i="33"/>
  <c r="AG1506" i="33" s="1"/>
  <c r="D1505" i="33"/>
  <c r="AG1505" i="33" s="1"/>
  <c r="D1504" i="33"/>
  <c r="AG1504" i="33" s="1"/>
  <c r="D1503" i="33"/>
  <c r="AG1503" i="33" s="1"/>
  <c r="D1500" i="33"/>
  <c r="AG1500" i="33" s="1"/>
  <c r="D1499" i="33"/>
  <c r="AG1499" i="33" s="1"/>
  <c r="D1498" i="33"/>
  <c r="AG1498" i="33" s="1"/>
  <c r="D1497" i="33"/>
  <c r="AG1497" i="33" s="1"/>
  <c r="D1495" i="33"/>
  <c r="AG1495" i="33" s="1"/>
  <c r="D1494" i="33"/>
  <c r="AG1494" i="33" s="1"/>
  <c r="AG1493" i="33"/>
  <c r="AG1491" i="33"/>
  <c r="AG1490" i="33"/>
  <c r="AG1489" i="33"/>
  <c r="D1488" i="33"/>
  <c r="AG1488" i="33" s="1"/>
  <c r="D1487" i="33"/>
  <c r="AG1487" i="33" s="1"/>
  <c r="D1486" i="33"/>
  <c r="AG1486" i="33" s="1"/>
  <c r="D1485" i="33"/>
  <c r="AG1485" i="33" s="1"/>
  <c r="D1484" i="33"/>
  <c r="AG1484" i="33" s="1"/>
  <c r="D1483" i="33"/>
  <c r="AG1483" i="33" s="1"/>
  <c r="D1482" i="33"/>
  <c r="AG1482" i="33" s="1"/>
  <c r="D1481" i="33"/>
  <c r="AG1481" i="33" s="1"/>
  <c r="D1480" i="33"/>
  <c r="AG1480" i="33" s="1"/>
  <c r="D1479" i="33"/>
  <c r="AG1479" i="33" s="1"/>
  <c r="D1478" i="33"/>
  <c r="AG1478" i="33" s="1"/>
  <c r="D1477" i="33"/>
  <c r="AG1477" i="33" s="1"/>
  <c r="D1476" i="33"/>
  <c r="AG1476" i="33" s="1"/>
  <c r="D1475" i="33"/>
  <c r="AG1475" i="33" s="1"/>
  <c r="D1474" i="33"/>
  <c r="AG1474" i="33" s="1"/>
  <c r="D1473" i="33"/>
  <c r="AG1473" i="33" s="1"/>
  <c r="D1472" i="33"/>
  <c r="AG1472" i="33" s="1"/>
  <c r="D1471" i="33"/>
  <c r="AG1471" i="33" s="1"/>
  <c r="D1470" i="33"/>
  <c r="AG1470" i="33" s="1"/>
  <c r="D1469" i="33"/>
  <c r="AG1469" i="33" s="1"/>
  <c r="D1468" i="33"/>
  <c r="AG1468" i="33" s="1"/>
  <c r="D1467" i="33"/>
  <c r="AG1467" i="33" s="1"/>
  <c r="D1465" i="33"/>
  <c r="AG1465" i="33" s="1"/>
  <c r="D1463" i="33"/>
  <c r="AG1463" i="33" s="1"/>
  <c r="D1462" i="33"/>
  <c r="AG1462" i="33" s="1"/>
  <c r="D1461" i="33"/>
  <c r="AG1461" i="33" s="1"/>
  <c r="D1460" i="33"/>
  <c r="AG1460" i="33" s="1"/>
  <c r="D1458" i="33"/>
  <c r="AG1458" i="33" s="1"/>
  <c r="D1457" i="33"/>
  <c r="AG1457" i="33" s="1"/>
  <c r="D1456" i="33"/>
  <c r="AG1456" i="33" s="1"/>
  <c r="D1455" i="33"/>
  <c r="AG1455" i="33" s="1"/>
  <c r="D1454" i="33"/>
  <c r="AG1454" i="33" s="1"/>
  <c r="D1453" i="33"/>
  <c r="AG1453" i="33" s="1"/>
  <c r="D1452" i="33"/>
  <c r="AG1452" i="33" s="1"/>
  <c r="D1446" i="33"/>
  <c r="AG1446" i="33" s="1"/>
  <c r="D1445" i="33"/>
  <c r="AG1445" i="33" s="1"/>
  <c r="D1444" i="33"/>
  <c r="AG1444" i="33" s="1"/>
  <c r="D1443" i="33"/>
  <c r="AG1443" i="33" s="1"/>
  <c r="AG1435" i="33"/>
  <c r="D1434" i="33"/>
  <c r="AG1434" i="33" s="1"/>
  <c r="D1432" i="33"/>
  <c r="AG1432" i="33" s="1"/>
  <c r="D1431" i="33"/>
  <c r="AG1431" i="33" s="1"/>
  <c r="D1430" i="33"/>
  <c r="AG1430" i="33" s="1"/>
  <c r="D1428" i="33"/>
  <c r="AG1428" i="33" s="1"/>
  <c r="AG1425" i="33"/>
  <c r="AG1421" i="33"/>
  <c r="D1419" i="33"/>
  <c r="AG1419" i="33" s="1"/>
  <c r="D1415" i="33"/>
  <c r="AG1415" i="33" s="1"/>
  <c r="D1414" i="33"/>
  <c r="AG1414" i="33" s="1"/>
  <c r="D1413" i="33"/>
  <c r="AG1413" i="33" s="1"/>
  <c r="D1412" i="33"/>
  <c r="AG1412" i="33" s="1"/>
  <c r="D1411" i="33"/>
  <c r="AG1411" i="33" s="1"/>
  <c r="D1410" i="33"/>
  <c r="AG1410" i="33" s="1"/>
  <c r="D1409" i="33"/>
  <c r="AG1409" i="33" s="1"/>
  <c r="D1408" i="33"/>
  <c r="AG1408" i="33" s="1"/>
  <c r="D1407" i="33"/>
  <c r="AG1407" i="33" s="1"/>
  <c r="D1406" i="33"/>
  <c r="AG1406" i="33" s="1"/>
  <c r="D1403" i="33"/>
  <c r="AG1403" i="33" s="1"/>
  <c r="D1402" i="33"/>
  <c r="AG1402" i="33" s="1"/>
  <c r="D1401" i="33"/>
  <c r="AG1401" i="33" s="1"/>
  <c r="D1400" i="33"/>
  <c r="AG1400" i="33" s="1"/>
  <c r="D1399" i="33"/>
  <c r="AG1399" i="33" s="1"/>
  <c r="D1398" i="33"/>
  <c r="AG1398" i="33" s="1"/>
  <c r="D1397" i="33"/>
  <c r="AG1397" i="33" s="1"/>
  <c r="D1396" i="33"/>
  <c r="AG1396" i="33" s="1"/>
  <c r="D1395" i="33"/>
  <c r="AG1395" i="33" s="1"/>
  <c r="D1387" i="33"/>
  <c r="AG1387" i="33" s="1"/>
  <c r="D1385" i="33"/>
  <c r="AG1385" i="33" s="1"/>
  <c r="D1384" i="33"/>
  <c r="AG1384" i="33" s="1"/>
  <c r="AG1376" i="33"/>
  <c r="D1369" i="33"/>
  <c r="AG1369" i="33" s="1"/>
  <c r="D1368" i="33"/>
  <c r="AG1368" i="33" s="1"/>
  <c r="D1367" i="33"/>
  <c r="AG1367" i="33" s="1"/>
  <c r="D1366" i="33"/>
  <c r="AG1366" i="33" s="1"/>
  <c r="D1365" i="33"/>
  <c r="AG1365" i="33" s="1"/>
  <c r="D1364" i="33"/>
  <c r="AG1364" i="33" s="1"/>
  <c r="D1362" i="33"/>
  <c r="AG1362" i="33" s="1"/>
  <c r="D1361" i="33"/>
  <c r="AG1361" i="33" s="1"/>
  <c r="D1360" i="33"/>
  <c r="AG1360" i="33" s="1"/>
  <c r="D1359" i="33"/>
  <c r="AG1359" i="33" s="1"/>
  <c r="D1358" i="33"/>
  <c r="AG1358" i="33" s="1"/>
  <c r="D1357" i="33"/>
  <c r="AG1357" i="33" s="1"/>
  <c r="D1356" i="33"/>
  <c r="AG1356" i="33" s="1"/>
  <c r="D1355" i="33"/>
  <c r="AG1355" i="33" s="1"/>
  <c r="D1354" i="33"/>
  <c r="AG1354" i="33" s="1"/>
  <c r="D1353" i="33"/>
  <c r="AG1353" i="33" s="1"/>
  <c r="D1352" i="33"/>
  <c r="AG1352" i="33" s="1"/>
  <c r="D1348" i="33"/>
  <c r="AG1348" i="33" s="1"/>
  <c r="D1347" i="33"/>
  <c r="AG1347" i="33" s="1"/>
  <c r="D1346" i="33"/>
  <c r="AG1346" i="33" s="1"/>
  <c r="D1345" i="33"/>
  <c r="AG1345" i="33" s="1"/>
  <c r="D1344" i="33"/>
  <c r="AG1344" i="33" s="1"/>
  <c r="D1343" i="33"/>
  <c r="AG1343" i="33" s="1"/>
  <c r="D1342" i="33"/>
  <c r="AG1342" i="33" s="1"/>
  <c r="D1341" i="33"/>
  <c r="AG1341" i="33" s="1"/>
  <c r="D1340" i="33"/>
  <c r="AG1340" i="33" s="1"/>
  <c r="D1338" i="33"/>
  <c r="AG1338" i="33" s="1"/>
  <c r="D1337" i="33"/>
  <c r="AG1337" i="33" s="1"/>
  <c r="D1336" i="33"/>
  <c r="AG1336" i="33" s="1"/>
  <c r="D1335" i="33"/>
  <c r="AG1335" i="33" s="1"/>
  <c r="D1333" i="33"/>
  <c r="AG1333" i="33" s="1"/>
  <c r="D1332" i="33"/>
  <c r="AG1332" i="33" s="1"/>
  <c r="D1331" i="33"/>
  <c r="AG1331" i="33" s="1"/>
  <c r="D1330" i="33"/>
  <c r="AG1330" i="33" s="1"/>
  <c r="D1329" i="33"/>
  <c r="AG1329" i="33" s="1"/>
  <c r="D1328" i="33"/>
  <c r="AG1328" i="33" s="1"/>
  <c r="D1327" i="33"/>
  <c r="AG1327" i="33" s="1"/>
  <c r="D1326" i="33"/>
  <c r="AG1326" i="33" s="1"/>
  <c r="D1325" i="33"/>
  <c r="AG1325" i="33" s="1"/>
  <c r="D1324" i="33"/>
  <c r="AG1324" i="33" s="1"/>
  <c r="D1323" i="33"/>
  <c r="AG1323" i="33" s="1"/>
  <c r="D1314" i="33"/>
  <c r="AG1314" i="33" s="1"/>
  <c r="D1313" i="33"/>
  <c r="AG1313" i="33" s="1"/>
  <c r="D1312" i="33"/>
  <c r="AG1312" i="33" s="1"/>
  <c r="D1311" i="33"/>
  <c r="AG1311" i="33" s="1"/>
  <c r="D1310" i="33"/>
  <c r="AG1310" i="33" s="1"/>
  <c r="D1309" i="33"/>
  <c r="AG1309" i="33" s="1"/>
  <c r="D1308" i="33"/>
  <c r="AG1308" i="33" s="1"/>
  <c r="D1307" i="33"/>
  <c r="AG1307" i="33" s="1"/>
  <c r="D1306" i="33"/>
  <c r="AG1306" i="33" s="1"/>
  <c r="D1305" i="33"/>
  <c r="AG1305" i="33" s="1"/>
  <c r="D1304" i="33"/>
  <c r="AG1304" i="33" s="1"/>
  <c r="D1303" i="33"/>
  <c r="AG1303" i="33" s="1"/>
  <c r="D1302" i="33"/>
  <c r="AG1302" i="33" s="1"/>
  <c r="D1301" i="33"/>
  <c r="AG1301" i="33" s="1"/>
  <c r="D1300" i="33"/>
  <c r="AG1300" i="33" s="1"/>
  <c r="D1299" i="33"/>
  <c r="AG1299" i="33" s="1"/>
  <c r="D1298" i="33"/>
  <c r="AG1298" i="33" s="1"/>
  <c r="D1297" i="33"/>
  <c r="AG1297" i="33" s="1"/>
  <c r="D1296" i="33"/>
  <c r="AG1296" i="33" s="1"/>
  <c r="D1295" i="33"/>
  <c r="AG1295" i="33" s="1"/>
  <c r="D1294" i="33"/>
  <c r="AG1294" i="33" s="1"/>
  <c r="D1293" i="33"/>
  <c r="AG1293" i="33" s="1"/>
  <c r="D1292" i="33"/>
  <c r="AG1292" i="33" s="1"/>
  <c r="D1291" i="33"/>
  <c r="AG1291" i="33" s="1"/>
  <c r="D1290" i="33"/>
  <c r="AG1290" i="33" s="1"/>
  <c r="D1288" i="33"/>
  <c r="AG1288" i="33" s="1"/>
  <c r="D1287" i="33"/>
  <c r="AG1287" i="33" s="1"/>
  <c r="D1286" i="33"/>
  <c r="AG1286" i="33" s="1"/>
  <c r="D1285" i="33"/>
  <c r="AG1285" i="33" s="1"/>
  <c r="D1283" i="33"/>
  <c r="AG1283" i="33" s="1"/>
  <c r="D1282" i="33"/>
  <c r="AG1282" i="33" s="1"/>
  <c r="D1281" i="33"/>
  <c r="AG1281" i="33" s="1"/>
  <c r="D1280" i="33"/>
  <c r="AG1280" i="33" s="1"/>
  <c r="D1279" i="33"/>
  <c r="AG1279" i="33" s="1"/>
  <c r="D1271" i="33"/>
  <c r="AG1271" i="33" s="1"/>
  <c r="D1270" i="33"/>
  <c r="AG1270" i="33" s="1"/>
  <c r="D1258" i="33"/>
  <c r="AG1258" i="33" s="1"/>
  <c r="D1257" i="33"/>
  <c r="AG1257" i="33" s="1"/>
  <c r="D1256" i="33"/>
  <c r="AG1256" i="33" s="1"/>
  <c r="D1255" i="33"/>
  <c r="AG1255" i="33" s="1"/>
  <c r="D1254" i="33"/>
  <c r="AG1254" i="33" s="1"/>
  <c r="D1253" i="33"/>
  <c r="AG1253" i="33" s="1"/>
  <c r="D1252" i="33"/>
  <c r="AG1252" i="33" s="1"/>
  <c r="D1251" i="33"/>
  <c r="AG1251" i="33" s="1"/>
  <c r="D1250" i="33"/>
  <c r="AG1250" i="33" s="1"/>
  <c r="D1249" i="33"/>
  <c r="AG1249" i="33" s="1"/>
  <c r="D1248" i="33"/>
  <c r="AG1248" i="33" s="1"/>
  <c r="D1240" i="33"/>
  <c r="AG1240" i="33" s="1"/>
  <c r="D1239" i="33"/>
  <c r="AG1239" i="33" s="1"/>
  <c r="D1238" i="33"/>
  <c r="AG1238" i="33" s="1"/>
  <c r="D1237" i="33"/>
  <c r="AG1237" i="33" s="1"/>
  <c r="D1236" i="33"/>
  <c r="AG1236" i="33" s="1"/>
  <c r="D1235" i="33"/>
  <c r="AG1235" i="33" s="1"/>
  <c r="D1234" i="33"/>
  <c r="AG1234" i="33" s="1"/>
  <c r="D1233" i="33"/>
  <c r="AG1233" i="33" s="1"/>
  <c r="D1232" i="33"/>
  <c r="AG1232" i="33" s="1"/>
  <c r="D1231" i="33"/>
  <c r="AG1231" i="33" s="1"/>
  <c r="D1230" i="33"/>
  <c r="AG1230" i="33" s="1"/>
  <c r="D1229" i="33"/>
  <c r="AG1229" i="33" s="1"/>
  <c r="D1228" i="33"/>
  <c r="AG1228" i="33" s="1"/>
  <c r="D1227" i="33"/>
  <c r="AG1227" i="33" s="1"/>
  <c r="D1226" i="33"/>
  <c r="AG1226" i="33" s="1"/>
  <c r="D1225" i="33"/>
  <c r="AG1225" i="33" s="1"/>
  <c r="D1224" i="33"/>
  <c r="AG1224" i="33" s="1"/>
  <c r="D1223" i="33"/>
  <c r="AG1223" i="33" s="1"/>
  <c r="D1222" i="33"/>
  <c r="AG1222" i="33" s="1"/>
  <c r="D1221" i="33"/>
  <c r="AG1221" i="33" s="1"/>
  <c r="D1220" i="33"/>
  <c r="AG1220" i="33" s="1"/>
  <c r="D1219" i="33"/>
  <c r="AG1219" i="33" s="1"/>
  <c r="D1218" i="33"/>
  <c r="AG1218" i="33" s="1"/>
  <c r="D1217" i="33"/>
  <c r="AG1217" i="33" s="1"/>
  <c r="D1216" i="33"/>
  <c r="AG1216" i="33" s="1"/>
  <c r="D1215" i="33"/>
  <c r="AG1215" i="33" s="1"/>
  <c r="D1214" i="33"/>
  <c r="AG1214" i="33" s="1"/>
  <c r="D1213" i="33"/>
  <c r="AG1213" i="33" s="1"/>
  <c r="D1212" i="33"/>
  <c r="AG1212" i="33" s="1"/>
  <c r="D1211" i="33"/>
  <c r="AG1211" i="33" s="1"/>
  <c r="D1210" i="33"/>
  <c r="AG1210" i="33" s="1"/>
  <c r="D1209" i="33"/>
  <c r="AG1209" i="33" s="1"/>
  <c r="D1208" i="33"/>
  <c r="AG1208" i="33" s="1"/>
  <c r="D1207" i="33"/>
  <c r="AG1207" i="33" s="1"/>
  <c r="D1206" i="33"/>
  <c r="AG1206" i="33" s="1"/>
  <c r="D1205" i="33"/>
  <c r="AG1205" i="33" s="1"/>
  <c r="D1204" i="33"/>
  <c r="AG1204" i="33" s="1"/>
  <c r="D1203" i="33"/>
  <c r="AG1203" i="33" s="1"/>
  <c r="D1202" i="33"/>
  <c r="AG1202" i="33" s="1"/>
  <c r="D1201" i="33"/>
  <c r="AG1201" i="33" s="1"/>
  <c r="D1200" i="33"/>
  <c r="AG1200" i="33" s="1"/>
  <c r="D1199" i="33"/>
  <c r="AG1199" i="33" s="1"/>
  <c r="D1198" i="33"/>
  <c r="AG1198" i="33" s="1"/>
  <c r="D1197" i="33"/>
  <c r="AG1197" i="33" s="1"/>
  <c r="D1196" i="33"/>
  <c r="AG1196" i="33" s="1"/>
  <c r="D1195" i="33"/>
  <c r="AG1195" i="33" s="1"/>
  <c r="D1194" i="33"/>
  <c r="AG1194" i="33" s="1"/>
  <c r="D1193" i="33"/>
  <c r="AG1193" i="33" s="1"/>
  <c r="D1192" i="33"/>
  <c r="AG1192" i="33" s="1"/>
  <c r="D1191" i="33"/>
  <c r="AG1191" i="33" s="1"/>
  <c r="D1190" i="33"/>
  <c r="AG1190" i="33" s="1"/>
  <c r="D1189" i="33"/>
  <c r="AG1189" i="33" s="1"/>
  <c r="D1188" i="33"/>
  <c r="AG1188" i="33" s="1"/>
  <c r="D1187" i="33"/>
  <c r="AG1187" i="33" s="1"/>
  <c r="D1186" i="33"/>
  <c r="AG1186" i="33" s="1"/>
  <c r="D1185" i="33"/>
  <c r="AG1185" i="33" s="1"/>
  <c r="D1184" i="33"/>
  <c r="AG1184" i="33" s="1"/>
  <c r="D1183" i="33"/>
  <c r="AG1183" i="33" s="1"/>
  <c r="D1182" i="33"/>
  <c r="AG1182" i="33" s="1"/>
  <c r="D1181" i="33"/>
  <c r="AG1181" i="33" s="1"/>
  <c r="D1180" i="33"/>
  <c r="AG1180" i="33" s="1"/>
  <c r="D1179" i="33"/>
  <c r="AG1179" i="33" s="1"/>
  <c r="D1178" i="33"/>
  <c r="AG1178" i="33" s="1"/>
  <c r="D1177" i="33"/>
  <c r="AG1177" i="33" s="1"/>
  <c r="D1176" i="33"/>
  <c r="AG1176" i="33" s="1"/>
  <c r="D1175" i="33"/>
  <c r="AG1175" i="33" s="1"/>
  <c r="D1166" i="33"/>
  <c r="AG1166" i="33" s="1"/>
  <c r="AG1165" i="33"/>
  <c r="AG1163" i="33"/>
  <c r="AG1161" i="33"/>
  <c r="AG1158" i="33"/>
  <c r="D1154" i="33"/>
  <c r="AG1154" i="33" s="1"/>
  <c r="D1152" i="33"/>
  <c r="AG1152" i="33" s="1"/>
  <c r="D1148" i="33"/>
  <c r="AG1148" i="33" s="1"/>
  <c r="D1147" i="33"/>
  <c r="AG1147" i="33" s="1"/>
  <c r="D1146" i="33"/>
  <c r="AG1146" i="33" s="1"/>
  <c r="D1134" i="33"/>
  <c r="AG1134" i="33" s="1"/>
  <c r="D1133" i="33"/>
  <c r="AG1133" i="33" s="1"/>
  <c r="D1132" i="33"/>
  <c r="AG1132" i="33" s="1"/>
  <c r="AG1131" i="33"/>
  <c r="D1130" i="33"/>
  <c r="AG1130" i="33" s="1"/>
  <c r="D1129" i="33"/>
  <c r="AG1129" i="33" s="1"/>
  <c r="D1128" i="33"/>
  <c r="AG1128" i="33" s="1"/>
  <c r="D1122" i="33"/>
  <c r="AG1122" i="33" s="1"/>
  <c r="D1121" i="33"/>
  <c r="AG1121" i="33" s="1"/>
  <c r="D1120" i="33"/>
  <c r="AG1120" i="33" s="1"/>
  <c r="D1119" i="33"/>
  <c r="AG1119" i="33" s="1"/>
  <c r="D1118" i="33"/>
  <c r="AG1118" i="33" s="1"/>
  <c r="D1117" i="33"/>
  <c r="AG1117" i="33" s="1"/>
  <c r="D1116" i="33"/>
  <c r="AG1116" i="33" s="1"/>
  <c r="D1115" i="33"/>
  <c r="AG1115" i="33" s="1"/>
  <c r="D1114" i="33"/>
  <c r="AG1114" i="33" s="1"/>
  <c r="D1113" i="33"/>
  <c r="AG1113" i="33" s="1"/>
  <c r="D1112" i="33"/>
  <c r="AG1112" i="33" s="1"/>
  <c r="D1111" i="33"/>
  <c r="AG1111" i="33" s="1"/>
  <c r="D1109" i="33"/>
  <c r="AG1109" i="33" s="1"/>
  <c r="AG1105" i="33"/>
  <c r="AG1104" i="33"/>
  <c r="AG1065" i="33"/>
  <c r="AG1071" i="33"/>
  <c r="AG1070" i="33"/>
  <c r="AG1069" i="33"/>
  <c r="AG1068" i="33"/>
  <c r="AG1067" i="33"/>
  <c r="AG1066" i="33"/>
  <c r="AG1064" i="33"/>
  <c r="D1060" i="33"/>
  <c r="AG1060" i="33" s="1"/>
  <c r="AG1073" i="33"/>
  <c r="D1054" i="33"/>
  <c r="AG1054" i="33" s="1"/>
  <c r="D1055" i="33"/>
  <c r="AG1055" i="33" s="1"/>
  <c r="D1052" i="33"/>
  <c r="AG1052" i="33" s="1"/>
  <c r="D1048" i="33"/>
  <c r="AG1048" i="33" s="1"/>
  <c r="D1044" i="33"/>
  <c r="AG1044" i="33" s="1"/>
  <c r="D1043" i="33"/>
  <c r="AG1043" i="33" s="1"/>
  <c r="D1041" i="33"/>
  <c r="AG1041" i="33" s="1"/>
  <c r="D1040" i="33"/>
  <c r="AG1040" i="33" s="1"/>
  <c r="D1039" i="33"/>
  <c r="AG1039" i="33" s="1"/>
  <c r="D1038" i="33"/>
  <c r="AG1038" i="33" s="1"/>
  <c r="D1037" i="33"/>
  <c r="AG1037" i="33" s="1"/>
  <c r="D1034" i="33"/>
  <c r="AG1034" i="33" s="1"/>
  <c r="D1033" i="33"/>
  <c r="AG1033" i="33" s="1"/>
  <c r="D1028" i="33"/>
  <c r="AG1028" i="33" s="1"/>
  <c r="D1027" i="33"/>
  <c r="AG1027" i="33" s="1"/>
  <c r="D1026" i="33"/>
  <c r="AG1026" i="33" s="1"/>
  <c r="D1016" i="33"/>
  <c r="AG1016" i="33" s="1"/>
  <c r="D1012" i="33"/>
  <c r="AG1012" i="33" s="1"/>
  <c r="D1005" i="33"/>
  <c r="AG1005" i="33" s="1"/>
  <c r="D1004" i="33"/>
  <c r="AG1004" i="33" s="1"/>
  <c r="D1003" i="33"/>
  <c r="AG1003" i="33" s="1"/>
  <c r="D1000" i="33"/>
  <c r="AG1000" i="33" s="1"/>
  <c r="D998" i="33"/>
  <c r="AG998" i="33" s="1"/>
  <c r="D995" i="33"/>
  <c r="AG995" i="33" s="1"/>
  <c r="AG994" i="33"/>
  <c r="D988" i="33"/>
  <c r="AG988" i="33" s="1"/>
  <c r="D987" i="33"/>
  <c r="AG987" i="33" s="1"/>
  <c r="D981" i="33"/>
  <c r="AG981" i="33" s="1"/>
  <c r="D980" i="33"/>
  <c r="AG980" i="33" s="1"/>
  <c r="D979" i="33"/>
  <c r="AG979" i="33" s="1"/>
  <c r="D978" i="33"/>
  <c r="AG978" i="33" s="1"/>
  <c r="D977" i="33"/>
  <c r="AG977" i="33" s="1"/>
  <c r="D976" i="33"/>
  <c r="AG976" i="33" s="1"/>
  <c r="D975" i="33"/>
  <c r="AG975" i="33" s="1"/>
  <c r="D973" i="33"/>
  <c r="AG973" i="33" s="1"/>
  <c r="D971" i="33"/>
  <c r="AG971" i="33" s="1"/>
  <c r="D966" i="33"/>
  <c r="AG966" i="33" s="1"/>
  <c r="D959" i="33"/>
  <c r="AG959" i="33" s="1"/>
  <c r="D958" i="33"/>
  <c r="AG958" i="33" s="1"/>
  <c r="D957" i="33"/>
  <c r="AG957" i="33" s="1"/>
  <c r="D952" i="33"/>
  <c r="AG952" i="33" s="1"/>
  <c r="D951" i="33"/>
  <c r="AG951" i="33" s="1"/>
  <c r="D950" i="33"/>
  <c r="AG950" i="33" s="1"/>
  <c r="D949" i="33"/>
  <c r="AG949" i="33" s="1"/>
  <c r="D948" i="33"/>
  <c r="AG948" i="33" s="1"/>
  <c r="D947" i="33"/>
  <c r="AG947" i="33" s="1"/>
  <c r="D946" i="33"/>
  <c r="AG946" i="33" s="1"/>
  <c r="D945" i="33"/>
  <c r="AG945" i="33" s="1"/>
  <c r="D944" i="33"/>
  <c r="AG944" i="33" s="1"/>
  <c r="D943" i="33"/>
  <c r="AG943" i="33" s="1"/>
  <c r="D942" i="33"/>
  <c r="AG942" i="33" s="1"/>
  <c r="D940" i="33"/>
  <c r="AG940" i="33" s="1"/>
  <c r="D939" i="33"/>
  <c r="AG939" i="33" s="1"/>
  <c r="AG934" i="33"/>
  <c r="D933" i="33"/>
  <c r="AG933" i="33" s="1"/>
  <c r="D932" i="33"/>
  <c r="AG932" i="33" s="1"/>
  <c r="D927" i="33"/>
  <c r="AG927" i="33" s="1"/>
  <c r="D920" i="33"/>
  <c r="AG920" i="33" s="1"/>
  <c r="D916" i="33"/>
  <c r="AG916" i="33" s="1"/>
  <c r="AG913" i="33"/>
  <c r="D900" i="33"/>
  <c r="AG900" i="33" s="1"/>
  <c r="D899" i="33"/>
  <c r="AG899" i="33" s="1"/>
  <c r="D897" i="33"/>
  <c r="AG897" i="33" s="1"/>
  <c r="D896" i="33"/>
  <c r="AG896" i="33" s="1"/>
  <c r="D895" i="33"/>
  <c r="AG895" i="33" s="1"/>
  <c r="D893" i="33"/>
  <c r="AG893" i="33" s="1"/>
  <c r="D891" i="33"/>
  <c r="AG891" i="33" s="1"/>
  <c r="D890" i="33"/>
  <c r="AG890" i="33" s="1"/>
  <c r="D889" i="33"/>
  <c r="AG889" i="33" s="1"/>
  <c r="D887" i="33"/>
  <c r="AG887" i="33" s="1"/>
  <c r="D886" i="33"/>
  <c r="AG886" i="33" s="1"/>
  <c r="D880" i="33"/>
  <c r="AG880" i="33" s="1"/>
  <c r="D879" i="33"/>
  <c r="AG879" i="33" s="1"/>
  <c r="D869" i="33"/>
  <c r="AG869" i="33" s="1"/>
  <c r="D866" i="33"/>
  <c r="AG866" i="33" s="1"/>
  <c r="D865" i="33"/>
  <c r="AG865" i="33" s="1"/>
  <c r="D864" i="33"/>
  <c r="AG864" i="33" s="1"/>
  <c r="D863" i="33"/>
  <c r="AG863" i="33" s="1"/>
  <c r="D862" i="33"/>
  <c r="AG862" i="33" s="1"/>
  <c r="D861" i="33"/>
  <c r="AG861" i="33" s="1"/>
  <c r="D860" i="33"/>
  <c r="AG860" i="33" s="1"/>
  <c r="D846" i="33"/>
  <c r="AG846" i="33" s="1"/>
  <c r="D845" i="33"/>
  <c r="AG845" i="33" s="1"/>
  <c r="D844" i="33"/>
  <c r="AG844" i="33" s="1"/>
  <c r="D843" i="33"/>
  <c r="AG843" i="33" s="1"/>
  <c r="D842" i="33"/>
  <c r="AG842" i="33" s="1"/>
  <c r="D841" i="33"/>
  <c r="AG841" i="33" s="1"/>
  <c r="D838" i="33"/>
  <c r="AG838" i="33" s="1"/>
  <c r="D836" i="33"/>
  <c r="AG836" i="33" s="1"/>
  <c r="D835" i="33"/>
  <c r="AG835" i="33" s="1"/>
  <c r="D834" i="33"/>
  <c r="AG834" i="33" s="1"/>
  <c r="D832" i="33"/>
  <c r="AG832" i="33" s="1"/>
  <c r="D831" i="33"/>
  <c r="AG831" i="33" s="1"/>
  <c r="D825" i="33"/>
  <c r="AG825" i="33" s="1"/>
  <c r="D824" i="33"/>
  <c r="AG824" i="33" s="1"/>
  <c r="D816" i="33"/>
  <c r="AG816" i="33" s="1"/>
  <c r="D815" i="33"/>
  <c r="AG815" i="33" s="1"/>
  <c r="D814" i="33"/>
  <c r="AG814" i="33" s="1"/>
  <c r="D808" i="33"/>
  <c r="AG808" i="33" s="1"/>
  <c r="D807" i="33"/>
  <c r="AG807" i="33" s="1"/>
  <c r="D798" i="33"/>
  <c r="AG798" i="33" s="1"/>
  <c r="D794" i="33"/>
  <c r="AG794" i="33" s="1"/>
  <c r="D793" i="33"/>
  <c r="AG793" i="33" s="1"/>
  <c r="AG792" i="33"/>
  <c r="D789" i="33"/>
  <c r="AG789" i="33" s="1"/>
  <c r="D788" i="33"/>
  <c r="AG788" i="33" s="1"/>
  <c r="D787" i="33"/>
  <c r="AG787" i="33" s="1"/>
  <c r="D779" i="33"/>
  <c r="AG779" i="33" s="1"/>
  <c r="D778" i="33"/>
  <c r="AG778" i="33" s="1"/>
  <c r="D777" i="33"/>
  <c r="AG777" i="33" s="1"/>
  <c r="AG775" i="33"/>
  <c r="AG774" i="33"/>
  <c r="AG773" i="33"/>
  <c r="D452" i="33"/>
  <c r="AG452" i="33" s="1"/>
  <c r="D451" i="33"/>
  <c r="AG451" i="33" s="1"/>
  <c r="D450" i="33"/>
  <c r="AG450" i="33" s="1"/>
  <c r="D449" i="33"/>
  <c r="AG449" i="33" s="1"/>
  <c r="D447" i="33"/>
  <c r="AG447" i="33" s="1"/>
  <c r="D446" i="33"/>
  <c r="AG446" i="33" s="1"/>
  <c r="D445" i="33"/>
  <c r="AG445" i="33" s="1"/>
  <c r="D444" i="33"/>
  <c r="AG444" i="33" s="1"/>
  <c r="D443" i="33"/>
  <c r="AG443" i="33" s="1"/>
  <c r="D442" i="33"/>
  <c r="AG442" i="33" s="1"/>
  <c r="D441" i="33"/>
  <c r="AG441" i="33" s="1"/>
  <c r="D440" i="33"/>
  <c r="AG440" i="33" s="1"/>
  <c r="D439" i="33"/>
  <c r="AG439" i="33" s="1"/>
  <c r="D438" i="33"/>
  <c r="AG438" i="33" s="1"/>
  <c r="D437" i="33"/>
  <c r="AG437" i="33" s="1"/>
  <c r="D436" i="33"/>
  <c r="AG436" i="33" s="1"/>
  <c r="D435" i="33"/>
  <c r="AG435" i="33" s="1"/>
  <c r="D434" i="33"/>
  <c r="AG434" i="33" s="1"/>
  <c r="D691" i="33"/>
  <c r="AG691" i="33" s="1"/>
  <c r="D686" i="33"/>
  <c r="AG686" i="33" s="1"/>
  <c r="D685" i="33"/>
  <c r="AG685" i="33" s="1"/>
  <c r="D684" i="33"/>
  <c r="AG684" i="33" s="1"/>
  <c r="D683" i="33"/>
  <c r="AG683" i="33" s="1"/>
  <c r="D679" i="33"/>
  <c r="AG679" i="33" s="1"/>
  <c r="D673" i="33"/>
  <c r="AG673" i="33" s="1"/>
  <c r="D672" i="33"/>
  <c r="AG672" i="33" s="1"/>
  <c r="D670" i="33"/>
  <c r="AG670" i="33" s="1"/>
  <c r="D666" i="33"/>
  <c r="AG666" i="33" s="1"/>
  <c r="D665" i="33"/>
  <c r="AG665" i="33" s="1"/>
  <c r="D664" i="33"/>
  <c r="AG664" i="33" s="1"/>
  <c r="D663" i="33"/>
  <c r="AG663" i="33" s="1"/>
  <c r="D662" i="33"/>
  <c r="AG662" i="33" s="1"/>
  <c r="D661" i="33"/>
  <c r="AG661" i="33" s="1"/>
  <c r="D660" i="33"/>
  <c r="AG660" i="33" s="1"/>
  <c r="D659" i="33"/>
  <c r="AG659" i="33" s="1"/>
  <c r="D658" i="33"/>
  <c r="AG658" i="33" s="1"/>
  <c r="D644" i="33"/>
  <c r="AG644" i="33" s="1"/>
  <c r="D639" i="33"/>
  <c r="AG639" i="33" s="1"/>
  <c r="D638" i="33"/>
  <c r="AG638" i="33" s="1"/>
  <c r="D635" i="33"/>
  <c r="AG635" i="33" s="1"/>
  <c r="D634" i="33"/>
  <c r="AG634" i="33" s="1"/>
  <c r="D633" i="33"/>
  <c r="AG633" i="33" s="1"/>
  <c r="D632" i="33"/>
  <c r="AG632" i="33" s="1"/>
  <c r="D628" i="33"/>
  <c r="AG628" i="33" s="1"/>
  <c r="AG627" i="33"/>
  <c r="D626" i="33"/>
  <c r="AG626" i="33" s="1"/>
  <c r="D623" i="33"/>
  <c r="AG623" i="33" s="1"/>
  <c r="D622" i="33"/>
  <c r="AG622" i="33" s="1"/>
  <c r="D618" i="33"/>
  <c r="AG618" i="33" s="1"/>
  <c r="D617" i="33"/>
  <c r="AG617" i="33" s="1"/>
  <c r="D616" i="33"/>
  <c r="AG616" i="33" s="1"/>
  <c r="D615" i="33"/>
  <c r="AG615" i="33" s="1"/>
  <c r="D614" i="33"/>
  <c r="AG614" i="33" s="1"/>
  <c r="D613" i="33"/>
  <c r="AG613" i="33" s="1"/>
  <c r="D612" i="33"/>
  <c r="AG612" i="33" s="1"/>
  <c r="D609" i="33"/>
  <c r="AG609" i="33" s="1"/>
  <c r="D608" i="33"/>
  <c r="AG608" i="33" s="1"/>
  <c r="AG607" i="33"/>
  <c r="D610" i="33"/>
  <c r="AG610" i="33" s="1"/>
  <c r="D606" i="33"/>
  <c r="AG606" i="33" s="1"/>
  <c r="D605" i="33"/>
  <c r="AG605" i="33" s="1"/>
  <c r="D604" i="33"/>
  <c r="AG604" i="33" s="1"/>
  <c r="D603" i="33"/>
  <c r="AG603" i="33" s="1"/>
  <c r="D602" i="33"/>
  <c r="AG602" i="33" s="1"/>
  <c r="D601" i="33"/>
  <c r="AG601" i="33" s="1"/>
  <c r="D600" i="33"/>
  <c r="AG600" i="33" s="1"/>
  <c r="D599" i="33"/>
  <c r="AG599" i="33" s="1"/>
  <c r="D598" i="33"/>
  <c r="AG598" i="33" s="1"/>
  <c r="D597" i="33"/>
  <c r="AG597" i="33" s="1"/>
  <c r="D591" i="33"/>
  <c r="AG591" i="33" s="1"/>
  <c r="D590" i="33"/>
  <c r="AG590" i="33" s="1"/>
  <c r="D587" i="33"/>
  <c r="AG587" i="33" s="1"/>
  <c r="D485" i="33"/>
  <c r="AG485" i="33" s="1"/>
  <c r="D554" i="33"/>
  <c r="AG554" i="33" s="1"/>
  <c r="D529" i="33"/>
  <c r="AG529" i="33" s="1"/>
  <c r="D524" i="33"/>
  <c r="AG524" i="33" s="1"/>
  <c r="D523" i="33"/>
  <c r="AG523" i="33" s="1"/>
  <c r="D553" i="33"/>
  <c r="AG553" i="33" s="1"/>
  <c r="D522" i="33"/>
  <c r="AG522" i="33" s="1"/>
  <c r="D521" i="33"/>
  <c r="AG521" i="33" s="1"/>
  <c r="D552" i="33"/>
  <c r="AG552" i="33" s="1"/>
  <c r="D484" i="33"/>
  <c r="AG484" i="33" s="1"/>
  <c r="D520" i="33"/>
  <c r="AG520" i="33" s="1"/>
  <c r="D519" i="33"/>
  <c r="AG519" i="33" s="1"/>
  <c r="D551" i="33"/>
  <c r="AG551" i="33" s="1"/>
  <c r="D483" i="33"/>
  <c r="AG483" i="33" s="1"/>
  <c r="D580" i="33"/>
  <c r="AG580" i="33" s="1"/>
  <c r="D579" i="33"/>
  <c r="AG579" i="33" s="1"/>
  <c r="D578" i="33"/>
  <c r="AG578" i="33" s="1"/>
  <c r="D577" i="33"/>
  <c r="AG577" i="33" s="1"/>
  <c r="D576" i="33"/>
  <c r="AG576" i="33" s="1"/>
  <c r="D518" i="33"/>
  <c r="AG518" i="33" s="1"/>
  <c r="D517" i="33"/>
  <c r="AG517" i="33" s="1"/>
  <c r="D549" i="33"/>
  <c r="AG549" i="33" s="1"/>
  <c r="D481" i="33"/>
  <c r="AG481" i="33" s="1"/>
  <c r="D571" i="33"/>
  <c r="AG571" i="33" s="1"/>
  <c r="D570" i="33"/>
  <c r="AG570" i="33" s="1"/>
  <c r="D569" i="33"/>
  <c r="AG569" i="33" s="1"/>
  <c r="D568" i="33"/>
  <c r="AG568" i="33" s="1"/>
  <c r="D515" i="33"/>
  <c r="AG515" i="33" s="1"/>
  <c r="D514" i="33"/>
  <c r="AG514" i="33" s="1"/>
  <c r="D547" i="33"/>
  <c r="AG547" i="33" s="1"/>
  <c r="D525" i="33"/>
  <c r="AG525" i="33" s="1"/>
  <c r="D479" i="33"/>
  <c r="AG479" i="33" s="1"/>
  <c r="D565" i="33"/>
  <c r="AG565" i="33" s="1"/>
  <c r="D564" i="33"/>
  <c r="AG564" i="33" s="1"/>
  <c r="D563" i="33"/>
  <c r="AG563" i="33" s="1"/>
  <c r="D562" i="33"/>
  <c r="AG562" i="33" s="1"/>
  <c r="D512" i="33"/>
  <c r="AG512" i="33" s="1"/>
  <c r="D511" i="33"/>
  <c r="AG511" i="33" s="1"/>
  <c r="D586" i="33"/>
  <c r="AG586" i="33" s="1"/>
  <c r="D546" i="33"/>
  <c r="AG546" i="33" s="1"/>
  <c r="D545" i="33"/>
  <c r="AG545" i="33" s="1"/>
  <c r="D561" i="33"/>
  <c r="AG561" i="33" s="1"/>
  <c r="D559" i="33"/>
  <c r="AG559" i="33" s="1"/>
  <c r="D510" i="33"/>
  <c r="AG510" i="33" s="1"/>
  <c r="D509" i="33"/>
  <c r="AG509" i="33" s="1"/>
  <c r="D508" i="33"/>
  <c r="AG508" i="33" s="1"/>
  <c r="D543" i="33"/>
  <c r="AG543" i="33" s="1"/>
  <c r="D475" i="33"/>
  <c r="AG475" i="33" s="1"/>
  <c r="D507" i="33"/>
  <c r="AG507" i="33" s="1"/>
  <c r="D505" i="33"/>
  <c r="AG505" i="33" s="1"/>
  <c r="D504" i="33"/>
  <c r="AG504" i="33" s="1"/>
  <c r="D542" i="33"/>
  <c r="AG542" i="33" s="1"/>
  <c r="D541" i="33"/>
  <c r="AG541" i="33" s="1"/>
  <c r="D474" i="33"/>
  <c r="AG474" i="33" s="1"/>
  <c r="D472" i="33"/>
  <c r="AG472" i="33" s="1"/>
  <c r="D503" i="33"/>
  <c r="AG503" i="33" s="1"/>
  <c r="D501" i="33"/>
  <c r="AG501" i="33" s="1"/>
  <c r="D500" i="33"/>
  <c r="AG500" i="33" s="1"/>
  <c r="D498" i="33"/>
  <c r="AG498" i="33" s="1"/>
  <c r="D497" i="33"/>
  <c r="AG497" i="33" s="1"/>
  <c r="D540" i="33"/>
  <c r="AG540" i="33" s="1"/>
  <c r="D538" i="33"/>
  <c r="AG538" i="33" s="1"/>
  <c r="D471" i="33"/>
  <c r="AG471" i="33" s="1"/>
  <c r="D463" i="33"/>
  <c r="AG463" i="33" s="1"/>
  <c r="D462" i="33"/>
  <c r="AG462" i="33" s="1"/>
  <c r="D496" i="33"/>
  <c r="AG496" i="33" s="1"/>
  <c r="D494" i="33"/>
  <c r="AG494" i="33" s="1"/>
  <c r="D491" i="33"/>
  <c r="AG491" i="33" s="1"/>
  <c r="D589" i="33"/>
  <c r="AG589" i="33" s="1"/>
  <c r="D588" i="33"/>
  <c r="AG588" i="33" s="1"/>
  <c r="D585" i="33"/>
  <c r="AG585" i="33" s="1"/>
  <c r="D584" i="33"/>
  <c r="AG584" i="33" s="1"/>
  <c r="D583" i="33"/>
  <c r="AG583" i="33" s="1"/>
  <c r="D582" i="33"/>
  <c r="AG582" i="33" s="1"/>
  <c r="D457" i="33"/>
  <c r="AG457" i="33" s="1"/>
  <c r="D456" i="33"/>
  <c r="AG456" i="33" s="1"/>
  <c r="D581" i="33"/>
  <c r="AG581" i="33" s="1"/>
  <c r="D535" i="33"/>
  <c r="AG535" i="33" s="1"/>
  <c r="D533" i="33"/>
  <c r="AG533" i="33" s="1"/>
  <c r="D532" i="33"/>
  <c r="AG532" i="33" s="1"/>
  <c r="D537" i="33"/>
  <c r="AG537" i="33" s="1"/>
  <c r="D534" i="33"/>
  <c r="AG534" i="33" s="1"/>
  <c r="D531" i="33"/>
  <c r="AG531" i="33" s="1"/>
  <c r="D455" i="33"/>
  <c r="AG455" i="33" s="1"/>
  <c r="D461" i="33"/>
  <c r="AG461" i="33" s="1"/>
  <c r="D459" i="33"/>
  <c r="AG459" i="33" s="1"/>
  <c r="D458" i="33"/>
  <c r="AG458" i="33" s="1"/>
  <c r="D530" i="33"/>
  <c r="AG530" i="33" s="1"/>
  <c r="D528" i="33"/>
  <c r="AG528" i="33" s="1"/>
  <c r="D527" i="33"/>
  <c r="AG527" i="33" s="1"/>
  <c r="D490" i="33"/>
  <c r="AG490" i="33" s="1"/>
  <c r="D489" i="33"/>
  <c r="AG489" i="33" s="1"/>
  <c r="D488" i="33"/>
  <c r="AG488" i="33" s="1"/>
  <c r="D487" i="33"/>
  <c r="AG487" i="33" s="1"/>
  <c r="D431" i="33"/>
  <c r="AG431" i="33" s="1"/>
  <c r="D430" i="33"/>
  <c r="AG430" i="33" s="1"/>
  <c r="D429" i="33"/>
  <c r="AG429" i="33" s="1"/>
  <c r="D428" i="33"/>
  <c r="AG428" i="33" s="1"/>
  <c r="D423" i="33"/>
  <c r="AG423" i="33" s="1"/>
  <c r="D421" i="33"/>
  <c r="AG421" i="33" s="1"/>
  <c r="D420" i="33"/>
  <c r="AG420" i="33" s="1"/>
  <c r="D419" i="33"/>
  <c r="AG419" i="33" s="1"/>
  <c r="D418" i="33"/>
  <c r="AG418" i="33" s="1"/>
  <c r="D416" i="33"/>
  <c r="AG416" i="33" s="1"/>
  <c r="D415" i="33"/>
  <c r="AG415" i="33" s="1"/>
  <c r="D413" i="33"/>
  <c r="AG413" i="33" s="1"/>
  <c r="D409" i="33"/>
  <c r="AG409" i="33" s="1"/>
  <c r="D404" i="33"/>
  <c r="AG404" i="33" s="1"/>
  <c r="D399" i="33"/>
  <c r="AG399" i="33" s="1"/>
  <c r="D395" i="33"/>
  <c r="AG395" i="33" s="1"/>
  <c r="D394" i="33"/>
  <c r="AG394" i="33" s="1"/>
  <c r="D393" i="33"/>
  <c r="AG393" i="33" s="1"/>
  <c r="D392" i="33"/>
  <c r="AG392" i="33" s="1"/>
  <c r="D391" i="33"/>
  <c r="AG391" i="33" s="1"/>
  <c r="D390" i="33"/>
  <c r="AG390" i="33" s="1"/>
  <c r="D389" i="33"/>
  <c r="AG389" i="33" s="1"/>
  <c r="D388" i="33"/>
  <c r="AG388" i="33" s="1"/>
  <c r="D387" i="33"/>
  <c r="AG387" i="33" s="1"/>
  <c r="D386" i="33"/>
  <c r="AG386" i="33" s="1"/>
  <c r="D382" i="33"/>
  <c r="AG382" i="33" s="1"/>
  <c r="D376" i="33"/>
  <c r="AG376" i="33" s="1"/>
  <c r="D374" i="33"/>
  <c r="AG374" i="33" s="1"/>
  <c r="D373" i="33"/>
  <c r="AG373" i="33" s="1"/>
  <c r="D372" i="33"/>
  <c r="AG372" i="33" s="1"/>
  <c r="D370" i="33"/>
  <c r="AG370" i="33" s="1"/>
  <c r="D369" i="33"/>
  <c r="AG369" i="33" s="1"/>
  <c r="D365" i="33"/>
  <c r="AG365" i="33" s="1"/>
  <c r="D364" i="33"/>
  <c r="AG364" i="33" s="1"/>
  <c r="D362" i="33"/>
  <c r="AG362" i="33" s="1"/>
  <c r="D361" i="33"/>
  <c r="AG361" i="33" s="1"/>
  <c r="D360" i="33"/>
  <c r="AG360" i="33" s="1"/>
  <c r="D359" i="33"/>
  <c r="AG359" i="33" s="1"/>
  <c r="D358" i="33"/>
  <c r="AG358" i="33" s="1"/>
  <c r="D349" i="33"/>
  <c r="AG349" i="33" s="1"/>
  <c r="D348" i="33"/>
  <c r="AG348" i="33" s="1"/>
  <c r="D347" i="33"/>
  <c r="AG347" i="33" s="1"/>
  <c r="D346" i="33"/>
  <c r="AG346" i="33" s="1"/>
  <c r="D345" i="33"/>
  <c r="AG345" i="33" s="1"/>
  <c r="D344" i="33"/>
  <c r="AG344" i="33" s="1"/>
  <c r="D342" i="33"/>
  <c r="AG342" i="33" s="1"/>
  <c r="D341" i="33"/>
  <c r="AG341" i="33" s="1"/>
  <c r="D340" i="33"/>
  <c r="AG340" i="33" s="1"/>
  <c r="D336" i="33"/>
  <c r="AG336" i="33" s="1"/>
  <c r="D335" i="33"/>
  <c r="AG335" i="33" s="1"/>
  <c r="D333" i="33"/>
  <c r="AG333" i="33" s="1"/>
  <c r="D331" i="33"/>
  <c r="AG331" i="33" s="1"/>
  <c r="D327" i="33"/>
  <c r="AG327" i="33" s="1"/>
  <c r="D326" i="33"/>
  <c r="AG326" i="33" s="1"/>
  <c r="D325" i="33"/>
  <c r="AG325" i="33" s="1"/>
  <c r="D324" i="33"/>
  <c r="AG324" i="33" s="1"/>
  <c r="D323" i="33"/>
  <c r="AG323" i="33" s="1"/>
  <c r="D322" i="33"/>
  <c r="AG322" i="33" s="1"/>
  <c r="D321" i="33"/>
  <c r="AG321" i="33" s="1"/>
  <c r="D320" i="33"/>
  <c r="AG320" i="33" s="1"/>
  <c r="D319" i="33"/>
  <c r="AG319" i="33" s="1"/>
  <c r="D318" i="33"/>
  <c r="AG318" i="33" s="1"/>
  <c r="D317" i="33"/>
  <c r="AG317" i="33" s="1"/>
  <c r="D315" i="33"/>
  <c r="AG315" i="33" s="1"/>
  <c r="D313" i="33"/>
  <c r="AG313" i="33" s="1"/>
  <c r="D303" i="33"/>
  <c r="AG303" i="33" s="1"/>
  <c r="D302" i="33"/>
  <c r="AG302" i="33" s="1"/>
  <c r="D300" i="33"/>
  <c r="AG300" i="33" s="1"/>
  <c r="D292" i="33"/>
  <c r="AG292" i="33" s="1"/>
  <c r="D290" i="33"/>
  <c r="AG290" i="33" s="1"/>
  <c r="D288" i="33"/>
  <c r="AG288" i="33" s="1"/>
  <c r="D277" i="33"/>
  <c r="AG277" i="33" s="1"/>
  <c r="D276" i="33"/>
  <c r="AG276" i="33" s="1"/>
  <c r="AG275" i="33"/>
  <c r="D270" i="33"/>
  <c r="AG270" i="33" s="1"/>
  <c r="D269" i="33"/>
  <c r="AG269" i="33" s="1"/>
  <c r="D268" i="33"/>
  <c r="AG268" i="33" s="1"/>
  <c r="D267" i="33"/>
  <c r="AG267" i="33" s="1"/>
  <c r="D266" i="33"/>
  <c r="AG266" i="33" s="1"/>
  <c r="D265" i="33"/>
  <c r="AG265" i="33" s="1"/>
  <c r="D264" i="33"/>
  <c r="AG264" i="33" s="1"/>
  <c r="D263" i="33"/>
  <c r="AG263" i="33" s="1"/>
  <c r="D262" i="33"/>
  <c r="AG262" i="33" s="1"/>
  <c r="D260" i="33"/>
  <c r="AG260" i="33" s="1"/>
  <c r="D252" i="33"/>
  <c r="AG252" i="33" s="1"/>
  <c r="D251" i="33"/>
  <c r="AG251" i="33" s="1"/>
  <c r="D250" i="33"/>
  <c r="AG250" i="33" s="1"/>
  <c r="D249" i="33"/>
  <c r="AG249" i="33" s="1"/>
  <c r="D248" i="33"/>
  <c r="AG248" i="33" s="1"/>
  <c r="D246" i="33"/>
  <c r="AG246" i="33" s="1"/>
  <c r="AG244" i="33"/>
  <c r="AG243" i="33"/>
  <c r="AG240" i="33"/>
  <c r="D236" i="33"/>
  <c r="AG236" i="33" s="1"/>
  <c r="D235" i="33"/>
  <c r="AG235" i="33" s="1"/>
  <c r="D234" i="33"/>
  <c r="AG234" i="33" s="1"/>
  <c r="D233" i="33"/>
  <c r="AG233" i="33" s="1"/>
  <c r="D232" i="33"/>
  <c r="AG232" i="33" s="1"/>
  <c r="D231" i="33"/>
  <c r="AG231" i="33" s="1"/>
  <c r="D230" i="33"/>
  <c r="AG230" i="33" s="1"/>
  <c r="D229" i="33"/>
  <c r="AG229" i="33" s="1"/>
  <c r="D228" i="33"/>
  <c r="AG228" i="33" s="1"/>
  <c r="D227" i="33"/>
  <c r="AG227" i="33" s="1"/>
  <c r="D226" i="33"/>
  <c r="AG226" i="33" s="1"/>
  <c r="D225" i="33"/>
  <c r="AG225" i="33" s="1"/>
  <c r="D224" i="33"/>
  <c r="AG224" i="33" s="1"/>
  <c r="D221" i="33"/>
  <c r="AG221" i="33" s="1"/>
  <c r="D220" i="33"/>
  <c r="AG220" i="33" s="1"/>
  <c r="D219" i="33"/>
  <c r="AG219" i="33" s="1"/>
  <c r="D218" i="33"/>
  <c r="AG218" i="33" s="1"/>
  <c r="D215" i="33"/>
  <c r="AG215" i="33" s="1"/>
  <c r="D212" i="33"/>
  <c r="AG212" i="33" s="1"/>
  <c r="D211" i="33"/>
  <c r="AG211" i="33" s="1"/>
  <c r="D209" i="33"/>
  <c r="AG209" i="33" s="1"/>
  <c r="D206" i="33"/>
  <c r="AG206" i="33" s="1"/>
  <c r="D205" i="33"/>
  <c r="AG205" i="33" s="1"/>
  <c r="D204" i="33"/>
  <c r="AG204" i="33" s="1"/>
  <c r="D196" i="33"/>
  <c r="AG196" i="33" s="1"/>
  <c r="D195" i="33"/>
  <c r="AG195" i="33" s="1"/>
  <c r="D194" i="33"/>
  <c r="AG194" i="33" s="1"/>
  <c r="D187" i="33"/>
  <c r="AG187" i="33" s="1"/>
  <c r="D186" i="33"/>
  <c r="AG186" i="33" s="1"/>
  <c r="D185" i="33"/>
  <c r="AG185" i="33" s="1"/>
  <c r="D183" i="33"/>
  <c r="AG183" i="33" s="1"/>
  <c r="D182" i="33"/>
  <c r="AG182" i="33" s="1"/>
  <c r="D178" i="33"/>
  <c r="AG178" i="33" s="1"/>
  <c r="D177" i="33"/>
  <c r="AG177" i="33" s="1"/>
  <c r="D176" i="33"/>
  <c r="AG176" i="33" s="1"/>
  <c r="AG175" i="33"/>
  <c r="D167" i="33"/>
  <c r="AG167" i="33" s="1"/>
  <c r="D166" i="33"/>
  <c r="AG166" i="33" s="1"/>
  <c r="D165" i="33"/>
  <c r="AG165" i="33" s="1"/>
  <c r="D164" i="33"/>
  <c r="AG164" i="33" s="1"/>
  <c r="D163" i="33"/>
  <c r="AG163" i="33" s="1"/>
  <c r="D157" i="33"/>
  <c r="AG157" i="33" s="1"/>
  <c r="D138" i="33"/>
  <c r="AG138" i="33" s="1"/>
  <c r="D124" i="33"/>
  <c r="AG124" i="33" s="1"/>
  <c r="D123" i="33"/>
  <c r="AG123" i="33" s="1"/>
  <c r="D122" i="33"/>
  <c r="AG122" i="33" s="1"/>
  <c r="D121" i="33"/>
  <c r="AG121" i="33" s="1"/>
  <c r="D119" i="33"/>
  <c r="AG119" i="33" s="1"/>
  <c r="D114" i="33"/>
  <c r="AG114" i="33" s="1"/>
  <c r="D113" i="33"/>
  <c r="AG113" i="33" s="1"/>
  <c r="D112" i="33"/>
  <c r="AG112" i="33" s="1"/>
  <c r="D106" i="33"/>
  <c r="AG106" i="33" s="1"/>
  <c r="D104" i="33"/>
  <c r="AG104" i="33" s="1"/>
  <c r="AG100" i="33"/>
  <c r="D96" i="33"/>
  <c r="AG96" i="33" s="1"/>
  <c r="D95" i="33"/>
  <c r="AG95" i="33" s="1"/>
  <c r="D89" i="33"/>
  <c r="AG89" i="33" s="1"/>
  <c r="D88" i="33"/>
  <c r="AG88" i="33" s="1"/>
  <c r="D87" i="33"/>
  <c r="AG87" i="33" s="1"/>
  <c r="D86" i="33"/>
  <c r="AG86" i="33" s="1"/>
  <c r="D85" i="33"/>
  <c r="AG85" i="33" s="1"/>
  <c r="D84" i="33"/>
  <c r="AG84" i="33" s="1"/>
  <c r="D83" i="33"/>
  <c r="AG83" i="33" s="1"/>
  <c r="D82" i="33"/>
  <c r="AG82" i="33" s="1"/>
  <c r="D75" i="33"/>
  <c r="AG75" i="33" s="1"/>
  <c r="D72" i="33"/>
  <c r="AG72" i="33" s="1"/>
  <c r="D65" i="33"/>
  <c r="AG65" i="33" s="1"/>
  <c r="D62" i="33"/>
  <c r="AG62" i="33" s="1"/>
  <c r="D61" i="33"/>
  <c r="AG61" i="33" s="1"/>
  <c r="D60" i="33"/>
  <c r="AG60" i="33" s="1"/>
  <c r="D46" i="33"/>
  <c r="AG46" i="33" s="1"/>
  <c r="D45" i="33"/>
  <c r="AG45" i="33" s="1"/>
  <c r="D43" i="33"/>
  <c r="AG43" i="33" s="1"/>
  <c r="U1989" i="33"/>
  <c r="U1990" i="33" s="1"/>
  <c r="AC1977" i="33"/>
  <c r="AB1977" i="33"/>
  <c r="AA1977" i="33"/>
  <c r="Z1977" i="33"/>
  <c r="Y1977" i="33"/>
  <c r="X1977" i="33"/>
  <c r="W1977" i="33"/>
  <c r="V1977" i="33"/>
  <c r="AC1976" i="33"/>
  <c r="AB1976" i="33"/>
  <c r="AA1976" i="33"/>
  <c r="Z1976" i="33"/>
  <c r="Y1976" i="33"/>
  <c r="X1976" i="33"/>
  <c r="W1976" i="33"/>
  <c r="V1976" i="33"/>
  <c r="U1976" i="33"/>
  <c r="AC1975" i="33"/>
  <c r="AB1975" i="33"/>
  <c r="AA1975" i="33"/>
  <c r="Z1975" i="33"/>
  <c r="Y1975" i="33"/>
  <c r="X1975" i="33"/>
  <c r="W1975" i="33"/>
  <c r="V1975" i="33"/>
  <c r="U1975" i="33"/>
  <c r="U1977" i="33"/>
  <c r="AA1924" i="33"/>
  <c r="AA1925" i="33" s="1"/>
  <c r="Y1947" i="33"/>
  <c r="Y1918" i="33" s="1"/>
  <c r="X1947" i="33"/>
  <c r="X1924" i="33" s="1"/>
  <c r="X1925" i="33" s="1"/>
  <c r="W1947" i="33"/>
  <c r="W1924" i="33" s="1"/>
  <c r="W1925" i="33" s="1"/>
  <c r="V1947" i="33"/>
  <c r="V1924" i="33" s="1"/>
  <c r="V1925" i="33" s="1"/>
  <c r="U1925" i="33"/>
  <c r="Y1951" i="33"/>
  <c r="X1951" i="33"/>
  <c r="W1951" i="33"/>
  <c r="V1951" i="33"/>
  <c r="U1951" i="33"/>
  <c r="AC1933" i="33"/>
  <c r="AC1934" i="33" s="1"/>
  <c r="AC1935" i="33" s="1"/>
  <c r="AB1933" i="33"/>
  <c r="AB1934" i="33" s="1"/>
  <c r="AB1935" i="33" s="1"/>
  <c r="AA1933" i="33"/>
  <c r="AA1934" i="33" s="1"/>
  <c r="AA1935" i="33" s="1"/>
  <c r="Z1933" i="33"/>
  <c r="Z1934" i="33" s="1"/>
  <c r="Z1935" i="33" s="1"/>
  <c r="Y1933" i="33"/>
  <c r="Y1936" i="33" s="1"/>
  <c r="X1933" i="33"/>
  <c r="X1936" i="33" s="1"/>
  <c r="W1933" i="33"/>
  <c r="V1933" i="33"/>
  <c r="V1936" i="33" s="1"/>
  <c r="U1933" i="33"/>
  <c r="U1934" i="33" s="1"/>
  <c r="U1935" i="33" s="1"/>
  <c r="AB1931" i="33"/>
  <c r="AA1931" i="33"/>
  <c r="Z1931" i="33"/>
  <c r="Y1931" i="33"/>
  <c r="X1931" i="33"/>
  <c r="W1931" i="33"/>
  <c r="V1931" i="33"/>
  <c r="AC1928" i="33"/>
  <c r="AB1928" i="33"/>
  <c r="AC1920" i="33"/>
  <c r="AB1920" i="33"/>
  <c r="AA1920" i="33"/>
  <c r="Z1920" i="33"/>
  <c r="Y1920" i="33"/>
  <c r="X1920" i="33"/>
  <c r="W1920" i="33"/>
  <c r="V1920" i="33"/>
  <c r="U1920" i="33"/>
  <c r="AC1919" i="33"/>
  <c r="AB1919" i="33"/>
  <c r="AA1919" i="33"/>
  <c r="Z1919" i="33"/>
  <c r="Y1919" i="33"/>
  <c r="X1919" i="33"/>
  <c r="W1919" i="33"/>
  <c r="V1919" i="33"/>
  <c r="U1919" i="33"/>
  <c r="AC1918" i="33"/>
  <c r="AB1918" i="33"/>
  <c r="AB1025" i="33" s="1"/>
  <c r="U1914" i="33"/>
  <c r="U1931" i="33" s="1"/>
  <c r="AC1906" i="33"/>
  <c r="AB1906" i="33"/>
  <c r="W1906" i="33"/>
  <c r="V1906" i="33"/>
  <c r="AC1888" i="33"/>
  <c r="AB1888" i="33"/>
  <c r="AA1888" i="33"/>
  <c r="Z1888" i="33"/>
  <c r="Y1888" i="33"/>
  <c r="X1888" i="33"/>
  <c r="W1888" i="33"/>
  <c r="V1888" i="33"/>
  <c r="U1888" i="33"/>
  <c r="AC1887" i="33"/>
  <c r="AB1887" i="33"/>
  <c r="AA1887" i="33"/>
  <c r="Z1887" i="33"/>
  <c r="Y1887" i="33"/>
  <c r="X1887" i="33"/>
  <c r="W1887" i="33"/>
  <c r="V1887" i="33"/>
  <c r="U1887" i="33"/>
  <c r="AC1886" i="33"/>
  <c r="AB1886" i="33"/>
  <c r="Y1875" i="33"/>
  <c r="Y1876" i="33" s="1"/>
  <c r="Y1877" i="33" s="1"/>
  <c r="Y1878" i="33" s="1"/>
  <c r="Y1879" i="33" s="1"/>
  <c r="X1875" i="33"/>
  <c r="X1876" i="33" s="1"/>
  <c r="X1877" i="33" s="1"/>
  <c r="X1878" i="33" s="1"/>
  <c r="W1875" i="33"/>
  <c r="W1876" i="33" s="1"/>
  <c r="W1877" i="33" s="1"/>
  <c r="W1878" i="33" s="1"/>
  <c r="V1875" i="33"/>
  <c r="V1876" i="33" s="1"/>
  <c r="V1877" i="33" s="1"/>
  <c r="V1878" i="33" s="1"/>
  <c r="U1875" i="33"/>
  <c r="U1876" i="33" s="1"/>
  <c r="U1877" i="33" s="1"/>
  <c r="U1878" i="33" s="1"/>
  <c r="Y1867" i="33"/>
  <c r="X1867" i="33"/>
  <c r="W1867" i="33"/>
  <c r="V1867" i="33"/>
  <c r="U1867" i="33"/>
  <c r="Y1866" i="33"/>
  <c r="X1866" i="33"/>
  <c r="W1866" i="33"/>
  <c r="V1866" i="33"/>
  <c r="U1866" i="33"/>
  <c r="Y1865" i="33"/>
  <c r="X1865" i="33"/>
  <c r="W1865" i="33"/>
  <c r="V1865" i="33"/>
  <c r="Y1864" i="33"/>
  <c r="X1864" i="33"/>
  <c r="W1864" i="33"/>
  <c r="V1864" i="33"/>
  <c r="U1864" i="33"/>
  <c r="Y1863" i="33"/>
  <c r="X1863" i="33"/>
  <c r="W1863" i="33"/>
  <c r="V1863" i="33"/>
  <c r="U1863" i="33"/>
  <c r="Y1862" i="33"/>
  <c r="X1862" i="33"/>
  <c r="W1862" i="33"/>
  <c r="V1862" i="33"/>
  <c r="AC1808" i="33"/>
  <c r="AB1808" i="33"/>
  <c r="Y1807" i="33"/>
  <c r="Y1808" i="33" s="1"/>
  <c r="X1807" i="33"/>
  <c r="X1808" i="33" s="1"/>
  <c r="W1807" i="33"/>
  <c r="W1808" i="33" s="1"/>
  <c r="V1807" i="33"/>
  <c r="V1808" i="33" s="1"/>
  <c r="U1807" i="33"/>
  <c r="U1808" i="33" s="1"/>
  <c r="AC1806" i="33"/>
  <c r="AB1806" i="33"/>
  <c r="AA1806" i="33"/>
  <c r="Z1806" i="33"/>
  <c r="Y1806" i="33"/>
  <c r="X1806" i="33"/>
  <c r="W1806" i="33"/>
  <c r="V1806" i="33"/>
  <c r="U1806" i="33"/>
  <c r="AC1805" i="33"/>
  <c r="AB1805" i="33"/>
  <c r="AA1805" i="33"/>
  <c r="Z1805" i="33"/>
  <c r="Y1805" i="33"/>
  <c r="X1805" i="33"/>
  <c r="W1805" i="33"/>
  <c r="V1805" i="33"/>
  <c r="U1805" i="33"/>
  <c r="AC1804" i="33"/>
  <c r="AB1804" i="33"/>
  <c r="AA1804" i="33"/>
  <c r="Z1804" i="33"/>
  <c r="Y1804" i="33"/>
  <c r="X1804" i="33"/>
  <c r="W1804" i="33"/>
  <c r="V1804" i="33"/>
  <c r="U1804" i="33"/>
  <c r="AC1803" i="33"/>
  <c r="AB1803" i="33"/>
  <c r="AA1803" i="33"/>
  <c r="Z1803" i="33"/>
  <c r="Y1803" i="33"/>
  <c r="X1803" i="33"/>
  <c r="W1803" i="33"/>
  <c r="V1803" i="33"/>
  <c r="U1803" i="33"/>
  <c r="AB1802" i="33"/>
  <c r="AA1802" i="33"/>
  <c r="Z1802" i="33"/>
  <c r="Y1802" i="33"/>
  <c r="X1802" i="33"/>
  <c r="W1802" i="33"/>
  <c r="V1802" i="33"/>
  <c r="U1802" i="33"/>
  <c r="AC1801" i="33"/>
  <c r="AB1801" i="33"/>
  <c r="AA1801" i="33"/>
  <c r="Z1801" i="33"/>
  <c r="Y1801" i="33"/>
  <c r="X1801" i="33"/>
  <c r="W1801" i="33"/>
  <c r="V1801" i="33"/>
  <c r="U1801" i="33"/>
  <c r="AC1800" i="33"/>
  <c r="AB1800" i="33"/>
  <c r="AA1800" i="33"/>
  <c r="Z1800" i="33"/>
  <c r="Y1800" i="33"/>
  <c r="X1800" i="33"/>
  <c r="W1800" i="33"/>
  <c r="V1800" i="33"/>
  <c r="U1800" i="33"/>
  <c r="AC1802" i="33"/>
  <c r="AC1767" i="33"/>
  <c r="AB1767" i="33"/>
  <c r="AA1767" i="33"/>
  <c r="Z1767" i="33"/>
  <c r="Y1767" i="33"/>
  <c r="X1767" i="33"/>
  <c r="W1767" i="33"/>
  <c r="V1767" i="33"/>
  <c r="U1767" i="33"/>
  <c r="AC1766" i="33"/>
  <c r="AB1766" i="33"/>
  <c r="AA1766" i="33"/>
  <c r="Z1766" i="33"/>
  <c r="Y1766" i="33"/>
  <c r="X1766" i="33"/>
  <c r="W1766" i="33"/>
  <c r="V1766" i="33"/>
  <c r="U1766" i="33"/>
  <c r="AC1761" i="33"/>
  <c r="AB1761" i="33"/>
  <c r="AA1761" i="33"/>
  <c r="Z1761" i="33"/>
  <c r="Y1761" i="33"/>
  <c r="X1761" i="33"/>
  <c r="W1761" i="33"/>
  <c r="V1761" i="33"/>
  <c r="U1761" i="33"/>
  <c r="AC1759" i="33"/>
  <c r="AB1759" i="33"/>
  <c r="AA1759" i="33"/>
  <c r="Z1759" i="33"/>
  <c r="Y1759" i="33"/>
  <c r="X1759" i="33"/>
  <c r="W1759" i="33"/>
  <c r="V1759" i="33"/>
  <c r="U1759" i="33"/>
  <c r="AC1758" i="33"/>
  <c r="AB1758" i="33"/>
  <c r="AA1758" i="33"/>
  <c r="Z1758" i="33"/>
  <c r="Y1758" i="33"/>
  <c r="X1758" i="33"/>
  <c r="W1758" i="33"/>
  <c r="V1758" i="33"/>
  <c r="U1758" i="33"/>
  <c r="AC1757" i="33"/>
  <c r="AC1760" i="33" s="1"/>
  <c r="AB1760" i="33"/>
  <c r="AA1757" i="33"/>
  <c r="AA1760" i="33" s="1"/>
  <c r="Z1757" i="33"/>
  <c r="Z1760" i="33" s="1"/>
  <c r="Y1757" i="33"/>
  <c r="Y1760" i="33" s="1"/>
  <c r="X1757" i="33"/>
  <c r="X1760" i="33" s="1"/>
  <c r="W1757" i="33"/>
  <c r="W1760" i="33" s="1"/>
  <c r="V1757" i="33"/>
  <c r="V1760" i="33" s="1"/>
  <c r="U1757" i="33"/>
  <c r="U1760" i="33" s="1"/>
  <c r="AC1752" i="33"/>
  <c r="AB1752" i="33"/>
  <c r="AA1752" i="33"/>
  <c r="Z1752" i="33"/>
  <c r="X1752" i="33"/>
  <c r="W1752" i="33"/>
  <c r="V1752" i="33"/>
  <c r="U1752" i="33"/>
  <c r="AC1751" i="33"/>
  <c r="AB1751" i="33"/>
  <c r="AA1751" i="33"/>
  <c r="Z1751" i="33"/>
  <c r="X1751" i="33"/>
  <c r="W1751" i="33"/>
  <c r="V1751" i="33"/>
  <c r="U1751" i="33"/>
  <c r="AC1750" i="33"/>
  <c r="AB1750" i="33"/>
  <c r="AA1750" i="33"/>
  <c r="Z1750" i="33"/>
  <c r="X1750" i="33"/>
  <c r="W1750" i="33"/>
  <c r="V1750" i="33"/>
  <c r="U1750" i="33"/>
  <c r="Y1752" i="33"/>
  <c r="AC1722" i="33"/>
  <c r="AB1722" i="33"/>
  <c r="AA1722" i="33"/>
  <c r="Z1722" i="33"/>
  <c r="Y1722" i="33"/>
  <c r="X1722" i="33"/>
  <c r="W1722" i="33"/>
  <c r="V1722" i="33"/>
  <c r="U1722" i="33"/>
  <c r="AC1721" i="33"/>
  <c r="AB1721" i="33"/>
  <c r="AA1721" i="33"/>
  <c r="Z1721" i="33"/>
  <c r="Y1721" i="33"/>
  <c r="X1721" i="33"/>
  <c r="W1721" i="33"/>
  <c r="V1721" i="33"/>
  <c r="U1721" i="33"/>
  <c r="AC1714" i="33"/>
  <c r="AB1714" i="33"/>
  <c r="AA1714" i="33"/>
  <c r="Z1714" i="33"/>
  <c r="X1714" i="33"/>
  <c r="W1714" i="33"/>
  <c r="V1714" i="33"/>
  <c r="U1714" i="33"/>
  <c r="AC1713" i="33"/>
  <c r="AB1713" i="33"/>
  <c r="AA1713" i="33"/>
  <c r="Z1713" i="33"/>
  <c r="Y1713" i="33"/>
  <c r="X1713" i="33"/>
  <c r="W1713" i="33"/>
  <c r="V1713" i="33"/>
  <c r="U1713" i="33"/>
  <c r="AC1710" i="33"/>
  <c r="AB1710" i="33"/>
  <c r="AA1710" i="33"/>
  <c r="Z1710" i="33"/>
  <c r="Y1710" i="33"/>
  <c r="X1710" i="33"/>
  <c r="W1710" i="33"/>
  <c r="V1710" i="33"/>
  <c r="U1710" i="33"/>
  <c r="AC1709" i="33"/>
  <c r="AB1709" i="33"/>
  <c r="AA1709" i="33"/>
  <c r="Z1709" i="33"/>
  <c r="Y1709" i="33"/>
  <c r="X1709" i="33"/>
  <c r="W1709" i="33"/>
  <c r="V1709" i="33"/>
  <c r="U1709" i="33"/>
  <c r="AC1708" i="33"/>
  <c r="AB1708" i="33"/>
  <c r="AA1708" i="33"/>
  <c r="Y1708" i="33"/>
  <c r="X1708" i="33"/>
  <c r="W1708" i="33"/>
  <c r="V1708" i="33"/>
  <c r="U1708" i="33"/>
  <c r="AC1707" i="33"/>
  <c r="AC1712" i="33" s="1"/>
  <c r="AB1707" i="33"/>
  <c r="AB1712" i="33" s="1"/>
  <c r="AA1707" i="33"/>
  <c r="Z1707" i="33"/>
  <c r="Z1459" i="33" s="1"/>
  <c r="Z1513" i="33" s="1"/>
  <c r="Z1514" i="33" s="1"/>
  <c r="Y1707" i="33"/>
  <c r="Y1712" i="33" s="1"/>
  <c r="X1707" i="33"/>
  <c r="X1712" i="33" s="1"/>
  <c r="W1707" i="33"/>
  <c r="V1707" i="33"/>
  <c r="V1712" i="33" s="1"/>
  <c r="U1707" i="33"/>
  <c r="U1712" i="33" s="1"/>
  <c r="AC1699" i="33"/>
  <c r="AB1699" i="33"/>
  <c r="AA1699" i="33"/>
  <c r="Z1699" i="33"/>
  <c r="Y1699" i="33"/>
  <c r="X1699" i="33"/>
  <c r="W1699" i="33"/>
  <c r="V1699" i="33"/>
  <c r="AA1696" i="33"/>
  <c r="AA1697" i="33" s="1"/>
  <c r="AA1698" i="33" s="1"/>
  <c r="Z1696" i="33"/>
  <c r="Z1697" i="33" s="1"/>
  <c r="Z1698" i="33" s="1"/>
  <c r="Y1696" i="33"/>
  <c r="Y1697" i="33" s="1"/>
  <c r="Y1698" i="33" s="1"/>
  <c r="X1696" i="33"/>
  <c r="X1697" i="33" s="1"/>
  <c r="X1698" i="33" s="1"/>
  <c r="W1696" i="33"/>
  <c r="W1697" i="33" s="1"/>
  <c r="W1698" i="33" s="1"/>
  <c r="V1696" i="33"/>
  <c r="V1697" i="33" s="1"/>
  <c r="V1698" i="33" s="1"/>
  <c r="U1696" i="33"/>
  <c r="U1697" i="33" s="1"/>
  <c r="U1698" i="33" s="1"/>
  <c r="AC1696" i="33"/>
  <c r="AC1697" i="33" s="1"/>
  <c r="AC1698" i="33" s="1"/>
  <c r="AB1696" i="33"/>
  <c r="AB1697" i="33" s="1"/>
  <c r="AB1698" i="33" s="1"/>
  <c r="AC1690" i="33"/>
  <c r="AC1691" i="33" s="1"/>
  <c r="AB1690" i="33"/>
  <c r="AB1691" i="33" s="1"/>
  <c r="AA1690" i="33"/>
  <c r="AA1691" i="33" s="1"/>
  <c r="Z1690" i="33"/>
  <c r="Z1691" i="33" s="1"/>
  <c r="Y1690" i="33"/>
  <c r="Y1691" i="33" s="1"/>
  <c r="W1690" i="33"/>
  <c r="W1691" i="33" s="1"/>
  <c r="V1690" i="33"/>
  <c r="V1691" i="33" s="1"/>
  <c r="U1690" i="33"/>
  <c r="U1691" i="33" s="1"/>
  <c r="AC1688" i="33"/>
  <c r="AB1688" i="33"/>
  <c r="AA1688" i="33"/>
  <c r="Z1688" i="33"/>
  <c r="Y1688" i="33"/>
  <c r="X1688" i="33"/>
  <c r="W1688" i="33"/>
  <c r="V1688" i="33"/>
  <c r="U1688" i="33"/>
  <c r="X1690" i="33"/>
  <c r="X1691" i="33" s="1"/>
  <c r="AC1681" i="33"/>
  <c r="AB1681" i="33"/>
  <c r="AA1681" i="33"/>
  <c r="Z1681" i="33"/>
  <c r="Y1681" i="33"/>
  <c r="W1681" i="33"/>
  <c r="V1681" i="33"/>
  <c r="AC1678" i="33"/>
  <c r="AC1679" i="33" s="1"/>
  <c r="AB1678" i="33"/>
  <c r="AB1679" i="33" s="1"/>
  <c r="AA1678" i="33"/>
  <c r="AA1679" i="33" s="1"/>
  <c r="Z1678" i="33"/>
  <c r="Z1679" i="33" s="1"/>
  <c r="X1678" i="33"/>
  <c r="X1679" i="33" s="1"/>
  <c r="W1678" i="33"/>
  <c r="W1679" i="33" s="1"/>
  <c r="V1678" i="33"/>
  <c r="V1679" i="33" s="1"/>
  <c r="U1678" i="33"/>
  <c r="U1679" i="33" s="1"/>
  <c r="AC1676" i="33"/>
  <c r="AC1677" i="33" s="1"/>
  <c r="AB1676" i="33"/>
  <c r="AB1677" i="33" s="1"/>
  <c r="AA1676" i="33"/>
  <c r="AA1677" i="33" s="1"/>
  <c r="Z1676" i="33"/>
  <c r="Z1677" i="33" s="1"/>
  <c r="X1676" i="33"/>
  <c r="X1677" i="33" s="1"/>
  <c r="W1676" i="33"/>
  <c r="W1677" i="33" s="1"/>
  <c r="V1676" i="33"/>
  <c r="V1677" i="33" s="1"/>
  <c r="U1676" i="33"/>
  <c r="U1677" i="33" s="1"/>
  <c r="AC1675" i="33"/>
  <c r="AB1675" i="33"/>
  <c r="AA1675" i="33"/>
  <c r="Z1675" i="33"/>
  <c r="Y1675" i="33"/>
  <c r="X1675" i="33"/>
  <c r="W1675" i="33"/>
  <c r="V1675" i="33"/>
  <c r="U1675" i="33"/>
  <c r="AC1674" i="33"/>
  <c r="AB1674" i="33"/>
  <c r="AA1674" i="33"/>
  <c r="Z1674" i="33"/>
  <c r="X1674" i="33"/>
  <c r="W1674" i="33"/>
  <c r="V1674" i="33"/>
  <c r="U1674" i="33"/>
  <c r="AC1673" i="33"/>
  <c r="AB1673" i="33"/>
  <c r="AA1673" i="33"/>
  <c r="Z1673" i="33"/>
  <c r="X1673" i="33"/>
  <c r="W1673" i="33"/>
  <c r="V1673" i="33"/>
  <c r="U1673" i="33"/>
  <c r="AC1672" i="33"/>
  <c r="AB1672" i="33"/>
  <c r="AA1672" i="33"/>
  <c r="Z1672" i="33"/>
  <c r="Y1672" i="33"/>
  <c r="X1672" i="33"/>
  <c r="W1672" i="33"/>
  <c r="V1672" i="33"/>
  <c r="U1672" i="33"/>
  <c r="AC1671" i="33"/>
  <c r="AB1671" i="33"/>
  <c r="AA1671" i="33"/>
  <c r="Z1671" i="33"/>
  <c r="X1671" i="33"/>
  <c r="W1671" i="33"/>
  <c r="V1671" i="33"/>
  <c r="U1671" i="33"/>
  <c r="AC1670" i="33"/>
  <c r="AB1670" i="33"/>
  <c r="AA1670" i="33"/>
  <c r="Z1670" i="33"/>
  <c r="X1670" i="33"/>
  <c r="W1670" i="33"/>
  <c r="V1670" i="33"/>
  <c r="U1670" i="33"/>
  <c r="AC1669" i="33"/>
  <c r="AB1669" i="33"/>
  <c r="AA1669" i="33"/>
  <c r="Z1669" i="33"/>
  <c r="X1669" i="33"/>
  <c r="W1669" i="33"/>
  <c r="V1669" i="33"/>
  <c r="U1669" i="33"/>
  <c r="Y1678" i="33"/>
  <c r="Y1679" i="33" s="1"/>
  <c r="AC1666" i="33"/>
  <c r="AB1666" i="33"/>
  <c r="AA1666" i="33"/>
  <c r="Z1666" i="33"/>
  <c r="Y1666" i="33"/>
  <c r="X1666" i="33"/>
  <c r="W1666" i="33"/>
  <c r="V1666" i="33"/>
  <c r="U1666" i="33"/>
  <c r="AC1665" i="33"/>
  <c r="AB1665" i="33"/>
  <c r="AA1665" i="33"/>
  <c r="Z1665" i="33"/>
  <c r="Y1665" i="33"/>
  <c r="X1665" i="33"/>
  <c r="W1665" i="33"/>
  <c r="V1665" i="33"/>
  <c r="U1665" i="33"/>
  <c r="AC1664" i="33"/>
  <c r="AB1664" i="33"/>
  <c r="AA1664" i="33"/>
  <c r="Z1664" i="33"/>
  <c r="Y1664" i="33"/>
  <c r="X1664" i="33"/>
  <c r="W1664" i="33"/>
  <c r="V1664" i="33"/>
  <c r="U1664" i="33"/>
  <c r="AC1663" i="33"/>
  <c r="AB1663" i="33"/>
  <c r="AA1663" i="33"/>
  <c r="Z1663" i="33"/>
  <c r="Y1663" i="33"/>
  <c r="X1663" i="33"/>
  <c r="W1663" i="33"/>
  <c r="V1663" i="33"/>
  <c r="U1663" i="33"/>
  <c r="AC1662" i="33"/>
  <c r="AB1662" i="33"/>
  <c r="AA1662" i="33"/>
  <c r="Z1662" i="33"/>
  <c r="Y1662" i="33"/>
  <c r="X1662" i="33"/>
  <c r="W1662" i="33"/>
  <c r="V1662" i="33"/>
  <c r="U1662" i="33"/>
  <c r="AC1661" i="33"/>
  <c r="AB1661" i="33"/>
  <c r="AA1661" i="33"/>
  <c r="Z1661" i="33"/>
  <c r="Y1661" i="33"/>
  <c r="X1661" i="33"/>
  <c r="W1661" i="33"/>
  <c r="V1661" i="33"/>
  <c r="U1661" i="33"/>
  <c r="AC1660" i="33"/>
  <c r="AB1660" i="33"/>
  <c r="AA1660" i="33"/>
  <c r="Z1660" i="33"/>
  <c r="Y1660" i="33"/>
  <c r="X1660" i="33"/>
  <c r="W1660" i="33"/>
  <c r="V1660" i="33"/>
  <c r="U1660" i="33"/>
  <c r="AC1659" i="33"/>
  <c r="AB1659" i="33"/>
  <c r="AA1659" i="33"/>
  <c r="Z1659" i="33"/>
  <c r="Y1659" i="33"/>
  <c r="X1659" i="33"/>
  <c r="W1659" i="33"/>
  <c r="V1659" i="33"/>
  <c r="U1659" i="33"/>
  <c r="AC1658" i="33"/>
  <c r="AB1658" i="33"/>
  <c r="AA1658" i="33"/>
  <c r="Z1658" i="33"/>
  <c r="Y1658" i="33"/>
  <c r="X1658" i="33"/>
  <c r="W1658" i="33"/>
  <c r="V1658" i="33"/>
  <c r="U1658" i="33"/>
  <c r="Y1638" i="33"/>
  <c r="X1638" i="33"/>
  <c r="W1638" i="33"/>
  <c r="V1638" i="33"/>
  <c r="U1638" i="33"/>
  <c r="AC1628" i="33"/>
  <c r="AB1628" i="33"/>
  <c r="AA1628" i="33"/>
  <c r="Z1628" i="33"/>
  <c r="Y1628" i="33"/>
  <c r="X1628" i="33"/>
  <c r="W1628" i="33"/>
  <c r="V1628" i="33"/>
  <c r="U1628" i="33"/>
  <c r="AC1627" i="33"/>
  <c r="AB1627" i="33"/>
  <c r="AA1627" i="33"/>
  <c r="Z1627" i="33"/>
  <c r="Y1627" i="33"/>
  <c r="X1627" i="33"/>
  <c r="W1627" i="33"/>
  <c r="V1627" i="33"/>
  <c r="U1627" i="33"/>
  <c r="AC1626" i="33"/>
  <c r="AB1626" i="33"/>
  <c r="AA1626" i="33"/>
  <c r="Z1626" i="33"/>
  <c r="Y1626" i="33"/>
  <c r="X1626" i="33"/>
  <c r="W1626" i="33"/>
  <c r="V1626" i="33"/>
  <c r="U1626" i="33"/>
  <c r="AC1619" i="33"/>
  <c r="AB1619" i="33"/>
  <c r="AA1619" i="33"/>
  <c r="Z1619" i="33"/>
  <c r="Y1619" i="33"/>
  <c r="X1619" i="33"/>
  <c r="W1619" i="33"/>
  <c r="V1619" i="33"/>
  <c r="AC1618" i="33"/>
  <c r="AB1618" i="33"/>
  <c r="AA1618" i="33"/>
  <c r="Z1618" i="33"/>
  <c r="Y1618" i="33"/>
  <c r="X1618" i="33"/>
  <c r="W1618" i="33"/>
  <c r="V1618" i="33"/>
  <c r="AA1617" i="33"/>
  <c r="Z1617" i="33"/>
  <c r="AC1616" i="33"/>
  <c r="AB1616" i="33"/>
  <c r="AA1616" i="33"/>
  <c r="Z1616" i="33"/>
  <c r="Y1616" i="33"/>
  <c r="X1616" i="33"/>
  <c r="W1616" i="33"/>
  <c r="V1616" i="33"/>
  <c r="Y1602" i="33"/>
  <c r="X1602" i="33"/>
  <c r="W1602" i="33"/>
  <c r="V1602" i="33"/>
  <c r="U1602" i="33"/>
  <c r="Y1601" i="33"/>
  <c r="X1601" i="33"/>
  <c r="W1601" i="33"/>
  <c r="V1601" i="33"/>
  <c r="U1601" i="33"/>
  <c r="Y1600" i="33"/>
  <c r="X1600" i="33"/>
  <c r="W1600" i="33"/>
  <c r="V1600" i="33"/>
  <c r="U1600" i="33"/>
  <c r="Y1599" i="33"/>
  <c r="X1599" i="33"/>
  <c r="W1599" i="33"/>
  <c r="V1599" i="33"/>
  <c r="U1599" i="33"/>
  <c r="Y1598" i="33"/>
  <c r="X1598" i="33"/>
  <c r="W1598" i="33"/>
  <c r="V1598" i="33"/>
  <c r="U1598" i="33"/>
  <c r="AC1617" i="33"/>
  <c r="Y1591" i="33"/>
  <c r="X1591" i="33"/>
  <c r="X1617" i="33" s="1"/>
  <c r="W1591" i="33"/>
  <c r="V1591" i="33"/>
  <c r="V1617" i="33" s="1"/>
  <c r="U1591" i="33"/>
  <c r="AC1586" i="33"/>
  <c r="AB1586" i="33"/>
  <c r="AA1586" i="33"/>
  <c r="Z1586" i="33"/>
  <c r="Y1586" i="33"/>
  <c r="X1586" i="33"/>
  <c r="W1586" i="33"/>
  <c r="V1586" i="33"/>
  <c r="U1586" i="33"/>
  <c r="AC1585" i="33"/>
  <c r="AB1585" i="33"/>
  <c r="AA1585" i="33"/>
  <c r="Z1585" i="33"/>
  <c r="Y1585" i="33"/>
  <c r="X1585" i="33"/>
  <c r="W1585" i="33"/>
  <c r="V1585" i="33"/>
  <c r="U1585" i="33"/>
  <c r="AC1584" i="33"/>
  <c r="AB1584" i="33"/>
  <c r="AA1584" i="33"/>
  <c r="Z1584" i="33"/>
  <c r="Y1584" i="33"/>
  <c r="X1584" i="33"/>
  <c r="W1584" i="33"/>
  <c r="V1584" i="33"/>
  <c r="U1584" i="33"/>
  <c r="Y1563" i="33"/>
  <c r="X1563" i="33"/>
  <c r="W1563" i="33"/>
  <c r="V1563" i="33"/>
  <c r="U1563" i="33"/>
  <c r="Y1562" i="33"/>
  <c r="X1562" i="33"/>
  <c r="W1562" i="33"/>
  <c r="V1562" i="33"/>
  <c r="U1562" i="33"/>
  <c r="AC1561" i="33"/>
  <c r="AB1561" i="33"/>
  <c r="AA1561" i="33"/>
  <c r="Z1561" i="33"/>
  <c r="Y1561" i="33"/>
  <c r="X1561" i="33"/>
  <c r="W1561" i="33"/>
  <c r="V1561" i="33"/>
  <c r="U1561" i="33"/>
  <c r="AC1558" i="33"/>
  <c r="AB1558" i="33"/>
  <c r="AA1558" i="33"/>
  <c r="Z1558" i="33"/>
  <c r="Y1558" i="33"/>
  <c r="X1558" i="33"/>
  <c r="W1558" i="33"/>
  <c r="W986" i="33" s="1"/>
  <c r="V1558" i="33"/>
  <c r="V986" i="33" s="1"/>
  <c r="U1558" i="33"/>
  <c r="AC1557" i="33"/>
  <c r="AB1557" i="33"/>
  <c r="AA1557" i="33"/>
  <c r="Z1557" i="33"/>
  <c r="Y1557" i="33"/>
  <c r="X1557" i="33"/>
  <c r="W1557" i="33"/>
  <c r="V1557" i="33"/>
  <c r="U1557" i="33"/>
  <c r="AC1529" i="33"/>
  <c r="AB1529" i="33"/>
  <c r="Y1529" i="33"/>
  <c r="X1529" i="33"/>
  <c r="W1529" i="33"/>
  <c r="V1529" i="33"/>
  <c r="AC1528" i="33"/>
  <c r="AB1528" i="33"/>
  <c r="Y1528" i="33"/>
  <c r="X1528" i="33"/>
  <c r="W1528" i="33"/>
  <c r="V1528" i="33"/>
  <c r="U1528" i="33"/>
  <c r="AC1527" i="33"/>
  <c r="AB1527" i="33"/>
  <c r="Y1527" i="33"/>
  <c r="W1527" i="33"/>
  <c r="V1527" i="33"/>
  <c r="U1527" i="33"/>
  <c r="U1529" i="33"/>
  <c r="AC1521" i="33"/>
  <c r="AB1521" i="33"/>
  <c r="X1521" i="33"/>
  <c r="W1521" i="33"/>
  <c r="U1521" i="33"/>
  <c r="AC1520" i="33"/>
  <c r="AB1520" i="33"/>
  <c r="X1520" i="33"/>
  <c r="W1520" i="33"/>
  <c r="V1520" i="33"/>
  <c r="U1520" i="33"/>
  <c r="AC1519" i="33"/>
  <c r="AB1519" i="33"/>
  <c r="X1519" i="33"/>
  <c r="W1519" i="33"/>
  <c r="U1519" i="33"/>
  <c r="V1521" i="33"/>
  <c r="AC1517" i="33"/>
  <c r="V1517" i="33"/>
  <c r="U1517" i="33"/>
  <c r="AC1516" i="33"/>
  <c r="V1516" i="33"/>
  <c r="U1516" i="33"/>
  <c r="Y1515" i="33"/>
  <c r="Y1517" i="33" s="1"/>
  <c r="X1515" i="33"/>
  <c r="X1516" i="33" s="1"/>
  <c r="W1515" i="33"/>
  <c r="W1516" i="33" s="1"/>
  <c r="AC1511" i="33"/>
  <c r="AB1511" i="33"/>
  <c r="Y1511" i="33"/>
  <c r="X1511" i="33"/>
  <c r="W1511" i="33"/>
  <c r="V1511" i="33"/>
  <c r="AC1510" i="33"/>
  <c r="AB1510" i="33"/>
  <c r="Y1510" i="33"/>
  <c r="X1510" i="33"/>
  <c r="W1510" i="33"/>
  <c r="V1510" i="33"/>
  <c r="AC1508" i="33"/>
  <c r="AB1508" i="33"/>
  <c r="Y1508" i="33"/>
  <c r="X1508" i="33"/>
  <c r="W1508" i="33"/>
  <c r="V1508" i="33"/>
  <c r="W1449" i="33"/>
  <c r="U1447" i="33"/>
  <c r="Y1450" i="33"/>
  <c r="X1450" i="33"/>
  <c r="W1450" i="33"/>
  <c r="V1450" i="33"/>
  <c r="U1450" i="33"/>
  <c r="Y1449" i="33"/>
  <c r="X1449" i="33"/>
  <c r="V1449" i="33"/>
  <c r="U1449" i="33"/>
  <c r="Y1448" i="33"/>
  <c r="X1448" i="33"/>
  <c r="W1448" i="33"/>
  <c r="V1448" i="33"/>
  <c r="U1448" i="33"/>
  <c r="Y1447" i="33"/>
  <c r="X1447" i="33"/>
  <c r="W1447" i="33"/>
  <c r="V1447" i="33"/>
  <c r="AC1442" i="33"/>
  <c r="AB1442" i="33"/>
  <c r="AB33" i="33" s="1"/>
  <c r="Y1442" i="33"/>
  <c r="Y33" i="33" s="1"/>
  <c r="X1442" i="33"/>
  <c r="X33" i="33" s="1"/>
  <c r="X81" i="33" s="1"/>
  <c r="W1442" i="33"/>
  <c r="W33" i="33" s="1"/>
  <c r="V1442" i="33"/>
  <c r="V33" i="33" s="1"/>
  <c r="U1442" i="33"/>
  <c r="U33" i="33" s="1"/>
  <c r="AC1441" i="33"/>
  <c r="AB1441" i="33"/>
  <c r="Y1441" i="33"/>
  <c r="X1441" i="33"/>
  <c r="W1441" i="33"/>
  <c r="V1441" i="33"/>
  <c r="U1441" i="33"/>
  <c r="AC1440" i="33"/>
  <c r="AB1440" i="33"/>
  <c r="Y1440" i="33"/>
  <c r="X1440" i="33"/>
  <c r="W1440" i="33"/>
  <c r="V1440" i="33"/>
  <c r="U1440" i="33"/>
  <c r="AC1439" i="33"/>
  <c r="Y1439" i="33"/>
  <c r="X1439" i="33"/>
  <c r="W1439" i="33"/>
  <c r="V1439" i="33"/>
  <c r="U1439" i="33"/>
  <c r="AC1433" i="33"/>
  <c r="AB1433" i="33"/>
  <c r="Y1433" i="33"/>
  <c r="X1433" i="33"/>
  <c r="W1433" i="33"/>
  <c r="V1433" i="33"/>
  <c r="U1433" i="33"/>
  <c r="AC1427" i="33"/>
  <c r="AB1427" i="33"/>
  <c r="Y1427" i="33"/>
  <c r="X1427" i="33"/>
  <c r="W1427" i="33"/>
  <c r="V1427" i="33"/>
  <c r="U1427" i="33"/>
  <c r="AC1426" i="33"/>
  <c r="AB1426" i="33"/>
  <c r="Y1426" i="33"/>
  <c r="X1426" i="33"/>
  <c r="W1426" i="33"/>
  <c r="V1426" i="33"/>
  <c r="AC1404" i="33"/>
  <c r="AC1405" i="33" s="1"/>
  <c r="AB1404" i="33"/>
  <c r="AB1405" i="33" s="1"/>
  <c r="AA1404" i="33"/>
  <c r="AA1405" i="33" s="1"/>
  <c r="Z1404" i="33"/>
  <c r="Z1405" i="33" s="1"/>
  <c r="Y1404" i="33"/>
  <c r="Y1405" i="33" s="1"/>
  <c r="X1404" i="33"/>
  <c r="X1405" i="33" s="1"/>
  <c r="W1404" i="33"/>
  <c r="W1405" i="33" s="1"/>
  <c r="V1404" i="33"/>
  <c r="V1405" i="33" s="1"/>
  <c r="U1404" i="33"/>
  <c r="U1405" i="33" s="1"/>
  <c r="Y1334" i="33"/>
  <c r="X1334" i="33"/>
  <c r="W1334" i="33"/>
  <c r="V1334" i="33"/>
  <c r="U1334" i="33"/>
  <c r="AC1319" i="33"/>
  <c r="AB1319" i="33"/>
  <c r="AA1319" i="33"/>
  <c r="Z1319" i="33"/>
  <c r="Y1319" i="33"/>
  <c r="X1319" i="33"/>
  <c r="W1319" i="33"/>
  <c r="V1319" i="33"/>
  <c r="U1319" i="33"/>
  <c r="AC1318" i="33"/>
  <c r="AB1318" i="33"/>
  <c r="AA1318" i="33"/>
  <c r="Z1318" i="33"/>
  <c r="Y1318" i="33"/>
  <c r="X1318" i="33"/>
  <c r="W1318" i="33"/>
  <c r="V1318" i="33"/>
  <c r="U1318" i="33"/>
  <c r="AC1317" i="33"/>
  <c r="AB1317" i="33"/>
  <c r="AA1317" i="33"/>
  <c r="Z1317" i="33"/>
  <c r="Y1317" i="33"/>
  <c r="X1317" i="33"/>
  <c r="W1317" i="33"/>
  <c r="V1317" i="33"/>
  <c r="U1317" i="33"/>
  <c r="AC1316" i="33"/>
  <c r="AB1316" i="33"/>
  <c r="AA1316" i="33"/>
  <c r="Z1316" i="33"/>
  <c r="Y1316" i="33"/>
  <c r="X1316" i="33"/>
  <c r="W1316" i="33"/>
  <c r="V1316" i="33"/>
  <c r="U1316" i="33"/>
  <c r="AC1315" i="33"/>
  <c r="AB1315" i="33"/>
  <c r="AA1315" i="33"/>
  <c r="Z1315" i="33"/>
  <c r="Y1315" i="33"/>
  <c r="X1315" i="33"/>
  <c r="W1315" i="33"/>
  <c r="V1315" i="33"/>
  <c r="U1315" i="33"/>
  <c r="AC1278" i="33"/>
  <c r="AB1278" i="33"/>
  <c r="AA1278" i="33"/>
  <c r="Z1278" i="33"/>
  <c r="Y1278" i="33"/>
  <c r="X1278" i="33"/>
  <c r="W1278" i="33"/>
  <c r="V1278" i="33"/>
  <c r="U1278" i="33"/>
  <c r="AC1277" i="33"/>
  <c r="AB1277" i="33"/>
  <c r="AA1277" i="33"/>
  <c r="Z1277" i="33"/>
  <c r="Y1277" i="33"/>
  <c r="X1277" i="33"/>
  <c r="W1277" i="33"/>
  <c r="V1277" i="33"/>
  <c r="U1277" i="33"/>
  <c r="AC1276" i="33"/>
  <c r="AB1276" i="33"/>
  <c r="AA1276" i="33"/>
  <c r="Z1276" i="33"/>
  <c r="Y1276" i="33"/>
  <c r="X1276" i="33"/>
  <c r="W1276" i="33"/>
  <c r="V1276" i="33"/>
  <c r="U1276" i="33"/>
  <c r="AC1275" i="33"/>
  <c r="AB1275" i="33"/>
  <c r="AA1275" i="33"/>
  <c r="Z1275" i="33"/>
  <c r="X1275" i="33"/>
  <c r="W1275" i="33"/>
  <c r="V1275" i="33"/>
  <c r="U1275" i="33"/>
  <c r="AC1274" i="33"/>
  <c r="AB1274" i="33"/>
  <c r="AA1274" i="33"/>
  <c r="Z1274" i="33"/>
  <c r="Y1274" i="33"/>
  <c r="X1274" i="33"/>
  <c r="W1274" i="33"/>
  <c r="V1274" i="33"/>
  <c r="AC1273" i="33"/>
  <c r="AB1273" i="33"/>
  <c r="AA1273" i="33"/>
  <c r="Z1273" i="33"/>
  <c r="Y1273" i="33"/>
  <c r="X1273" i="33"/>
  <c r="W1273" i="33"/>
  <c r="V1273" i="33"/>
  <c r="Y1275" i="33"/>
  <c r="U1274" i="33"/>
  <c r="AC1264" i="33"/>
  <c r="AB1264" i="33"/>
  <c r="AA1264" i="33"/>
  <c r="Z1264" i="33"/>
  <c r="Y1264" i="33"/>
  <c r="X1264" i="33"/>
  <c r="W1264" i="33"/>
  <c r="V1264" i="33"/>
  <c r="U1264" i="33"/>
  <c r="AC1263" i="33"/>
  <c r="AB1263" i="33"/>
  <c r="AA1263" i="33"/>
  <c r="Z1263" i="33"/>
  <c r="Y1263" i="33"/>
  <c r="X1263" i="33"/>
  <c r="W1263" i="33"/>
  <c r="V1263" i="33"/>
  <c r="U1263" i="33"/>
  <c r="AC1262" i="33"/>
  <c r="AB1262" i="33"/>
  <c r="AA1262" i="33"/>
  <c r="Z1262" i="33"/>
  <c r="Y1262" i="33"/>
  <c r="X1262" i="33"/>
  <c r="W1262" i="33"/>
  <c r="V1262" i="33"/>
  <c r="U1262" i="33"/>
  <c r="AC1261" i="33"/>
  <c r="AB1261" i="33"/>
  <c r="AA1261" i="33"/>
  <c r="Z1261" i="33"/>
  <c r="Y1261" i="33"/>
  <c r="X1261" i="33"/>
  <c r="W1261" i="33"/>
  <c r="V1261" i="33"/>
  <c r="U1261" i="33"/>
  <c r="AC1260" i="33"/>
  <c r="AB1260" i="33"/>
  <c r="AA1260" i="33"/>
  <c r="Z1260" i="33"/>
  <c r="Y1260" i="33"/>
  <c r="X1260" i="33"/>
  <c r="W1260" i="33"/>
  <c r="V1260" i="33"/>
  <c r="U1260" i="33"/>
  <c r="AA1243" i="33"/>
  <c r="AA1245" i="33" s="1"/>
  <c r="Z1243" i="33"/>
  <c r="Z1244" i="33" s="1"/>
  <c r="Y1243" i="33"/>
  <c r="X1243" i="33"/>
  <c r="X1245" i="33" s="1"/>
  <c r="W1243" i="33"/>
  <c r="W1245" i="33" s="1"/>
  <c r="V1243" i="33"/>
  <c r="V1245" i="33" s="1"/>
  <c r="U1243" i="33"/>
  <c r="U1245" i="33" s="1"/>
  <c r="AA1242" i="33"/>
  <c r="Z1242" i="33"/>
  <c r="Y1242" i="33"/>
  <c r="X1242" i="33"/>
  <c r="W1242" i="33"/>
  <c r="V1242" i="33"/>
  <c r="U1242" i="33"/>
  <c r="AC1174" i="33"/>
  <c r="AB1174" i="33"/>
  <c r="AA1174" i="33"/>
  <c r="Z1174" i="33"/>
  <c r="Y1174" i="33"/>
  <c r="X1174" i="33"/>
  <c r="W1174" i="33"/>
  <c r="V1174" i="33"/>
  <c r="U1174" i="33"/>
  <c r="AC1173" i="33"/>
  <c r="AB1173" i="33"/>
  <c r="AA1173" i="33"/>
  <c r="Z1173" i="33"/>
  <c r="Y1173" i="33"/>
  <c r="X1173" i="33"/>
  <c r="W1173" i="33"/>
  <c r="V1173" i="33"/>
  <c r="U1173" i="33"/>
  <c r="AC1151" i="33"/>
  <c r="AB1151" i="33"/>
  <c r="AA1151" i="33"/>
  <c r="Z1151" i="33"/>
  <c r="Y1151" i="33"/>
  <c r="X1151" i="33"/>
  <c r="W1151" i="33"/>
  <c r="V1151" i="33"/>
  <c r="U1151" i="33"/>
  <c r="AC1150" i="33"/>
  <c r="AB1150" i="33"/>
  <c r="AA1150" i="33"/>
  <c r="Z1150" i="33"/>
  <c r="Y1150" i="33"/>
  <c r="X1150" i="33"/>
  <c r="W1150" i="33"/>
  <c r="U1150" i="33"/>
  <c r="AC1149" i="33"/>
  <c r="AB1149" i="33"/>
  <c r="AA1149" i="33"/>
  <c r="Z1149" i="33"/>
  <c r="Y1149" i="33"/>
  <c r="X1149" i="33"/>
  <c r="W1149" i="33"/>
  <c r="AC1127" i="33"/>
  <c r="AB1127" i="33"/>
  <c r="AA1127" i="33"/>
  <c r="Z1127" i="33"/>
  <c r="Y1127" i="33"/>
  <c r="X1127" i="33"/>
  <c r="W1127" i="33"/>
  <c r="V1127" i="33"/>
  <c r="U1127" i="33"/>
  <c r="AC1126" i="33"/>
  <c r="AB1126" i="33"/>
  <c r="AA1126" i="33"/>
  <c r="Z1126" i="33"/>
  <c r="Y1126" i="33"/>
  <c r="X1126" i="33"/>
  <c r="W1126" i="33"/>
  <c r="V1126" i="33"/>
  <c r="U1126" i="33"/>
  <c r="AC1125" i="33"/>
  <c r="AB1125" i="33"/>
  <c r="AA1125" i="33"/>
  <c r="Z1125" i="33"/>
  <c r="Y1125" i="33"/>
  <c r="X1125" i="33"/>
  <c r="W1125" i="33"/>
  <c r="V1125" i="33"/>
  <c r="U1125" i="33"/>
  <c r="AC1124" i="33"/>
  <c r="AB1124" i="33"/>
  <c r="AA1124" i="33"/>
  <c r="Z1124" i="33"/>
  <c r="Y1124" i="33"/>
  <c r="X1124" i="33"/>
  <c r="W1124" i="33"/>
  <c r="V1124" i="33"/>
  <c r="U1124" i="33"/>
  <c r="AC1123" i="33"/>
  <c r="AB1123" i="33"/>
  <c r="AA1123" i="33"/>
  <c r="Z1123" i="33"/>
  <c r="Y1123" i="33"/>
  <c r="X1123" i="33"/>
  <c r="W1123" i="33"/>
  <c r="V1123" i="33"/>
  <c r="AC1108" i="33"/>
  <c r="AB1108" i="33"/>
  <c r="AA1108" i="33"/>
  <c r="Z1108" i="33"/>
  <c r="Y1108" i="33"/>
  <c r="X1108" i="33"/>
  <c r="W1108" i="33"/>
  <c r="V1108" i="33"/>
  <c r="U1108" i="33"/>
  <c r="AC1107" i="33"/>
  <c r="AB1107" i="33"/>
  <c r="AA1107" i="33"/>
  <c r="Z1107" i="33"/>
  <c r="Y1107" i="33"/>
  <c r="X1107" i="33"/>
  <c r="W1107" i="33"/>
  <c r="V1107" i="33"/>
  <c r="AC1047" i="33"/>
  <c r="AB1047" i="33"/>
  <c r="AA1047" i="33"/>
  <c r="Z1047" i="33"/>
  <c r="Y1047" i="33"/>
  <c r="X1047" i="33"/>
  <c r="W1047" i="33"/>
  <c r="V1047" i="33"/>
  <c r="U1047" i="33"/>
  <c r="AC1046" i="33"/>
  <c r="AB1046" i="33"/>
  <c r="AA1046" i="33"/>
  <c r="Z1046" i="33"/>
  <c r="Y1046" i="33"/>
  <c r="X1046" i="33"/>
  <c r="W1046" i="33"/>
  <c r="V1046" i="33"/>
  <c r="U1046" i="33"/>
  <c r="Y1025" i="33"/>
  <c r="U1025" i="33"/>
  <c r="AB1024" i="33"/>
  <c r="AA1024" i="33"/>
  <c r="Z1024" i="33"/>
  <c r="Y1024" i="33"/>
  <c r="X1024" i="33"/>
  <c r="W1024" i="33"/>
  <c r="V1024" i="33"/>
  <c r="U1024" i="33"/>
  <c r="AB1020" i="33"/>
  <c r="AB1023" i="33" s="1"/>
  <c r="AA1020" i="33"/>
  <c r="AA1022" i="33" s="1"/>
  <c r="Z1020" i="33"/>
  <c r="Z1023" i="33" s="1"/>
  <c r="Y1020" i="33"/>
  <c r="X1020" i="33"/>
  <c r="X1023" i="33" s="1"/>
  <c r="W1020" i="33"/>
  <c r="W1023" i="33" s="1"/>
  <c r="V1020" i="33"/>
  <c r="V1021" i="33" s="1"/>
  <c r="U1020" i="33"/>
  <c r="U1022" i="33" s="1"/>
  <c r="AC1020" i="33"/>
  <c r="AC1022" i="33" s="1"/>
  <c r="AC1017" i="33"/>
  <c r="AC1018" i="33" s="1"/>
  <c r="AB1017" i="33"/>
  <c r="AB1018" i="33" s="1"/>
  <c r="AA1017" i="33"/>
  <c r="AA1018" i="33" s="1"/>
  <c r="Z1017" i="33"/>
  <c r="Z1018" i="33" s="1"/>
  <c r="Y1017" i="33"/>
  <c r="Y1018" i="33" s="1"/>
  <c r="X1017" i="33"/>
  <c r="X1018" i="33" s="1"/>
  <c r="W1017" i="33"/>
  <c r="W1018" i="33" s="1"/>
  <c r="V1017" i="33"/>
  <c r="V1018" i="33" s="1"/>
  <c r="U1017" i="33"/>
  <c r="U1018" i="33" s="1"/>
  <c r="AC1015" i="33"/>
  <c r="AB1015" i="33"/>
  <c r="Y1015" i="33"/>
  <c r="X1015" i="33"/>
  <c r="V1015" i="33"/>
  <c r="U1015" i="33"/>
  <c r="AB1014" i="33"/>
  <c r="AA1014" i="33"/>
  <c r="Z1014" i="33"/>
  <c r="Y1014" i="33"/>
  <c r="X1014" i="33"/>
  <c r="W1014" i="33"/>
  <c r="V1014" i="33"/>
  <c r="U1014" i="33"/>
  <c r="AC1013" i="33"/>
  <c r="AB1013" i="33"/>
  <c r="AA1013" i="33"/>
  <c r="Z1013" i="33"/>
  <c r="Y1013" i="33"/>
  <c r="X1013" i="33"/>
  <c r="W1013" i="33"/>
  <c r="V1013" i="33"/>
  <c r="U1013" i="33"/>
  <c r="AC1024" i="33"/>
  <c r="W990" i="33"/>
  <c r="AC989" i="33"/>
  <c r="AB989" i="33"/>
  <c r="AA989" i="33"/>
  <c r="Z989" i="33"/>
  <c r="Y989" i="33"/>
  <c r="X989" i="33"/>
  <c r="W989" i="33"/>
  <c r="V989" i="33"/>
  <c r="U989" i="33"/>
  <c r="AC985" i="33"/>
  <c r="AB985" i="33"/>
  <c r="AA985" i="33"/>
  <c r="Z985" i="33"/>
  <c r="Y985" i="33"/>
  <c r="X985" i="33"/>
  <c r="W985" i="33"/>
  <c r="V985" i="33"/>
  <c r="AC983" i="33"/>
  <c r="AC984" i="33" s="1"/>
  <c r="AB983" i="33"/>
  <c r="AB984" i="33" s="1"/>
  <c r="AA983" i="33"/>
  <c r="AA984" i="33" s="1"/>
  <c r="Z983" i="33"/>
  <c r="Z984" i="33" s="1"/>
  <c r="Y983" i="33"/>
  <c r="Y984" i="33" s="1"/>
  <c r="X984" i="33"/>
  <c r="W983" i="33"/>
  <c r="W984" i="33" s="1"/>
  <c r="V983" i="33"/>
  <c r="V984" i="33" s="1"/>
  <c r="U983" i="33"/>
  <c r="U984" i="33" s="1"/>
  <c r="AC974" i="33"/>
  <c r="AB974" i="33"/>
  <c r="AA974" i="33"/>
  <c r="Z974" i="33"/>
  <c r="Y974" i="33"/>
  <c r="X974" i="33"/>
  <c r="W974" i="33"/>
  <c r="V974" i="33"/>
  <c r="U974" i="33"/>
  <c r="AC972" i="33"/>
  <c r="AB972" i="33"/>
  <c r="AA972" i="33"/>
  <c r="Z972" i="33"/>
  <c r="Y972" i="33"/>
  <c r="X972" i="33"/>
  <c r="W972" i="33"/>
  <c r="V972" i="33"/>
  <c r="U972" i="33"/>
  <c r="AC970" i="33"/>
  <c r="AB970" i="33"/>
  <c r="AA970" i="33"/>
  <c r="Z970" i="33"/>
  <c r="Y970" i="33"/>
  <c r="X970" i="33"/>
  <c r="W970" i="33"/>
  <c r="V970" i="33"/>
  <c r="U970" i="33"/>
  <c r="Y931" i="33"/>
  <c r="X931" i="33"/>
  <c r="W931" i="33"/>
  <c r="V931" i="33"/>
  <c r="U931" i="33"/>
  <c r="Y930" i="33"/>
  <c r="X930" i="33"/>
  <c r="W930" i="33"/>
  <c r="V930" i="33"/>
  <c r="U930" i="33"/>
  <c r="AC929" i="33"/>
  <c r="AB929" i="33"/>
  <c r="AA929" i="33"/>
  <c r="Z929" i="33"/>
  <c r="Y929" i="33"/>
  <c r="X929" i="33"/>
  <c r="W929" i="33"/>
  <c r="V929" i="33"/>
  <c r="U929" i="33"/>
  <c r="AC928" i="33"/>
  <c r="AB928" i="33"/>
  <c r="AA928" i="33"/>
  <c r="Z928" i="33"/>
  <c r="Y928" i="33"/>
  <c r="X928" i="33"/>
  <c r="W928" i="33"/>
  <c r="V928" i="33"/>
  <c r="U928" i="33"/>
  <c r="AC921" i="33"/>
  <c r="AC923" i="33" s="1"/>
  <c r="AC926" i="33" s="1"/>
  <c r="AB921" i="33"/>
  <c r="AB923" i="33" s="1"/>
  <c r="AB925" i="33" s="1"/>
  <c r="AA921" i="33"/>
  <c r="AA923" i="33" s="1"/>
  <c r="Z921" i="33"/>
  <c r="Z923" i="33" s="1"/>
  <c r="Y921" i="33"/>
  <c r="Y923" i="33" s="1"/>
  <c r="X921" i="33"/>
  <c r="X923" i="33" s="1"/>
  <c r="W921" i="33"/>
  <c r="W923" i="33" s="1"/>
  <c r="V921" i="33"/>
  <c r="V923" i="33" s="1"/>
  <c r="U921" i="33"/>
  <c r="U923" i="33" s="1"/>
  <c r="U926" i="33" s="1"/>
  <c r="Y919" i="33"/>
  <c r="X919" i="33"/>
  <c r="W919" i="33"/>
  <c r="V919" i="33"/>
  <c r="AC918" i="33"/>
  <c r="AB918" i="33"/>
  <c r="AA918" i="33"/>
  <c r="Z918" i="33"/>
  <c r="Y918" i="33"/>
  <c r="X918" i="33"/>
  <c r="V918" i="33"/>
  <c r="U918" i="33"/>
  <c r="AC917" i="33"/>
  <c r="AB917" i="33"/>
  <c r="AA917" i="33"/>
  <c r="Z917" i="33"/>
  <c r="Y917" i="33"/>
  <c r="X917" i="33"/>
  <c r="W917" i="33"/>
  <c r="V917" i="33"/>
  <c r="U917" i="33"/>
  <c r="W918" i="33"/>
  <c r="AC855" i="33"/>
  <c r="AB855" i="33"/>
  <c r="AA855" i="33"/>
  <c r="Z855" i="33"/>
  <c r="Y855" i="33"/>
  <c r="X855" i="33"/>
  <c r="W855" i="33"/>
  <c r="V855" i="33"/>
  <c r="U855" i="33"/>
  <c r="AC848" i="33"/>
  <c r="AB848" i="33"/>
  <c r="AA848" i="33"/>
  <c r="Y848" i="33"/>
  <c r="X848" i="33"/>
  <c r="W848" i="33"/>
  <c r="V848" i="33"/>
  <c r="U848" i="33"/>
  <c r="AC840" i="33"/>
  <c r="AB840" i="33"/>
  <c r="AA840" i="33"/>
  <c r="Z840" i="33"/>
  <c r="Y840" i="33"/>
  <c r="X840" i="33"/>
  <c r="W840" i="33"/>
  <c r="V840" i="33"/>
  <c r="U840" i="33"/>
  <c r="AC839" i="33"/>
  <c r="AB839" i="33"/>
  <c r="AA839" i="33"/>
  <c r="Z839" i="33"/>
  <c r="Y839" i="33"/>
  <c r="X839" i="33"/>
  <c r="W839" i="33"/>
  <c r="V839" i="33"/>
  <c r="U839" i="33"/>
  <c r="AC837" i="33"/>
  <c r="AC850" i="33" s="1"/>
  <c r="AB837" i="33"/>
  <c r="AB850" i="33" s="1"/>
  <c r="AA837" i="33"/>
  <c r="AA850" i="33" s="1"/>
  <c r="Y837" i="33"/>
  <c r="Y850" i="33" s="1"/>
  <c r="X837" i="33"/>
  <c r="X850" i="33" s="1"/>
  <c r="W837" i="33"/>
  <c r="W850" i="33" s="1"/>
  <c r="V837" i="33"/>
  <c r="V850" i="33" s="1"/>
  <c r="AC830" i="33"/>
  <c r="AB830" i="33"/>
  <c r="AA830" i="33"/>
  <c r="Y830" i="33"/>
  <c r="X830" i="33"/>
  <c r="W830" i="33"/>
  <c r="V830" i="33"/>
  <c r="U830" i="33"/>
  <c r="AC829" i="33"/>
  <c r="AB829" i="33"/>
  <c r="AA829" i="33"/>
  <c r="Y829" i="33"/>
  <c r="X829" i="33"/>
  <c r="W829" i="33"/>
  <c r="V829" i="33"/>
  <c r="U829" i="33"/>
  <c r="Z848" i="33"/>
  <c r="AC823" i="33"/>
  <c r="AB823" i="33"/>
  <c r="AA823" i="33"/>
  <c r="Z823" i="33"/>
  <c r="X823" i="33"/>
  <c r="W823" i="33"/>
  <c r="V823" i="33"/>
  <c r="U823" i="33"/>
  <c r="Y823" i="33"/>
  <c r="AC813" i="33"/>
  <c r="AB813" i="33"/>
  <c r="AA813" i="33"/>
  <c r="Z813" i="33"/>
  <c r="Y813" i="33"/>
  <c r="V813" i="33"/>
  <c r="AC810" i="33"/>
  <c r="AC812" i="33" s="1"/>
  <c r="AB810" i="33"/>
  <c r="AB811" i="33" s="1"/>
  <c r="AA810" i="33"/>
  <c r="AA812" i="33" s="1"/>
  <c r="Z810" i="33"/>
  <c r="Z811" i="33" s="1"/>
  <c r="X810" i="33"/>
  <c r="X811" i="33" s="1"/>
  <c r="W810" i="33"/>
  <c r="V810" i="33"/>
  <c r="U810" i="33"/>
  <c r="U812" i="33" s="1"/>
  <c r="AC809" i="33"/>
  <c r="AB809" i="33"/>
  <c r="AA809" i="33"/>
  <c r="Z809" i="33"/>
  <c r="Y809" i="33"/>
  <c r="X809" i="33"/>
  <c r="W809" i="33"/>
  <c r="V809" i="33"/>
  <c r="U809" i="33"/>
  <c r="X813" i="33"/>
  <c r="AC800" i="33"/>
  <c r="AB800" i="33"/>
  <c r="AA800" i="33"/>
  <c r="Z800" i="33"/>
  <c r="X800" i="33"/>
  <c r="W800" i="33"/>
  <c r="V800" i="33"/>
  <c r="U800" i="33"/>
  <c r="Y800" i="33"/>
  <c r="AC784" i="33"/>
  <c r="AB784" i="33"/>
  <c r="AA784" i="33"/>
  <c r="Z784" i="33"/>
  <c r="Y784" i="33"/>
  <c r="X784" i="33"/>
  <c r="W784" i="33"/>
  <c r="V784" i="33"/>
  <c r="U784" i="33"/>
  <c r="AC783" i="33"/>
  <c r="AB783" i="33"/>
  <c r="AA783" i="33"/>
  <c r="Z783" i="33"/>
  <c r="Y783" i="33"/>
  <c r="X783" i="33"/>
  <c r="W783" i="33"/>
  <c r="V783" i="33"/>
  <c r="U783" i="33"/>
  <c r="AC782" i="33"/>
  <c r="AB782" i="33"/>
  <c r="AA782" i="33"/>
  <c r="Z782" i="33"/>
  <c r="Y782" i="33"/>
  <c r="X782" i="33"/>
  <c r="W782" i="33"/>
  <c r="V782" i="33"/>
  <c r="U782" i="33"/>
  <c r="AC781" i="33"/>
  <c r="AB781" i="33"/>
  <c r="AC780" i="33"/>
  <c r="AB780" i="33"/>
  <c r="AA780" i="33"/>
  <c r="Z780" i="33"/>
  <c r="Y780" i="33"/>
  <c r="X780" i="33"/>
  <c r="W780" i="33"/>
  <c r="V780" i="33"/>
  <c r="AA781" i="33"/>
  <c r="Z781" i="33"/>
  <c r="Y781" i="33"/>
  <c r="X781" i="33"/>
  <c r="W781" i="33"/>
  <c r="V781" i="33"/>
  <c r="AC671" i="33"/>
  <c r="AB671" i="33"/>
  <c r="AA671" i="33"/>
  <c r="Z671" i="33"/>
  <c r="Y671" i="33"/>
  <c r="X671" i="33"/>
  <c r="W671" i="33"/>
  <c r="V671" i="33"/>
  <c r="U671" i="33"/>
  <c r="AA40" i="33"/>
  <c r="AC384" i="33"/>
  <c r="AC385" i="33" s="1"/>
  <c r="AB384" i="33"/>
  <c r="AA384" i="33"/>
  <c r="AA385" i="33" s="1"/>
  <c r="Z384" i="33"/>
  <c r="Z385" i="33" s="1"/>
  <c r="Y384" i="33"/>
  <c r="Y385" i="33" s="1"/>
  <c r="X384" i="33"/>
  <c r="X385" i="33" s="1"/>
  <c r="W384" i="33"/>
  <c r="W385" i="33" s="1"/>
  <c r="V385" i="33"/>
  <c r="U385" i="33"/>
  <c r="W371" i="33"/>
  <c r="W355" i="33"/>
  <c r="AC343" i="33"/>
  <c r="AB343" i="33"/>
  <c r="AA343" i="33"/>
  <c r="Z343" i="33"/>
  <c r="Y343" i="33"/>
  <c r="X343" i="33"/>
  <c r="W343" i="33"/>
  <c r="V343" i="33"/>
  <c r="U343" i="33"/>
  <c r="AC338" i="33"/>
  <c r="AC339" i="33" s="1"/>
  <c r="AB338" i="33"/>
  <c r="AB339" i="33" s="1"/>
  <c r="X338" i="33"/>
  <c r="X339" i="33" s="1"/>
  <c r="W338" i="33"/>
  <c r="W339" i="33" s="1"/>
  <c r="V338" i="33"/>
  <c r="V339" i="33" s="1"/>
  <c r="U339" i="33"/>
  <c r="AA338" i="33"/>
  <c r="AA339" i="33" s="1"/>
  <c r="Z338" i="33"/>
  <c r="Z339" i="33" s="1"/>
  <c r="Y338" i="33"/>
  <c r="Y339" i="33" s="1"/>
  <c r="AC330" i="33"/>
  <c r="AB330" i="33"/>
  <c r="AA330" i="33"/>
  <c r="Z330" i="33"/>
  <c r="X330" i="33"/>
  <c r="V330" i="33"/>
  <c r="U330" i="33"/>
  <c r="AB329" i="33"/>
  <c r="AA329" i="33"/>
  <c r="Z329" i="33"/>
  <c r="Y329" i="33"/>
  <c r="X329" i="33"/>
  <c r="W329" i="33"/>
  <c r="V329" i="33"/>
  <c r="U329" i="33"/>
  <c r="AC314" i="33"/>
  <c r="AB314" i="33"/>
  <c r="AA314" i="33"/>
  <c r="Z314" i="33"/>
  <c r="Y314" i="33"/>
  <c r="X314" i="33"/>
  <c r="W314" i="33"/>
  <c r="V314" i="33"/>
  <c r="U314" i="33"/>
  <c r="AC307" i="33"/>
  <c r="AC306" i="33"/>
  <c r="AB306" i="33"/>
  <c r="AB308" i="33" s="1"/>
  <c r="AA306" i="33"/>
  <c r="AA308" i="33" s="1"/>
  <c r="Z306" i="33"/>
  <c r="Z308" i="33" s="1"/>
  <c r="Y306" i="33"/>
  <c r="Y308" i="33" s="1"/>
  <c r="X306" i="33"/>
  <c r="X308" i="33" s="1"/>
  <c r="W306" i="33"/>
  <c r="W308" i="33" s="1"/>
  <c r="V306" i="33"/>
  <c r="V308" i="33" s="1"/>
  <c r="U306" i="33"/>
  <c r="U308" i="33" s="1"/>
  <c r="X311" i="33"/>
  <c r="W311" i="33"/>
  <c r="V311" i="33"/>
  <c r="AC301" i="33"/>
  <c r="AB301" i="33"/>
  <c r="AA301" i="33"/>
  <c r="Z301" i="33"/>
  <c r="Y301" i="33"/>
  <c r="X301" i="33"/>
  <c r="W301" i="33"/>
  <c r="V301" i="33"/>
  <c r="U301" i="33"/>
  <c r="AC289" i="33"/>
  <c r="AB289" i="33"/>
  <c r="AA289" i="33"/>
  <c r="Z289" i="33"/>
  <c r="Y289" i="33"/>
  <c r="X289" i="33"/>
  <c r="W289" i="33"/>
  <c r="V289" i="33"/>
  <c r="U289" i="33"/>
  <c r="AC259" i="33"/>
  <c r="AB259" i="33"/>
  <c r="AA259" i="33"/>
  <c r="Z259" i="33"/>
  <c r="X259" i="33"/>
  <c r="W259" i="33"/>
  <c r="V259" i="33"/>
  <c r="U259" i="33"/>
  <c r="AC258" i="33"/>
  <c r="AB258" i="33"/>
  <c r="AA258" i="33"/>
  <c r="Z258" i="33"/>
  <c r="Y258" i="33"/>
  <c r="X258" i="33"/>
  <c r="W258" i="33"/>
  <c r="V258" i="33"/>
  <c r="U258" i="33"/>
  <c r="AC257" i="33"/>
  <c r="AB257" i="33"/>
  <c r="AA257" i="33"/>
  <c r="Z257" i="33"/>
  <c r="Y257" i="33"/>
  <c r="X257" i="33"/>
  <c r="W257" i="33"/>
  <c r="V257" i="33"/>
  <c r="U257" i="33"/>
  <c r="AC256" i="33"/>
  <c r="AB256" i="33"/>
  <c r="AA256" i="33"/>
  <c r="Z256" i="33"/>
  <c r="Y256" i="33"/>
  <c r="X256" i="33"/>
  <c r="W256" i="33"/>
  <c r="V256" i="33"/>
  <c r="U256" i="33"/>
  <c r="AC255" i="33"/>
  <c r="AB255" i="33"/>
  <c r="AA255" i="33"/>
  <c r="Z255" i="33"/>
  <c r="Y255" i="33"/>
  <c r="X255" i="33"/>
  <c r="V255" i="33"/>
  <c r="U255" i="33"/>
  <c r="AC254" i="33"/>
  <c r="AB254" i="33"/>
  <c r="AA254" i="33"/>
  <c r="Z254" i="33"/>
  <c r="Y254" i="33"/>
  <c r="X254" i="33"/>
  <c r="W254" i="33"/>
  <c r="V254" i="33"/>
  <c r="U254" i="33"/>
  <c r="AC253" i="33"/>
  <c r="AB253" i="33"/>
  <c r="AA253" i="33"/>
  <c r="Z253" i="33"/>
  <c r="Y253" i="33"/>
  <c r="X253" i="33"/>
  <c r="W253" i="33"/>
  <c r="V253" i="33"/>
  <c r="U253" i="33"/>
  <c r="AC214" i="33"/>
  <c r="AB214" i="33"/>
  <c r="AA214" i="33"/>
  <c r="Z214" i="33"/>
  <c r="Y214" i="33"/>
  <c r="X214" i="33"/>
  <c r="W214" i="33"/>
  <c r="V214" i="33"/>
  <c r="U214" i="33"/>
  <c r="AC210" i="33"/>
  <c r="AB210" i="33"/>
  <c r="AA210" i="33"/>
  <c r="Z210" i="33"/>
  <c r="Y210" i="33"/>
  <c r="X210" i="33"/>
  <c r="W210" i="33"/>
  <c r="V210" i="33"/>
  <c r="U210" i="33"/>
  <c r="AC207" i="33"/>
  <c r="AC208" i="33" s="1"/>
  <c r="AB207" i="33"/>
  <c r="AB208" i="33" s="1"/>
  <c r="AA207" i="33"/>
  <c r="AA208" i="33" s="1"/>
  <c r="Z207" i="33"/>
  <c r="Z208" i="33" s="1"/>
  <c r="Y207" i="33"/>
  <c r="Y208" i="33" s="1"/>
  <c r="X207" i="33"/>
  <c r="X208" i="33" s="1"/>
  <c r="W207" i="33"/>
  <c r="W208" i="33" s="1"/>
  <c r="V207" i="33"/>
  <c r="V208" i="33" s="1"/>
  <c r="U208" i="33"/>
  <c r="AC203" i="33"/>
  <c r="AB203" i="33"/>
  <c r="AA203" i="33"/>
  <c r="Z203" i="33"/>
  <c r="Y203" i="33"/>
  <c r="X203" i="33"/>
  <c r="W203" i="33"/>
  <c r="U203" i="33"/>
  <c r="AC198" i="33"/>
  <c r="AB198" i="33"/>
  <c r="AB200" i="33" s="1"/>
  <c r="AA198" i="33"/>
  <c r="Z198" i="33"/>
  <c r="Z200" i="33" s="1"/>
  <c r="Y198" i="33"/>
  <c r="Y199" i="33" s="1"/>
  <c r="V198" i="33"/>
  <c r="V201" i="33" s="1"/>
  <c r="AC197" i="33"/>
  <c r="AB197" i="33"/>
  <c r="AA197" i="33"/>
  <c r="Z197" i="33"/>
  <c r="Y197" i="33"/>
  <c r="V197" i="33"/>
  <c r="AC193" i="33"/>
  <c r="AC202" i="33" s="1"/>
  <c r="AB193" i="33"/>
  <c r="AB202" i="33" s="1"/>
  <c r="AA193" i="33"/>
  <c r="AA202" i="33" s="1"/>
  <c r="Z193" i="33"/>
  <c r="Z202" i="33" s="1"/>
  <c r="Y193" i="33"/>
  <c r="Y202" i="33" s="1"/>
  <c r="V193" i="33"/>
  <c r="V202" i="33" s="1"/>
  <c r="X198" i="33"/>
  <c r="X201" i="33" s="1"/>
  <c r="W198" i="33"/>
  <c r="U197" i="33"/>
  <c r="AC184" i="33"/>
  <c r="AB184" i="33"/>
  <c r="AA184" i="33"/>
  <c r="Z184" i="33"/>
  <c r="Y184" i="33"/>
  <c r="X184" i="33"/>
  <c r="W184" i="33"/>
  <c r="V184" i="33"/>
  <c r="U184" i="33"/>
  <c r="AC181" i="33"/>
  <c r="AB181" i="33"/>
  <c r="AA181" i="33"/>
  <c r="Z181" i="33"/>
  <c r="Y181" i="33"/>
  <c r="X181" i="33"/>
  <c r="W181" i="33"/>
  <c r="V181" i="33"/>
  <c r="U181" i="33"/>
  <c r="AC180" i="33"/>
  <c r="AB180" i="33"/>
  <c r="AA180" i="33"/>
  <c r="Z180" i="33"/>
  <c r="Y180" i="33"/>
  <c r="X180" i="33"/>
  <c r="W180" i="33"/>
  <c r="U180" i="33"/>
  <c r="AC179" i="33"/>
  <c r="AB179" i="33"/>
  <c r="AA179" i="33"/>
  <c r="Z179" i="33"/>
  <c r="Y179" i="33"/>
  <c r="X179" i="33"/>
  <c r="W179" i="33"/>
  <c r="V179" i="33"/>
  <c r="U179" i="33"/>
  <c r="V180" i="33"/>
  <c r="AC154" i="33"/>
  <c r="AB154" i="33"/>
  <c r="AA154" i="33"/>
  <c r="Z154" i="33"/>
  <c r="Y154" i="33"/>
  <c r="W154" i="33"/>
  <c r="V154" i="33"/>
  <c r="X154" i="33"/>
  <c r="U154" i="33"/>
  <c r="AC151" i="33"/>
  <c r="AC152" i="33" s="1"/>
  <c r="AB151" i="33"/>
  <c r="AB152" i="33" s="1"/>
  <c r="AA151" i="33"/>
  <c r="AA152" i="33" s="1"/>
  <c r="Z151" i="33"/>
  <c r="Z152" i="33" s="1"/>
  <c r="X151" i="33"/>
  <c r="X152" i="33" s="1"/>
  <c r="W151" i="33"/>
  <c r="W152" i="33" s="1"/>
  <c r="V151" i="33"/>
  <c r="V152" i="33" s="1"/>
  <c r="Y151" i="33"/>
  <c r="Y152" i="33" s="1"/>
  <c r="AC147" i="33"/>
  <c r="AB147" i="33"/>
  <c r="AA147" i="33"/>
  <c r="Z147" i="33"/>
  <c r="AC142" i="33"/>
  <c r="AB142" i="33"/>
  <c r="AB144" i="33" s="1"/>
  <c r="AA142" i="33"/>
  <c r="Z142" i="33"/>
  <c r="Z144" i="33" s="1"/>
  <c r="Y142" i="33"/>
  <c r="Y143" i="33" s="1"/>
  <c r="X142" i="33"/>
  <c r="X144" i="33" s="1"/>
  <c r="W142" i="33"/>
  <c r="W145" i="33" s="1"/>
  <c r="V142" i="33"/>
  <c r="V145" i="33" s="1"/>
  <c r="AC141" i="33"/>
  <c r="AB141" i="33"/>
  <c r="AA141" i="33"/>
  <c r="Z141" i="33"/>
  <c r="Y141" i="33"/>
  <c r="X141" i="33"/>
  <c r="W141" i="33"/>
  <c r="V141" i="33"/>
  <c r="AC136" i="33"/>
  <c r="AC146" i="33" s="1"/>
  <c r="AB136" i="33"/>
  <c r="AB146" i="33" s="1"/>
  <c r="AA136" i="33"/>
  <c r="AA146" i="33" s="1"/>
  <c r="Z136" i="33"/>
  <c r="Z146" i="33" s="1"/>
  <c r="Y136" i="33"/>
  <c r="Y146" i="33" s="1"/>
  <c r="X136" i="33"/>
  <c r="X146" i="33" s="1"/>
  <c r="W136" i="33"/>
  <c r="W146" i="33" s="1"/>
  <c r="V136" i="33"/>
  <c r="V146" i="33" s="1"/>
  <c r="U129" i="33"/>
  <c r="AC128" i="33"/>
  <c r="AC134" i="33" s="1"/>
  <c r="AB128" i="33"/>
  <c r="AB134" i="33" s="1"/>
  <c r="AA128" i="33"/>
  <c r="AA134" i="33" s="1"/>
  <c r="Z128" i="33"/>
  <c r="Z134" i="33" s="1"/>
  <c r="Y128" i="33"/>
  <c r="Y134" i="33" s="1"/>
  <c r="X128" i="33"/>
  <c r="X134" i="33" s="1"/>
  <c r="W128" i="33"/>
  <c r="W134" i="33" s="1"/>
  <c r="V128" i="33"/>
  <c r="V134" i="33" s="1"/>
  <c r="U127" i="33"/>
  <c r="AC126" i="33"/>
  <c r="AC133" i="33" s="1"/>
  <c r="AB126" i="33"/>
  <c r="AB133" i="33" s="1"/>
  <c r="AA126" i="33"/>
  <c r="AA133" i="33" s="1"/>
  <c r="Z126" i="33"/>
  <c r="Z133" i="33" s="1"/>
  <c r="Y126" i="33"/>
  <c r="Y130" i="33" s="1"/>
  <c r="Y132" i="33" s="1"/>
  <c r="X126" i="33"/>
  <c r="W126" i="33"/>
  <c r="W130" i="33" s="1"/>
  <c r="V126" i="33"/>
  <c r="V133" i="33" s="1"/>
  <c r="AC120" i="33"/>
  <c r="AB120" i="33"/>
  <c r="AA120" i="33"/>
  <c r="Z120" i="33"/>
  <c r="Y120" i="33"/>
  <c r="X120" i="33"/>
  <c r="W120" i="33"/>
  <c r="V120" i="33"/>
  <c r="U120" i="33"/>
  <c r="AC116" i="33"/>
  <c r="AC127" i="33" s="1"/>
  <c r="AB116" i="33"/>
  <c r="AB129" i="33" s="1"/>
  <c r="AA116" i="33"/>
  <c r="AA127" i="33" s="1"/>
  <c r="Z116" i="33"/>
  <c r="Z129" i="33" s="1"/>
  <c r="Y116" i="33"/>
  <c r="Y129" i="33" s="1"/>
  <c r="X116" i="33"/>
  <c r="W116" i="33"/>
  <c r="W129" i="33" s="1"/>
  <c r="V116" i="33"/>
  <c r="V127" i="33" s="1"/>
  <c r="U128" i="33"/>
  <c r="AC110" i="33"/>
  <c r="AB110" i="33"/>
  <c r="AA110" i="33"/>
  <c r="Z110" i="33"/>
  <c r="Y110" i="33"/>
  <c r="X110" i="33"/>
  <c r="W110" i="33"/>
  <c r="AC109" i="33"/>
  <c r="AB109" i="33"/>
  <c r="AA109" i="33"/>
  <c r="Z109" i="33"/>
  <c r="Y109" i="33"/>
  <c r="X109" i="33"/>
  <c r="W109" i="33"/>
  <c r="AC108" i="33"/>
  <c r="AB108" i="33"/>
  <c r="AA108" i="33"/>
  <c r="Z108" i="33"/>
  <c r="Y108" i="33"/>
  <c r="X108" i="33"/>
  <c r="W108" i="33"/>
  <c r="V108" i="33"/>
  <c r="U108" i="33"/>
  <c r="AC107" i="33"/>
  <c r="AB107" i="33"/>
  <c r="AA107" i="33"/>
  <c r="Z107" i="33"/>
  <c r="V107" i="33"/>
  <c r="V110" i="33"/>
  <c r="Y147" i="33"/>
  <c r="X147" i="33"/>
  <c r="W107" i="33"/>
  <c r="V44" i="33"/>
  <c r="U44" i="33"/>
  <c r="W42" i="33"/>
  <c r="AB49" i="33"/>
  <c r="AA49" i="33"/>
  <c r="AC49" i="33"/>
  <c r="Z49" i="33"/>
  <c r="Y49" i="33"/>
  <c r="X49" i="33"/>
  <c r="W49" i="33"/>
  <c r="V49" i="33"/>
  <c r="AC44" i="33"/>
  <c r="AB44" i="33"/>
  <c r="AA44" i="33"/>
  <c r="Z44" i="33"/>
  <c r="Y44" i="33"/>
  <c r="X44" i="33"/>
  <c r="W44" i="33"/>
  <c r="AB41" i="33"/>
  <c r="AA41" i="33"/>
  <c r="Z41" i="33"/>
  <c r="X41" i="33"/>
  <c r="AC36" i="33"/>
  <c r="AC39" i="33" s="1"/>
  <c r="AB36" i="33"/>
  <c r="AB39" i="33" s="1"/>
  <c r="AA36" i="33"/>
  <c r="AA39" i="33" s="1"/>
  <c r="AC35" i="33"/>
  <c r="AB35" i="33"/>
  <c r="AA35" i="33"/>
  <c r="AC33" i="33"/>
  <c r="AC81" i="33" s="1"/>
  <c r="AB81" i="33"/>
  <c r="Z34" i="33"/>
  <c r="Y34" i="33"/>
  <c r="AC28" i="33"/>
  <c r="AB28" i="33"/>
  <c r="AA28" i="33"/>
  <c r="Z36" i="33"/>
  <c r="Y28" i="33"/>
  <c r="X28" i="33"/>
  <c r="W28" i="33"/>
  <c r="V28" i="33"/>
  <c r="AC21" i="33"/>
  <c r="AC26" i="33" s="1"/>
  <c r="AB21" i="33"/>
  <c r="AB26" i="33" s="1"/>
  <c r="AA21" i="33"/>
  <c r="AA26" i="33" s="1"/>
  <c r="Z21" i="33"/>
  <c r="Z26" i="33" s="1"/>
  <c r="AC20" i="33"/>
  <c r="AC22" i="33" s="1"/>
  <c r="AB20" i="33"/>
  <c r="AB22" i="33" s="1"/>
  <c r="AA20" i="33"/>
  <c r="AA22" i="33" s="1"/>
  <c r="Z20" i="33"/>
  <c r="Z22" i="33" s="1"/>
  <c r="Z23" i="33" s="1"/>
  <c r="AC16" i="33"/>
  <c r="AB16" i="33"/>
  <c r="AA16" i="33"/>
  <c r="Z16" i="33"/>
  <c r="Y21" i="33"/>
  <c r="Y26" i="33" s="1"/>
  <c r="X20" i="33"/>
  <c r="X25" i="33" s="1"/>
  <c r="W20" i="33"/>
  <c r="V21" i="33"/>
  <c r="V26" i="33" s="1"/>
  <c r="U20" i="33"/>
  <c r="U22" i="33" s="1"/>
  <c r="AC14" i="33"/>
  <c r="AB14" i="33"/>
  <c r="AA14" i="33"/>
  <c r="Z14" i="33"/>
  <c r="X14" i="33"/>
  <c r="Y14" i="33"/>
  <c r="W14" i="33"/>
  <c r="V14" i="33"/>
  <c r="U14" i="33"/>
  <c r="AC12" i="33"/>
  <c r="AB12" i="33"/>
  <c r="AA12" i="33"/>
  <c r="Z12" i="33"/>
  <c r="Y12" i="33"/>
  <c r="X12" i="33"/>
  <c r="W12" i="33"/>
  <c r="AC11" i="33"/>
  <c r="AB11" i="33"/>
  <c r="AA11" i="33"/>
  <c r="Z11" i="33"/>
  <c r="X11" i="33"/>
  <c r="AC41" i="33"/>
  <c r="Y41" i="33"/>
  <c r="W41" i="33"/>
  <c r="H857" i="33" l="1"/>
  <c r="H870" i="33" s="1"/>
  <c r="Z986" i="33"/>
  <c r="U986" i="33"/>
  <c r="AA986" i="33"/>
  <c r="AB986" i="33"/>
  <c r="AC986" i="33"/>
  <c r="X986" i="33"/>
  <c r="Y986" i="33"/>
  <c r="AG1995" i="33"/>
  <c r="AD1995" i="33"/>
  <c r="AB1882" i="33"/>
  <c r="AB1883" i="33" s="1"/>
  <c r="AB1884" i="33" s="1"/>
  <c r="D888" i="33"/>
  <c r="AG888" i="33" s="1"/>
  <c r="H802" i="33"/>
  <c r="Y854" i="33"/>
  <c r="D785" i="33"/>
  <c r="AG785" i="33" s="1"/>
  <c r="AB854" i="33"/>
  <c r="U854" i="33"/>
  <c r="V854" i="33"/>
  <c r="AC854" i="33"/>
  <c r="X854" i="33"/>
  <c r="U796" i="33"/>
  <c r="U147" i="33"/>
  <c r="V852" i="33"/>
  <c r="V851" i="33"/>
  <c r="V853" i="33"/>
  <c r="W854" i="33"/>
  <c r="W851" i="33"/>
  <c r="W853" i="33"/>
  <c r="W852" i="33"/>
  <c r="X851" i="33"/>
  <c r="X853" i="33"/>
  <c r="X852" i="33"/>
  <c r="Y851" i="33"/>
  <c r="Y853" i="33"/>
  <c r="Y852" i="33"/>
  <c r="AA854" i="33"/>
  <c r="AA852" i="33"/>
  <c r="AA851" i="33"/>
  <c r="AA853" i="33"/>
  <c r="AC851" i="33"/>
  <c r="AC853" i="33"/>
  <c r="AC852" i="33"/>
  <c r="AB852" i="33"/>
  <c r="AB851" i="33"/>
  <c r="AB853" i="33"/>
  <c r="AB1241" i="33"/>
  <c r="Y1135" i="33"/>
  <c r="U1135" i="33"/>
  <c r="AA1135" i="33"/>
  <c r="V1135" i="33"/>
  <c r="W1135" i="33"/>
  <c r="Z1135" i="33"/>
  <c r="AA1882" i="33"/>
  <c r="AA1883" i="33" s="1"/>
  <c r="AA1884" i="33" s="1"/>
  <c r="U110" i="33"/>
  <c r="D99" i="33"/>
  <c r="D771" i="33"/>
  <c r="Y330" i="33"/>
  <c r="D245" i="33"/>
  <c r="D963" i="33"/>
  <c r="D772" i="33"/>
  <c r="AG772" i="33" s="1"/>
  <c r="W255" i="33"/>
  <c r="D241" i="33"/>
  <c r="AA1712" i="33"/>
  <c r="AA1459" i="33"/>
  <c r="AA1513" i="33" s="1"/>
  <c r="AA1514" i="33" s="1"/>
  <c r="X1135" i="33"/>
  <c r="Z1882" i="33"/>
  <c r="Z1883" i="33" s="1"/>
  <c r="Z1884" i="33" s="1"/>
  <c r="D1694" i="33"/>
  <c r="AG1694" i="33" s="1"/>
  <c r="U1459" i="33"/>
  <c r="U1513" i="33" s="1"/>
  <c r="U1514" i="33" s="1"/>
  <c r="V1918" i="33"/>
  <c r="V1025" i="33" s="1"/>
  <c r="X1459" i="33"/>
  <c r="X1513" i="33" s="1"/>
  <c r="X1514" i="33" s="1"/>
  <c r="X1882" i="33"/>
  <c r="X1883" i="33" s="1"/>
  <c r="X1884" i="33" s="1"/>
  <c r="AC1014" i="33"/>
  <c r="U16" i="33"/>
  <c r="W193" i="33"/>
  <c r="W202" i="33" s="1"/>
  <c r="X16" i="33"/>
  <c r="U28" i="33"/>
  <c r="U786" i="33"/>
  <c r="U21" i="33"/>
  <c r="U26" i="33" s="1"/>
  <c r="V34" i="33"/>
  <c r="U40" i="33"/>
  <c r="W34" i="33"/>
  <c r="Y35" i="33"/>
  <c r="V147" i="33"/>
  <c r="X21" i="33"/>
  <c r="X26" i="33" s="1"/>
  <c r="Z28" i="33"/>
  <c r="W1549" i="33"/>
  <c r="Y1673" i="33"/>
  <c r="V36" i="33"/>
  <c r="V39" i="33" s="1"/>
  <c r="Y42" i="33"/>
  <c r="X197" i="33"/>
  <c r="X1681" i="33"/>
  <c r="X193" i="33"/>
  <c r="X202" i="33" s="1"/>
  <c r="W1517" i="33"/>
  <c r="V1519" i="33"/>
  <c r="Y40" i="33"/>
  <c r="U151" i="33"/>
  <c r="U152" i="33" s="1"/>
  <c r="Y810" i="33"/>
  <c r="Y812" i="33" s="1"/>
  <c r="AC1135" i="33"/>
  <c r="Y1669" i="33"/>
  <c r="U107" i="33"/>
  <c r="U985" i="33"/>
  <c r="X1517" i="33"/>
  <c r="Y1674" i="33"/>
  <c r="AC1931" i="33"/>
  <c r="Y107" i="33"/>
  <c r="V109" i="33"/>
  <c r="Y11" i="33"/>
  <c r="Y20" i="33"/>
  <c r="Y25" i="33" s="1"/>
  <c r="V35" i="33"/>
  <c r="U109" i="33"/>
  <c r="V41" i="33"/>
  <c r="W35" i="33"/>
  <c r="X42" i="33"/>
  <c r="U198" i="33"/>
  <c r="U201" i="33" s="1"/>
  <c r="V203" i="33"/>
  <c r="Y1516" i="33"/>
  <c r="Y1671" i="33"/>
  <c r="Y1750" i="33"/>
  <c r="V11" i="33"/>
  <c r="Y16" i="33"/>
  <c r="W21" i="33"/>
  <c r="W26" i="33" s="1"/>
  <c r="Y36" i="33"/>
  <c r="Y38" i="33" s="1"/>
  <c r="V1459" i="33"/>
  <c r="V1513" i="33" s="1"/>
  <c r="V1514" i="33" s="1"/>
  <c r="Y1924" i="33"/>
  <c r="Y1925" i="33" s="1"/>
  <c r="X312" i="33"/>
  <c r="Z312" i="33"/>
  <c r="AB312" i="33"/>
  <c r="U134" i="33"/>
  <c r="AB143" i="33"/>
  <c r="AB199" i="33"/>
  <c r="W1244" i="33"/>
  <c r="Y1459" i="33"/>
  <c r="Y1513" i="33" s="1"/>
  <c r="Y1514" i="33" s="1"/>
  <c r="V1549" i="33"/>
  <c r="W1882" i="33"/>
  <c r="W1883" i="33" s="1"/>
  <c r="W1884" i="33" s="1"/>
  <c r="AB145" i="33"/>
  <c r="Y312" i="33"/>
  <c r="U1549" i="33"/>
  <c r="AC1549" i="33"/>
  <c r="AC1550" i="33" s="1"/>
  <c r="AC1243" i="33"/>
  <c r="W127" i="33"/>
  <c r="X145" i="33"/>
  <c r="Z201" i="33"/>
  <c r="Z1021" i="33"/>
  <c r="Z1245" i="33"/>
  <c r="AB40" i="33"/>
  <c r="AB201" i="33"/>
  <c r="AB812" i="33"/>
  <c r="Z1936" i="33"/>
  <c r="V130" i="33"/>
  <c r="V132" i="33" s="1"/>
  <c r="AB34" i="33"/>
  <c r="AB1021" i="33"/>
  <c r="W1136" i="33"/>
  <c r="W1140" i="33" s="1"/>
  <c r="AB1936" i="33"/>
  <c r="Z25" i="33"/>
  <c r="X812" i="33"/>
  <c r="AA129" i="33"/>
  <c r="Z1022" i="33"/>
  <c r="X1136" i="33"/>
  <c r="X1137" i="33" s="1"/>
  <c r="Y1549" i="33"/>
  <c r="V1581" i="33"/>
  <c r="V1582" i="33" s="1"/>
  <c r="W1581" i="33"/>
  <c r="W1582" i="33" s="1"/>
  <c r="Y1882" i="33"/>
  <c r="Y1883" i="33" s="1"/>
  <c r="Y1884" i="33" s="1"/>
  <c r="AC129" i="33"/>
  <c r="V199" i="33"/>
  <c r="Y310" i="33"/>
  <c r="X310" i="33"/>
  <c r="Y924" i="33"/>
  <c r="Y925" i="33"/>
  <c r="Y926" i="33"/>
  <c r="AB23" i="33"/>
  <c r="AB24" i="33"/>
  <c r="AA926" i="33"/>
  <c r="AA924" i="33"/>
  <c r="V143" i="33"/>
  <c r="Z1712" i="33"/>
  <c r="AB25" i="33"/>
  <c r="Z40" i="33"/>
  <c r="U42" i="33"/>
  <c r="Z81" i="33"/>
  <c r="Z130" i="33"/>
  <c r="Z132" i="33" s="1"/>
  <c r="Z143" i="33"/>
  <c r="Z145" i="33"/>
  <c r="Z199" i="33"/>
  <c r="U312" i="33"/>
  <c r="AA312" i="33"/>
  <c r="AC312" i="33"/>
  <c r="AA811" i="33"/>
  <c r="Z812" i="33"/>
  <c r="U924" i="33"/>
  <c r="X1021" i="33"/>
  <c r="AC1021" i="33"/>
  <c r="AB1022" i="33"/>
  <c r="Y1136" i="33"/>
  <c r="Y1137" i="33" s="1"/>
  <c r="Y1139" i="33" s="1"/>
  <c r="V1136" i="33"/>
  <c r="V1140" i="33" s="1"/>
  <c r="AB1135" i="33"/>
  <c r="U1581" i="33"/>
  <c r="U1582" i="33" s="1"/>
  <c r="AC1581" i="33"/>
  <c r="AC1582" i="33" s="1"/>
  <c r="AA1936" i="33"/>
  <c r="AA37" i="33"/>
  <c r="X40" i="33"/>
  <c r="AA81" i="33"/>
  <c r="V312" i="33"/>
  <c r="V310" i="33"/>
  <c r="V1022" i="33"/>
  <c r="U1023" i="33"/>
  <c r="AC1023" i="33"/>
  <c r="U1136" i="33"/>
  <c r="U1137" i="33" s="1"/>
  <c r="Z1136" i="33"/>
  <c r="Z1140" i="33" s="1"/>
  <c r="W1021" i="33"/>
  <c r="AB37" i="33"/>
  <c r="AB130" i="33"/>
  <c r="AB132" i="33" s="1"/>
  <c r="AC924" i="33"/>
  <c r="AA1021" i="33"/>
  <c r="W1022" i="33"/>
  <c r="V1023" i="33"/>
  <c r="U1244" i="33"/>
  <c r="Z1581" i="33"/>
  <c r="Z1582" i="33" s="1"/>
  <c r="AA1620" i="33"/>
  <c r="U1620" i="33"/>
  <c r="AC1620" i="33"/>
  <c r="AC1621" i="33" s="1"/>
  <c r="Y1880" i="33"/>
  <c r="W1918" i="33"/>
  <c r="W1025" i="33" s="1"/>
  <c r="V1934" i="33"/>
  <c r="V1935" i="33" s="1"/>
  <c r="AC1936" i="33"/>
  <c r="Z24" i="33"/>
  <c r="AC34" i="33"/>
  <c r="AC37" i="33"/>
  <c r="Y127" i="33"/>
  <c r="W133" i="33"/>
  <c r="Y144" i="33"/>
  <c r="Y200" i="33"/>
  <c r="AC811" i="33"/>
  <c r="AA1136" i="33"/>
  <c r="AA1137" i="33" s="1"/>
  <c r="AC1136" i="33"/>
  <c r="AC1137" i="33" s="1"/>
  <c r="AC1513" i="33"/>
  <c r="AC1514" i="33" s="1"/>
  <c r="AA1581" i="33"/>
  <c r="AA1582" i="33" s="1"/>
  <c r="X1581" i="33"/>
  <c r="X1582" i="33" s="1"/>
  <c r="U1882" i="33"/>
  <c r="U1883" i="33" s="1"/>
  <c r="U1884" i="33" s="1"/>
  <c r="X1918" i="33"/>
  <c r="X1025" i="33" s="1"/>
  <c r="X34" i="33"/>
  <c r="AB38" i="33"/>
  <c r="Y133" i="33"/>
  <c r="U310" i="33"/>
  <c r="AA310" i="33"/>
  <c r="U811" i="33"/>
  <c r="U1021" i="33"/>
  <c r="AA1023" i="33"/>
  <c r="X1244" i="33"/>
  <c r="AB1513" i="33"/>
  <c r="AB1549" i="33"/>
  <c r="AB1550" i="33" s="1"/>
  <c r="Y1620" i="33"/>
  <c r="Y1622" i="33" s="1"/>
  <c r="U1936" i="33"/>
  <c r="AC23" i="33"/>
  <c r="AC24" i="33"/>
  <c r="U145" i="33"/>
  <c r="U144" i="33"/>
  <c r="U143" i="33"/>
  <c r="AA23" i="33"/>
  <c r="AA24" i="33"/>
  <c r="Z37" i="33"/>
  <c r="Z38" i="33"/>
  <c r="Z39" i="33"/>
  <c r="W25" i="33"/>
  <c r="W22" i="33"/>
  <c r="U39" i="33"/>
  <c r="U38" i="33"/>
  <c r="U37" i="33"/>
  <c r="U23" i="33"/>
  <c r="U24" i="33"/>
  <c r="X22" i="33"/>
  <c r="U25" i="33"/>
  <c r="AA25" i="33"/>
  <c r="AC25" i="33"/>
  <c r="X35" i="33"/>
  <c r="W36" i="33"/>
  <c r="AA38" i="33"/>
  <c r="AC38" i="33"/>
  <c r="V42" i="33"/>
  <c r="AA145" i="33"/>
  <c r="AA144" i="33"/>
  <c r="AA143" i="33"/>
  <c r="AC145" i="33"/>
  <c r="AC144" i="33"/>
  <c r="AC143" i="33"/>
  <c r="AA201" i="33"/>
  <c r="AA200" i="33"/>
  <c r="AA199" i="33"/>
  <c r="AC201" i="33"/>
  <c r="AC200" i="33"/>
  <c r="AC199" i="33"/>
  <c r="W312" i="33"/>
  <c r="Y311" i="33"/>
  <c r="V12" i="33"/>
  <c r="X36" i="33"/>
  <c r="W201" i="33"/>
  <c r="W200" i="33"/>
  <c r="W199" i="33"/>
  <c r="V20" i="33"/>
  <c r="AC40" i="33"/>
  <c r="U141" i="33"/>
  <c r="U136" i="33"/>
  <c r="U146" i="33" s="1"/>
  <c r="X200" i="33"/>
  <c r="X199" i="33"/>
  <c r="W1617" i="33"/>
  <c r="W1620" i="33"/>
  <c r="W11" i="33"/>
  <c r="V16" i="33"/>
  <c r="AA34" i="33"/>
  <c r="Z35" i="33"/>
  <c r="W16" i="33"/>
  <c r="Y81" i="33"/>
  <c r="X107" i="33"/>
  <c r="W132" i="33"/>
  <c r="W131" i="33"/>
  <c r="V812" i="33"/>
  <c r="V811" i="33"/>
  <c r="X129" i="33"/>
  <c r="X127" i="33"/>
  <c r="X130" i="33"/>
  <c r="X133" i="33"/>
  <c r="Y131" i="33"/>
  <c r="W926" i="33"/>
  <c r="W925" i="33"/>
  <c r="W924" i="33"/>
  <c r="V129" i="33"/>
  <c r="AA130" i="33"/>
  <c r="AC130" i="33"/>
  <c r="Y145" i="33"/>
  <c r="W147" i="33"/>
  <c r="W197" i="33"/>
  <c r="Y201" i="33"/>
  <c r="Z311" i="33"/>
  <c r="AB311" i="33"/>
  <c r="W812" i="33"/>
  <c r="W811" i="33"/>
  <c r="X926" i="33"/>
  <c r="X925" i="33"/>
  <c r="X924" i="33"/>
  <c r="V926" i="33"/>
  <c r="V925" i="33"/>
  <c r="V924" i="33"/>
  <c r="U1880" i="33"/>
  <c r="U1879" i="33"/>
  <c r="U311" i="33"/>
  <c r="AA311" i="33"/>
  <c r="AC311" i="33"/>
  <c r="W330" i="33"/>
  <c r="V1880" i="33"/>
  <c r="V1879" i="33"/>
  <c r="U116" i="33"/>
  <c r="U126" i="33"/>
  <c r="Z127" i="33"/>
  <c r="AB127" i="33"/>
  <c r="W143" i="33"/>
  <c r="V144" i="33"/>
  <c r="V200" i="33"/>
  <c r="Z924" i="33"/>
  <c r="Z926" i="33"/>
  <c r="AB924" i="33"/>
  <c r="AB926" i="33"/>
  <c r="Y1023" i="33"/>
  <c r="Y1022" i="33"/>
  <c r="Y1021" i="33"/>
  <c r="AB1136" i="33"/>
  <c r="X143" i="33"/>
  <c r="W144" i="33"/>
  <c r="U193" i="33"/>
  <c r="U202" i="33" s="1"/>
  <c r="Y259" i="33"/>
  <c r="Y1245" i="33"/>
  <c r="Y1244" i="33"/>
  <c r="W813" i="33"/>
  <c r="Z837" i="33"/>
  <c r="Z850" i="33" s="1"/>
  <c r="Z830" i="33"/>
  <c r="Z854" i="33" s="1"/>
  <c r="Z829" i="33"/>
  <c r="Z925" i="33"/>
  <c r="U925" i="33"/>
  <c r="AA925" i="33"/>
  <c r="AC925" i="33"/>
  <c r="X1022" i="33"/>
  <c r="AB1581" i="33"/>
  <c r="AB1582" i="33" s="1"/>
  <c r="Y1581" i="33"/>
  <c r="Y1582" i="33" s="1"/>
  <c r="X1620" i="33"/>
  <c r="AB1620" i="33"/>
  <c r="AB1621" i="33" s="1"/>
  <c r="W1936" i="33"/>
  <c r="W1934" i="33"/>
  <c r="W1935" i="33" s="1"/>
  <c r="AA1244" i="33"/>
  <c r="W1712" i="33"/>
  <c r="W1459" i="33"/>
  <c r="W1513" i="33" s="1"/>
  <c r="W1514" i="33" s="1"/>
  <c r="Z1924" i="33"/>
  <c r="Z1925" i="33" s="1"/>
  <c r="Z1918" i="33"/>
  <c r="Z1025" i="33" s="1"/>
  <c r="Y1521" i="33"/>
  <c r="Y1520" i="33"/>
  <c r="Y1519" i="33"/>
  <c r="W1880" i="33"/>
  <c r="W1879" i="33"/>
  <c r="V1244" i="33"/>
  <c r="V1882" i="33"/>
  <c r="V1883" i="33" s="1"/>
  <c r="V1884" i="33" s="1"/>
  <c r="Z1620" i="33"/>
  <c r="X1880" i="33"/>
  <c r="X1879" i="33"/>
  <c r="X1527" i="33"/>
  <c r="X1549" i="33" s="1"/>
  <c r="Y1617" i="33"/>
  <c r="V1620" i="33"/>
  <c r="Y1751" i="33"/>
  <c r="AB1617" i="33"/>
  <c r="Y1714" i="33"/>
  <c r="AA1918" i="33"/>
  <c r="AA1025" i="33" s="1"/>
  <c r="X1934" i="33"/>
  <c r="X1935" i="33" s="1"/>
  <c r="Y1670" i="33"/>
  <c r="Y1676" i="33"/>
  <c r="Y1677" i="33" s="1"/>
  <c r="Y1934" i="33"/>
  <c r="Y1935" i="33" s="1"/>
  <c r="H871" i="33" l="1"/>
  <c r="H876" i="33"/>
  <c r="H882" i="33"/>
  <c r="Z852" i="33"/>
  <c r="Z851" i="33"/>
  <c r="Z853" i="33"/>
  <c r="AA1621" i="33"/>
  <c r="AA1622" i="33"/>
  <c r="Z1621" i="33"/>
  <c r="Z1622" i="33"/>
  <c r="W40" i="33"/>
  <c r="W81" i="33"/>
  <c r="Y37" i="33"/>
  <c r="Y39" i="33"/>
  <c r="V37" i="33"/>
  <c r="V38" i="33"/>
  <c r="U1622" i="33"/>
  <c r="X1140" i="33"/>
  <c r="Y22" i="33"/>
  <c r="Y24" i="33" s="1"/>
  <c r="V131" i="33"/>
  <c r="V81" i="33"/>
  <c r="V40" i="33"/>
  <c r="U34" i="33"/>
  <c r="U81" i="33"/>
  <c r="U309" i="33"/>
  <c r="Y309" i="33"/>
  <c r="U199" i="33"/>
  <c r="U200" i="33"/>
  <c r="Z1137" i="33"/>
  <c r="Z1139" i="33" s="1"/>
  <c r="Y811" i="33"/>
  <c r="AB131" i="33"/>
  <c r="V309" i="33"/>
  <c r="V1137" i="33"/>
  <c r="V1139" i="33" s="1"/>
  <c r="Y1621" i="33"/>
  <c r="AA1140" i="33"/>
  <c r="X309" i="33"/>
  <c r="AC1242" i="33"/>
  <c r="AB1514" i="33"/>
  <c r="W1137" i="33"/>
  <c r="W1139" i="33" s="1"/>
  <c r="U1140" i="33"/>
  <c r="Y1140" i="33"/>
  <c r="Y1138" i="33"/>
  <c r="Z131" i="33"/>
  <c r="AA309" i="33"/>
  <c r="AC1140" i="33"/>
  <c r="Z309" i="33"/>
  <c r="Z310" i="33"/>
  <c r="AB309" i="33"/>
  <c r="AB310" i="33"/>
  <c r="W1622" i="33"/>
  <c r="W1621" i="33"/>
  <c r="AC1139" i="33"/>
  <c r="AC1138" i="33"/>
  <c r="AC132" i="33"/>
  <c r="AC131" i="33"/>
  <c r="X39" i="33"/>
  <c r="X38" i="33"/>
  <c r="X37" i="33"/>
  <c r="W39" i="33"/>
  <c r="W38" i="33"/>
  <c r="W37" i="33"/>
  <c r="V1622" i="33"/>
  <c r="V1621" i="33"/>
  <c r="AB1137" i="33"/>
  <c r="AB1140" i="33"/>
  <c r="X1139" i="33"/>
  <c r="X1138" i="33"/>
  <c r="AA132" i="33"/>
  <c r="AA131" i="33"/>
  <c r="Y1623" i="33"/>
  <c r="Y1624" i="33"/>
  <c r="U1139" i="33"/>
  <c r="U1138" i="33"/>
  <c r="AB1517" i="33"/>
  <c r="AB1516" i="33"/>
  <c r="X131" i="33"/>
  <c r="X132" i="33"/>
  <c r="X1622" i="33"/>
  <c r="X1621" i="33"/>
  <c r="AA1139" i="33"/>
  <c r="AA1138" i="33"/>
  <c r="X24" i="33"/>
  <c r="X23" i="33"/>
  <c r="U133" i="33"/>
  <c r="U130" i="33"/>
  <c r="W24" i="33"/>
  <c r="W23" i="33"/>
  <c r="AB1243" i="33"/>
  <c r="AB1242" i="33"/>
  <c r="W310" i="33"/>
  <c r="W309" i="33"/>
  <c r="V22" i="33"/>
  <c r="V25" i="33"/>
  <c r="AC1245" i="33"/>
  <c r="AC1244" i="33"/>
  <c r="Z1624" i="33" l="1"/>
  <c r="Z1623" i="33"/>
  <c r="AA1624" i="33"/>
  <c r="AA1623" i="33"/>
  <c r="Y23" i="33"/>
  <c r="U1624" i="33"/>
  <c r="U1623" i="33"/>
  <c r="Z1138" i="33"/>
  <c r="V1138" i="33"/>
  <c r="W1138" i="33"/>
  <c r="AB1138" i="33"/>
  <c r="AB1139" i="33"/>
  <c r="AB1244" i="33"/>
  <c r="AB1245" i="33"/>
  <c r="V1624" i="33"/>
  <c r="V1623" i="33"/>
  <c r="X1623" i="33"/>
  <c r="X1624" i="33"/>
  <c r="V23" i="33"/>
  <c r="V24" i="33"/>
  <c r="U132" i="33"/>
  <c r="U131" i="33"/>
  <c r="W1624" i="33"/>
  <c r="W1623" i="33"/>
  <c r="D982" i="33" l="1"/>
  <c r="AG982" i="33" s="1"/>
  <c r="D806" i="33"/>
  <c r="AG806" i="33" s="1"/>
  <c r="AG771" i="33"/>
  <c r="AD1996" i="33" l="1"/>
  <c r="AD1994" i="33"/>
  <c r="AD1993" i="33"/>
  <c r="AD1992" i="33"/>
  <c r="AD1991" i="33"/>
  <c r="H1989" i="33"/>
  <c r="AD1988" i="33"/>
  <c r="AD1987" i="33"/>
  <c r="AD1986" i="33"/>
  <c r="AD1985" i="33"/>
  <c r="AD1984" i="33"/>
  <c r="AD1983" i="33"/>
  <c r="AD1982" i="33"/>
  <c r="AD1981" i="33"/>
  <c r="AD1980" i="33"/>
  <c r="AD1979" i="33"/>
  <c r="AD1978" i="33"/>
  <c r="T1977" i="33"/>
  <c r="S1977" i="33"/>
  <c r="R1977" i="33"/>
  <c r="Q1977" i="33"/>
  <c r="P1977" i="33"/>
  <c r="O1977" i="33"/>
  <c r="N1977" i="33"/>
  <c r="M1977" i="33"/>
  <c r="L1977" i="33"/>
  <c r="K1977" i="33"/>
  <c r="J1977" i="33"/>
  <c r="I1977" i="33"/>
  <c r="G1977" i="33"/>
  <c r="T1976" i="33"/>
  <c r="S1976" i="33"/>
  <c r="R1976" i="33"/>
  <c r="Q1976" i="33"/>
  <c r="P1976" i="33"/>
  <c r="O1976" i="33"/>
  <c r="N1976" i="33"/>
  <c r="M1976" i="33"/>
  <c r="L1976" i="33"/>
  <c r="K1976" i="33"/>
  <c r="J1976" i="33"/>
  <c r="I1976" i="33"/>
  <c r="H1976" i="33"/>
  <c r="G1976" i="33"/>
  <c r="T1975" i="33"/>
  <c r="S1975" i="33"/>
  <c r="R1975" i="33"/>
  <c r="Q1975" i="33"/>
  <c r="P1975" i="33"/>
  <c r="O1975" i="33"/>
  <c r="N1975" i="33"/>
  <c r="M1975" i="33"/>
  <c r="L1975" i="33"/>
  <c r="K1975" i="33"/>
  <c r="J1975" i="33"/>
  <c r="I1975" i="33"/>
  <c r="H1975" i="33"/>
  <c r="G1975" i="33"/>
  <c r="AD1969" i="33"/>
  <c r="AE1969" i="33" s="1"/>
  <c r="AD1955" i="33"/>
  <c r="AD1954" i="33"/>
  <c r="AD1948" i="33"/>
  <c r="R1947" i="33"/>
  <c r="Q1947" i="33"/>
  <c r="Q1924" i="33" s="1"/>
  <c r="Q1925" i="33" s="1"/>
  <c r="P1947" i="33"/>
  <c r="P1924" i="33" s="1"/>
  <c r="P1925" i="33" s="1"/>
  <c r="O1947" i="33"/>
  <c r="O1924" i="33" s="1"/>
  <c r="O1925" i="33" s="1"/>
  <c r="N1947" i="33"/>
  <c r="M1947" i="33"/>
  <c r="M1915" i="33" s="1"/>
  <c r="M1918" i="33" s="1"/>
  <c r="L1947" i="33"/>
  <c r="K1947" i="33"/>
  <c r="K1915" i="33" s="1"/>
  <c r="K1918" i="33" s="1"/>
  <c r="J1947" i="33"/>
  <c r="J1915" i="33" s="1"/>
  <c r="J1918" i="33" s="1"/>
  <c r="I1947" i="33"/>
  <c r="H1947" i="33"/>
  <c r="H1915" i="33" s="1"/>
  <c r="H1918" i="33" s="1"/>
  <c r="AD1944" i="33"/>
  <c r="AD1946" i="33"/>
  <c r="AD1945" i="33"/>
  <c r="R1951" i="33"/>
  <c r="Q1951" i="33"/>
  <c r="P1951" i="33"/>
  <c r="O1951" i="33"/>
  <c r="N1951" i="33"/>
  <c r="M1951" i="33"/>
  <c r="L1951" i="33"/>
  <c r="K1951" i="33"/>
  <c r="J1951" i="33"/>
  <c r="I1951" i="33"/>
  <c r="H1951" i="33"/>
  <c r="AD1949" i="33"/>
  <c r="AD1940" i="33"/>
  <c r="AE1940" i="33" s="1"/>
  <c r="AD1939" i="33"/>
  <c r="AD1937" i="33"/>
  <c r="AE1937" i="33" s="1"/>
  <c r="T1933" i="33"/>
  <c r="T1934" i="33" s="1"/>
  <c r="T1935" i="33" s="1"/>
  <c r="S1933" i="33"/>
  <c r="S1936" i="33" s="1"/>
  <c r="R1933" i="33"/>
  <c r="R1936" i="33" s="1"/>
  <c r="Q1933" i="33"/>
  <c r="Q1936" i="33" s="1"/>
  <c r="P1933" i="33"/>
  <c r="P1936" i="33" s="1"/>
  <c r="O1933" i="33"/>
  <c r="O1936" i="33" s="1"/>
  <c r="N1933" i="33"/>
  <c r="N1934" i="33" s="1"/>
  <c r="N1935" i="33" s="1"/>
  <c r="M1933" i="33"/>
  <c r="M1936" i="33" s="1"/>
  <c r="L1933" i="33"/>
  <c r="L1936" i="33" s="1"/>
  <c r="K1933" i="33"/>
  <c r="K1936" i="33" s="1"/>
  <c r="J1933" i="33"/>
  <c r="J1936" i="33" s="1"/>
  <c r="I1933" i="33"/>
  <c r="I1936" i="33" s="1"/>
  <c r="H1933" i="33"/>
  <c r="H1934" i="33" s="1"/>
  <c r="G1933" i="33"/>
  <c r="AD1932" i="33"/>
  <c r="S1931" i="33"/>
  <c r="R1931" i="33"/>
  <c r="Q1931" i="33"/>
  <c r="P1931" i="33"/>
  <c r="O1931" i="33"/>
  <c r="N1931" i="33"/>
  <c r="M1931" i="33"/>
  <c r="L1931" i="33"/>
  <c r="K1931" i="33"/>
  <c r="J1931" i="33"/>
  <c r="I1931" i="33"/>
  <c r="AD1930" i="33"/>
  <c r="AD1929" i="33"/>
  <c r="T1928" i="33"/>
  <c r="S1928" i="33"/>
  <c r="R1928" i="33"/>
  <c r="Q1928" i="33"/>
  <c r="P1928" i="33"/>
  <c r="O1928" i="33"/>
  <c r="N1928" i="33"/>
  <c r="M1928" i="33"/>
  <c r="L1928" i="33"/>
  <c r="K1928" i="33"/>
  <c r="J1928" i="33"/>
  <c r="I1928" i="33"/>
  <c r="H1928" i="33"/>
  <c r="G1928" i="33"/>
  <c r="AD1927" i="33"/>
  <c r="AD1926" i="33"/>
  <c r="K1924" i="33"/>
  <c r="K1925" i="33" s="1"/>
  <c r="AD1923" i="33"/>
  <c r="AD1922" i="33"/>
  <c r="AD1921" i="33"/>
  <c r="T1920" i="33"/>
  <c r="S1920" i="33"/>
  <c r="R1920" i="33"/>
  <c r="Q1920" i="33"/>
  <c r="P1920" i="33"/>
  <c r="O1920" i="33"/>
  <c r="N1920" i="33"/>
  <c r="M1920" i="33"/>
  <c r="L1920" i="33"/>
  <c r="K1920" i="33"/>
  <c r="J1920" i="33"/>
  <c r="I1920" i="33"/>
  <c r="H1920" i="33"/>
  <c r="G1920" i="33"/>
  <c r="T1919" i="33"/>
  <c r="S1919" i="33"/>
  <c r="R1919" i="33"/>
  <c r="Q1919" i="33"/>
  <c r="P1919" i="33"/>
  <c r="O1919" i="33"/>
  <c r="N1919" i="33"/>
  <c r="M1919" i="33"/>
  <c r="L1919" i="33"/>
  <c r="K1919" i="33"/>
  <c r="J1919" i="33"/>
  <c r="I1919" i="33"/>
  <c r="G1919" i="33"/>
  <c r="T1918" i="33"/>
  <c r="S1918" i="33"/>
  <c r="AD1917" i="33"/>
  <c r="AD1916" i="33"/>
  <c r="G1915" i="33"/>
  <c r="T1914" i="33"/>
  <c r="D1914" i="33" s="1"/>
  <c r="T1913" i="33"/>
  <c r="T1912" i="33"/>
  <c r="AD1909" i="33"/>
  <c r="AE1909" i="33" s="1"/>
  <c r="T1906" i="33"/>
  <c r="S1906" i="33"/>
  <c r="R1906" i="33"/>
  <c r="Q1906" i="33"/>
  <c r="P1906" i="33"/>
  <c r="O1906" i="33"/>
  <c r="N1906" i="33"/>
  <c r="M1906" i="33"/>
  <c r="L1906" i="33"/>
  <c r="K1906" i="33"/>
  <c r="J1906" i="33"/>
  <c r="I1906" i="33"/>
  <c r="H1906" i="33"/>
  <c r="G1906" i="33"/>
  <c r="AD1905" i="33"/>
  <c r="AD1904" i="33"/>
  <c r="AD1903" i="33"/>
  <c r="AD1902" i="33"/>
  <c r="AD1901" i="33"/>
  <c r="AD1900" i="33"/>
  <c r="AD1899" i="33"/>
  <c r="AD1898" i="33"/>
  <c r="AD1895" i="33"/>
  <c r="AD1893" i="33"/>
  <c r="AD1891" i="33"/>
  <c r="AD1889" i="33"/>
  <c r="AE1889" i="33" s="1"/>
  <c r="T1888" i="33"/>
  <c r="S1888" i="33"/>
  <c r="R1888" i="33"/>
  <c r="Q1888" i="33"/>
  <c r="P1888" i="33"/>
  <c r="O1888" i="33"/>
  <c r="N1888" i="33"/>
  <c r="M1888" i="33"/>
  <c r="L1888" i="33"/>
  <c r="K1888" i="33"/>
  <c r="J1888" i="33"/>
  <c r="I1888" i="33"/>
  <c r="H1888" i="33"/>
  <c r="G1888" i="33"/>
  <c r="T1887" i="33"/>
  <c r="S1887" i="33"/>
  <c r="R1887" i="33"/>
  <c r="Q1887" i="33"/>
  <c r="P1887" i="33"/>
  <c r="O1887" i="33"/>
  <c r="N1887" i="33"/>
  <c r="M1887" i="33"/>
  <c r="L1887" i="33"/>
  <c r="K1887" i="33"/>
  <c r="J1887" i="33"/>
  <c r="I1887" i="33"/>
  <c r="H1887" i="33"/>
  <c r="G1887" i="33"/>
  <c r="T1886" i="33"/>
  <c r="S1886" i="33"/>
  <c r="R1886" i="33"/>
  <c r="Q1886" i="33"/>
  <c r="P1886" i="33"/>
  <c r="O1886" i="33"/>
  <c r="N1886" i="33"/>
  <c r="M1886" i="33"/>
  <c r="L1886" i="33"/>
  <c r="K1886" i="33"/>
  <c r="J1886" i="33"/>
  <c r="I1886" i="33"/>
  <c r="H1886" i="33"/>
  <c r="G1886" i="33"/>
  <c r="AD1885" i="33"/>
  <c r="AD1881" i="33"/>
  <c r="T1875" i="33"/>
  <c r="T1876" i="33" s="1"/>
  <c r="T1877" i="33" s="1"/>
  <c r="T1878" i="33" s="1"/>
  <c r="S1875" i="33"/>
  <c r="S1876" i="33" s="1"/>
  <c r="S1877" i="33" s="1"/>
  <c r="S1878" i="33" s="1"/>
  <c r="S1879" i="33" s="1"/>
  <c r="R1875" i="33"/>
  <c r="R1876" i="33" s="1"/>
  <c r="R1877" i="33" s="1"/>
  <c r="R1878" i="33" s="1"/>
  <c r="Q1875" i="33"/>
  <c r="Q1876" i="33" s="1"/>
  <c r="Q1877" i="33" s="1"/>
  <c r="Q1878" i="33" s="1"/>
  <c r="P1875" i="33"/>
  <c r="P1876" i="33" s="1"/>
  <c r="P1877" i="33" s="1"/>
  <c r="P1878" i="33" s="1"/>
  <c r="O1875" i="33"/>
  <c r="O1876" i="33" s="1"/>
  <c r="O1877" i="33" s="1"/>
  <c r="O1878" i="33" s="1"/>
  <c r="N1875" i="33"/>
  <c r="N1876" i="33" s="1"/>
  <c r="N1877" i="33" s="1"/>
  <c r="N1878" i="33" s="1"/>
  <c r="M1875" i="33"/>
  <c r="M1876" i="33" s="1"/>
  <c r="M1877" i="33" s="1"/>
  <c r="M1878" i="33" s="1"/>
  <c r="L1875" i="33"/>
  <c r="L1876" i="33" s="1"/>
  <c r="L1877" i="33" s="1"/>
  <c r="L1878" i="33" s="1"/>
  <c r="K1875" i="33"/>
  <c r="K1876" i="33" s="1"/>
  <c r="K1877" i="33" s="1"/>
  <c r="K1878" i="33" s="1"/>
  <c r="J1875" i="33"/>
  <c r="J1876" i="33" s="1"/>
  <c r="J1877" i="33" s="1"/>
  <c r="J1878" i="33" s="1"/>
  <c r="J1879" i="33" s="1"/>
  <c r="I1875" i="33"/>
  <c r="I1876" i="33" s="1"/>
  <c r="I1877" i="33" s="1"/>
  <c r="I1878" i="33" s="1"/>
  <c r="H1875" i="33"/>
  <c r="H1876" i="33" s="1"/>
  <c r="H1877" i="33" s="1"/>
  <c r="H1878" i="33" s="1"/>
  <c r="G1875" i="33"/>
  <c r="AD1874" i="33"/>
  <c r="AD1873" i="33"/>
  <c r="T1872" i="33"/>
  <c r="AD1871" i="33"/>
  <c r="AD1870" i="33"/>
  <c r="AD1869" i="33"/>
  <c r="AD1868" i="33"/>
  <c r="T1867" i="33"/>
  <c r="S1867" i="33"/>
  <c r="R1867" i="33"/>
  <c r="Q1867" i="33"/>
  <c r="P1867" i="33"/>
  <c r="O1867" i="33"/>
  <c r="N1867" i="33"/>
  <c r="M1867" i="33"/>
  <c r="L1867" i="33"/>
  <c r="K1867" i="33"/>
  <c r="J1867" i="33"/>
  <c r="I1867" i="33"/>
  <c r="H1867" i="33"/>
  <c r="G1867" i="33"/>
  <c r="S1866" i="33"/>
  <c r="R1866" i="33"/>
  <c r="Q1866" i="33"/>
  <c r="P1866" i="33"/>
  <c r="O1866" i="33"/>
  <c r="N1866" i="33"/>
  <c r="M1866" i="33"/>
  <c r="L1866" i="33"/>
  <c r="K1866" i="33"/>
  <c r="J1866" i="33"/>
  <c r="I1866" i="33"/>
  <c r="H1866" i="33"/>
  <c r="G1866" i="33"/>
  <c r="S1865" i="33"/>
  <c r="R1865" i="33"/>
  <c r="Q1865" i="33"/>
  <c r="P1865" i="33"/>
  <c r="O1865" i="33"/>
  <c r="N1865" i="33"/>
  <c r="M1865" i="33"/>
  <c r="L1865" i="33"/>
  <c r="K1865" i="33"/>
  <c r="J1865" i="33"/>
  <c r="I1865" i="33"/>
  <c r="H1865" i="33"/>
  <c r="G1865" i="33"/>
  <c r="T1864" i="33"/>
  <c r="S1864" i="33"/>
  <c r="R1864" i="33"/>
  <c r="Q1864" i="33"/>
  <c r="P1864" i="33"/>
  <c r="O1864" i="33"/>
  <c r="N1864" i="33"/>
  <c r="M1864" i="33"/>
  <c r="L1864" i="33"/>
  <c r="K1864" i="33"/>
  <c r="J1864" i="33"/>
  <c r="I1864" i="33"/>
  <c r="H1864" i="33"/>
  <c r="G1864" i="33"/>
  <c r="S1863" i="33"/>
  <c r="R1863" i="33"/>
  <c r="Q1863" i="33"/>
  <c r="P1863" i="33"/>
  <c r="O1863" i="33"/>
  <c r="N1863" i="33"/>
  <c r="M1863" i="33"/>
  <c r="L1863" i="33"/>
  <c r="K1863" i="33"/>
  <c r="J1863" i="33"/>
  <c r="I1863" i="33"/>
  <c r="H1863" i="33"/>
  <c r="G1863" i="33"/>
  <c r="S1862" i="33"/>
  <c r="R1862" i="33"/>
  <c r="Q1862" i="33"/>
  <c r="P1862" i="33"/>
  <c r="O1862" i="33"/>
  <c r="N1862" i="33"/>
  <c r="M1862" i="33"/>
  <c r="L1862" i="33"/>
  <c r="K1862" i="33"/>
  <c r="J1862" i="33"/>
  <c r="I1862" i="33"/>
  <c r="H1862" i="33"/>
  <c r="G1862" i="33"/>
  <c r="T1861" i="33"/>
  <c r="S1861" i="33"/>
  <c r="R1861" i="33"/>
  <c r="Q1861" i="33"/>
  <c r="P1861" i="33"/>
  <c r="O1861" i="33"/>
  <c r="N1861" i="33"/>
  <c r="M1861" i="33"/>
  <c r="L1861" i="33"/>
  <c r="K1861" i="33"/>
  <c r="J1861" i="33"/>
  <c r="I1861" i="33"/>
  <c r="H1861" i="33"/>
  <c r="G1861" i="33"/>
  <c r="AD1860" i="33"/>
  <c r="AD1859" i="33"/>
  <c r="AD1858" i="33"/>
  <c r="AD1857" i="33"/>
  <c r="AD1856" i="33"/>
  <c r="AD1855" i="33"/>
  <c r="AD1854" i="33"/>
  <c r="AD1853" i="33"/>
  <c r="AD1852" i="33"/>
  <c r="AD1849" i="33"/>
  <c r="AD1848" i="33"/>
  <c r="AD1847" i="33"/>
  <c r="AD1846" i="33"/>
  <c r="AD1845" i="33"/>
  <c r="AD1844" i="33"/>
  <c r="AD1843" i="33"/>
  <c r="AD1842" i="33"/>
  <c r="AD1841" i="33"/>
  <c r="AD1840" i="33"/>
  <c r="AD1839" i="33"/>
  <c r="AD1838" i="33"/>
  <c r="AD1837" i="33"/>
  <c r="AD1836" i="33"/>
  <c r="AD1835" i="33"/>
  <c r="AD1834" i="33"/>
  <c r="AD1833" i="33"/>
  <c r="AD1832" i="33"/>
  <c r="AD1831" i="33"/>
  <c r="AD1830" i="33"/>
  <c r="AD1829" i="33"/>
  <c r="AD1828" i="33"/>
  <c r="AD1827" i="33"/>
  <c r="AD1826" i="33"/>
  <c r="AD1825" i="33"/>
  <c r="AD1824" i="33"/>
  <c r="AD1823" i="33"/>
  <c r="AD1822" i="33"/>
  <c r="AD1821" i="33"/>
  <c r="AD1820" i="33"/>
  <c r="AD1819" i="33"/>
  <c r="AD1818" i="33"/>
  <c r="AD1817" i="33"/>
  <c r="AD1816" i="33"/>
  <c r="AD1815" i="33"/>
  <c r="AD1814" i="33"/>
  <c r="AD1813" i="33"/>
  <c r="AD1812" i="33"/>
  <c r="AD1811" i="33"/>
  <c r="AD1810" i="33"/>
  <c r="AD1809" i="33"/>
  <c r="T1807" i="33"/>
  <c r="T1808" i="33" s="1"/>
  <c r="S1807" i="33"/>
  <c r="S1808" i="33" s="1"/>
  <c r="R1807" i="33"/>
  <c r="R1808" i="33" s="1"/>
  <c r="Q1807" i="33"/>
  <c r="Q1808" i="33" s="1"/>
  <c r="P1807" i="33"/>
  <c r="P1808" i="33" s="1"/>
  <c r="O1807" i="33"/>
  <c r="O1808" i="33" s="1"/>
  <c r="N1807" i="33"/>
  <c r="N1808" i="33" s="1"/>
  <c r="M1807" i="33"/>
  <c r="M1808" i="33" s="1"/>
  <c r="L1807" i="33"/>
  <c r="L1808" i="33" s="1"/>
  <c r="K1807" i="33"/>
  <c r="K1808" i="33" s="1"/>
  <c r="J1807" i="33"/>
  <c r="J1808" i="33" s="1"/>
  <c r="I1807" i="33"/>
  <c r="I1808" i="33" s="1"/>
  <c r="H1807" i="33"/>
  <c r="H1808" i="33" s="1"/>
  <c r="G1807" i="33"/>
  <c r="T1806" i="33"/>
  <c r="S1806" i="33"/>
  <c r="Q1806" i="33"/>
  <c r="P1806" i="33"/>
  <c r="O1806" i="33"/>
  <c r="N1806" i="33"/>
  <c r="M1806" i="33"/>
  <c r="L1806" i="33"/>
  <c r="K1806" i="33"/>
  <c r="J1806" i="33"/>
  <c r="I1806" i="33"/>
  <c r="H1806" i="33"/>
  <c r="G1806" i="33"/>
  <c r="T1805" i="33"/>
  <c r="S1805" i="33"/>
  <c r="R1805" i="33"/>
  <c r="Q1805" i="33"/>
  <c r="P1805" i="33"/>
  <c r="O1805" i="33"/>
  <c r="N1805" i="33"/>
  <c r="M1805" i="33"/>
  <c r="L1805" i="33"/>
  <c r="K1805" i="33"/>
  <c r="J1805" i="33"/>
  <c r="I1805" i="33"/>
  <c r="H1805" i="33"/>
  <c r="G1805" i="33"/>
  <c r="T1804" i="33"/>
  <c r="S1804" i="33"/>
  <c r="R1804" i="33"/>
  <c r="Q1804" i="33"/>
  <c r="P1804" i="33"/>
  <c r="O1804" i="33"/>
  <c r="N1804" i="33"/>
  <c r="M1804" i="33"/>
  <c r="L1804" i="33"/>
  <c r="K1804" i="33"/>
  <c r="J1804" i="33"/>
  <c r="I1804" i="33"/>
  <c r="H1804" i="33"/>
  <c r="G1804" i="33"/>
  <c r="T1803" i="33"/>
  <c r="S1803" i="33"/>
  <c r="R1803" i="33"/>
  <c r="Q1803" i="33"/>
  <c r="P1803" i="33"/>
  <c r="O1803" i="33"/>
  <c r="N1803" i="33"/>
  <c r="M1803" i="33"/>
  <c r="L1803" i="33"/>
  <c r="K1803" i="33"/>
  <c r="J1803" i="33"/>
  <c r="I1803" i="33"/>
  <c r="H1803" i="33"/>
  <c r="G1803" i="33"/>
  <c r="S1802" i="33"/>
  <c r="R1802" i="33"/>
  <c r="Q1802" i="33"/>
  <c r="P1802" i="33"/>
  <c r="O1802" i="33"/>
  <c r="N1802" i="33"/>
  <c r="M1802" i="33"/>
  <c r="L1802" i="33"/>
  <c r="K1802" i="33"/>
  <c r="J1802" i="33"/>
  <c r="I1802" i="33"/>
  <c r="H1802" i="33"/>
  <c r="G1802" i="33"/>
  <c r="T1801" i="33"/>
  <c r="S1801" i="33"/>
  <c r="R1801" i="33"/>
  <c r="Q1801" i="33"/>
  <c r="P1801" i="33"/>
  <c r="O1801" i="33"/>
  <c r="N1801" i="33"/>
  <c r="M1801" i="33"/>
  <c r="L1801" i="33"/>
  <c r="K1801" i="33"/>
  <c r="J1801" i="33"/>
  <c r="I1801" i="33"/>
  <c r="H1801" i="33"/>
  <c r="G1801" i="33"/>
  <c r="T1800" i="33"/>
  <c r="S1800" i="33"/>
  <c r="R1800" i="33"/>
  <c r="Q1800" i="33"/>
  <c r="P1800" i="33"/>
  <c r="O1800" i="33"/>
  <c r="N1800" i="33"/>
  <c r="M1800" i="33"/>
  <c r="L1800" i="33"/>
  <c r="K1800" i="33"/>
  <c r="J1800" i="33"/>
  <c r="I1800" i="33"/>
  <c r="H1800" i="33"/>
  <c r="G1800" i="33"/>
  <c r="AD1799" i="33"/>
  <c r="AD1798" i="33"/>
  <c r="AD1797" i="33"/>
  <c r="AD1796" i="33"/>
  <c r="T1795" i="33"/>
  <c r="D1795" i="33" s="1"/>
  <c r="AD1794" i="33"/>
  <c r="AD1793" i="33"/>
  <c r="AD1790" i="33"/>
  <c r="AE1790" i="33" s="1"/>
  <c r="AD1789" i="33"/>
  <c r="AD1787" i="33"/>
  <c r="AD1786" i="33"/>
  <c r="AD1785" i="33"/>
  <c r="AD1784" i="33"/>
  <c r="AD1783" i="33"/>
  <c r="AD1782" i="33"/>
  <c r="S1781" i="33"/>
  <c r="AD1780" i="33"/>
  <c r="AD1779" i="33"/>
  <c r="AD1778" i="33"/>
  <c r="N1776" i="33"/>
  <c r="D1776" i="33" s="1"/>
  <c r="AG1776" i="33" s="1"/>
  <c r="AD1774" i="33"/>
  <c r="AE1774" i="33" s="1"/>
  <c r="AD1773" i="33"/>
  <c r="AD1772" i="33"/>
  <c r="AD1771" i="33"/>
  <c r="AD1770" i="33"/>
  <c r="AD1769" i="33"/>
  <c r="AD1768" i="33"/>
  <c r="T1767" i="33"/>
  <c r="S1767" i="33"/>
  <c r="R1767" i="33"/>
  <c r="Q1767" i="33"/>
  <c r="P1767" i="33"/>
  <c r="O1767" i="33"/>
  <c r="N1767" i="33"/>
  <c r="M1767" i="33"/>
  <c r="L1767" i="33"/>
  <c r="K1767" i="33"/>
  <c r="J1767" i="33"/>
  <c r="I1767" i="33"/>
  <c r="H1767" i="33"/>
  <c r="G1767" i="33"/>
  <c r="T1766" i="33"/>
  <c r="S1766" i="33"/>
  <c r="R1766" i="33"/>
  <c r="Q1766" i="33"/>
  <c r="P1766" i="33"/>
  <c r="O1766" i="33"/>
  <c r="N1766" i="33"/>
  <c r="M1766" i="33"/>
  <c r="L1766" i="33"/>
  <c r="K1766" i="33"/>
  <c r="J1766" i="33"/>
  <c r="I1766" i="33"/>
  <c r="H1766" i="33"/>
  <c r="G1766" i="33"/>
  <c r="AD1765" i="33"/>
  <c r="AD1764" i="33"/>
  <c r="AD1763" i="33"/>
  <c r="AD1762" i="33"/>
  <c r="T1761" i="33"/>
  <c r="S1761" i="33"/>
  <c r="R1761" i="33"/>
  <c r="Q1761" i="33"/>
  <c r="P1761" i="33"/>
  <c r="O1761" i="33"/>
  <c r="N1761" i="33"/>
  <c r="M1761" i="33"/>
  <c r="L1761" i="33"/>
  <c r="K1761" i="33"/>
  <c r="J1761" i="33"/>
  <c r="I1761" i="33"/>
  <c r="H1761" i="33"/>
  <c r="G1761" i="33"/>
  <c r="T1759" i="33"/>
  <c r="S1759" i="33"/>
  <c r="R1759" i="33"/>
  <c r="Q1759" i="33"/>
  <c r="P1759" i="33"/>
  <c r="O1759" i="33"/>
  <c r="N1759" i="33"/>
  <c r="M1759" i="33"/>
  <c r="L1759" i="33"/>
  <c r="K1759" i="33"/>
  <c r="J1759" i="33"/>
  <c r="I1759" i="33"/>
  <c r="H1759" i="33"/>
  <c r="G1759" i="33"/>
  <c r="T1758" i="33"/>
  <c r="S1758" i="33"/>
  <c r="R1758" i="33"/>
  <c r="Q1758" i="33"/>
  <c r="P1758" i="33"/>
  <c r="O1758" i="33"/>
  <c r="N1758" i="33"/>
  <c r="M1758" i="33"/>
  <c r="L1758" i="33"/>
  <c r="K1758" i="33"/>
  <c r="J1758" i="33"/>
  <c r="I1758" i="33"/>
  <c r="H1758" i="33"/>
  <c r="G1758" i="33"/>
  <c r="T1757" i="33"/>
  <c r="T1760" i="33" s="1"/>
  <c r="S1757" i="33"/>
  <c r="S1760" i="33" s="1"/>
  <c r="R1757" i="33"/>
  <c r="R1760" i="33" s="1"/>
  <c r="Q1757" i="33"/>
  <c r="Q1760" i="33" s="1"/>
  <c r="P1757" i="33"/>
  <c r="P1760" i="33" s="1"/>
  <c r="O1757" i="33"/>
  <c r="O1760" i="33" s="1"/>
  <c r="N1757" i="33"/>
  <c r="N1760" i="33" s="1"/>
  <c r="M1757" i="33"/>
  <c r="M1760" i="33" s="1"/>
  <c r="L1757" i="33"/>
  <c r="L1760" i="33" s="1"/>
  <c r="K1757" i="33"/>
  <c r="K1760" i="33" s="1"/>
  <c r="J1757" i="33"/>
  <c r="J1760" i="33" s="1"/>
  <c r="I1757" i="33"/>
  <c r="I1760" i="33" s="1"/>
  <c r="H1757" i="33"/>
  <c r="H1760" i="33" s="1"/>
  <c r="G1757" i="33"/>
  <c r="AD1756" i="33"/>
  <c r="AD1754" i="33"/>
  <c r="AE1754" i="33" s="1"/>
  <c r="AD1753" i="33"/>
  <c r="T1752" i="33"/>
  <c r="S1752" i="33"/>
  <c r="R1752" i="33"/>
  <c r="Q1752" i="33"/>
  <c r="P1752" i="33"/>
  <c r="O1752" i="33"/>
  <c r="N1752" i="33"/>
  <c r="M1752" i="33"/>
  <c r="K1752" i="33"/>
  <c r="J1752" i="33"/>
  <c r="I1752" i="33"/>
  <c r="H1752" i="33"/>
  <c r="G1752" i="33"/>
  <c r="T1751" i="33"/>
  <c r="S1751" i="33"/>
  <c r="R1751" i="33"/>
  <c r="Q1751" i="33"/>
  <c r="P1751" i="33"/>
  <c r="O1751" i="33"/>
  <c r="N1751" i="33"/>
  <c r="M1751" i="33"/>
  <c r="K1751" i="33"/>
  <c r="J1751" i="33"/>
  <c r="I1751" i="33"/>
  <c r="H1751" i="33"/>
  <c r="G1751" i="33"/>
  <c r="T1750" i="33"/>
  <c r="S1750" i="33"/>
  <c r="R1750" i="33"/>
  <c r="Q1750" i="33"/>
  <c r="P1750" i="33"/>
  <c r="O1750" i="33"/>
  <c r="N1750" i="33"/>
  <c r="M1750" i="33"/>
  <c r="K1750" i="33"/>
  <c r="J1750" i="33"/>
  <c r="I1750" i="33"/>
  <c r="H1750" i="33"/>
  <c r="G1750" i="33"/>
  <c r="L1752" i="33"/>
  <c r="AD1748" i="33"/>
  <c r="AD1747" i="33"/>
  <c r="AD1746" i="33"/>
  <c r="AD1745" i="33"/>
  <c r="AD1744" i="33"/>
  <c r="AD1743" i="33"/>
  <c r="AD1742" i="33"/>
  <c r="AD1741" i="33"/>
  <c r="AD1740" i="33"/>
  <c r="AD1737" i="33"/>
  <c r="AD1736" i="33"/>
  <c r="AD1734" i="33"/>
  <c r="AD1733" i="33"/>
  <c r="AD1732" i="33"/>
  <c r="AD1731" i="33"/>
  <c r="AD1730" i="33"/>
  <c r="AD1729" i="33"/>
  <c r="AD1728" i="33"/>
  <c r="AD1727" i="33"/>
  <c r="AD1726" i="33"/>
  <c r="AD1725" i="33"/>
  <c r="AD1724" i="33"/>
  <c r="AD1723" i="33"/>
  <c r="T1722" i="33"/>
  <c r="S1722" i="33"/>
  <c r="R1722" i="33"/>
  <c r="Q1722" i="33"/>
  <c r="P1722" i="33"/>
  <c r="O1722" i="33"/>
  <c r="N1722" i="33"/>
  <c r="M1722" i="33"/>
  <c r="L1722" i="33"/>
  <c r="K1722" i="33"/>
  <c r="J1722" i="33"/>
  <c r="I1722" i="33"/>
  <c r="H1722" i="33"/>
  <c r="G1722" i="33"/>
  <c r="T1721" i="33"/>
  <c r="S1721" i="33"/>
  <c r="R1721" i="33"/>
  <c r="Q1721" i="33"/>
  <c r="P1721" i="33"/>
  <c r="O1721" i="33"/>
  <c r="N1721" i="33"/>
  <c r="M1721" i="33"/>
  <c r="L1721" i="33"/>
  <c r="K1721" i="33"/>
  <c r="J1721" i="33"/>
  <c r="I1721" i="33"/>
  <c r="H1721" i="33"/>
  <c r="G1721" i="33"/>
  <c r="AD1720" i="33"/>
  <c r="AD1719" i="33"/>
  <c r="AD1716" i="33"/>
  <c r="AE1716" i="33" s="1"/>
  <c r="AD1715" i="33"/>
  <c r="AE1715" i="33" s="1"/>
  <c r="T1714" i="33"/>
  <c r="S1714" i="33"/>
  <c r="R1714" i="33"/>
  <c r="Q1714" i="33"/>
  <c r="P1714" i="33"/>
  <c r="O1714" i="33"/>
  <c r="N1714" i="33"/>
  <c r="M1714" i="33"/>
  <c r="K1714" i="33"/>
  <c r="J1714" i="33"/>
  <c r="I1714" i="33"/>
  <c r="H1714" i="33"/>
  <c r="G1714" i="33"/>
  <c r="T1713" i="33"/>
  <c r="S1713" i="33"/>
  <c r="R1713" i="33"/>
  <c r="Q1713" i="33"/>
  <c r="P1713" i="33"/>
  <c r="O1713" i="33"/>
  <c r="N1713" i="33"/>
  <c r="M1713" i="33"/>
  <c r="L1713" i="33"/>
  <c r="K1713" i="33"/>
  <c r="J1713" i="33"/>
  <c r="I1713" i="33"/>
  <c r="H1713" i="33"/>
  <c r="G1713" i="33"/>
  <c r="AD1711" i="33"/>
  <c r="T1710" i="33"/>
  <c r="S1710" i="33"/>
  <c r="R1710" i="33"/>
  <c r="Q1710" i="33"/>
  <c r="P1710" i="33"/>
  <c r="O1710" i="33"/>
  <c r="N1710" i="33"/>
  <c r="M1710" i="33"/>
  <c r="L1710" i="33"/>
  <c r="K1710" i="33"/>
  <c r="J1710" i="33"/>
  <c r="I1710" i="33"/>
  <c r="H1710" i="33"/>
  <c r="G1710" i="33"/>
  <c r="T1709" i="33"/>
  <c r="S1709" i="33"/>
  <c r="R1709" i="33"/>
  <c r="Q1709" i="33"/>
  <c r="P1709" i="33"/>
  <c r="O1709" i="33"/>
  <c r="N1709" i="33"/>
  <c r="M1709" i="33"/>
  <c r="L1709" i="33"/>
  <c r="K1709" i="33"/>
  <c r="J1709" i="33"/>
  <c r="I1709" i="33"/>
  <c r="H1709" i="33"/>
  <c r="G1709" i="33"/>
  <c r="T1708" i="33"/>
  <c r="S1708" i="33"/>
  <c r="R1708" i="33"/>
  <c r="Q1708" i="33"/>
  <c r="P1708" i="33"/>
  <c r="O1708" i="33"/>
  <c r="N1708" i="33"/>
  <c r="M1708" i="33"/>
  <c r="L1708" i="33"/>
  <c r="K1708" i="33"/>
  <c r="J1708" i="33"/>
  <c r="I1708" i="33"/>
  <c r="H1708" i="33"/>
  <c r="G1708" i="33"/>
  <c r="T1707" i="33"/>
  <c r="T1712" i="33" s="1"/>
  <c r="S1707" i="33"/>
  <c r="S1712" i="33" s="1"/>
  <c r="R1707" i="33"/>
  <c r="R1712" i="33" s="1"/>
  <c r="Q1707" i="33"/>
  <c r="Q1712" i="33" s="1"/>
  <c r="P1707" i="33"/>
  <c r="P1712" i="33" s="1"/>
  <c r="O1707" i="33"/>
  <c r="O1712" i="33" s="1"/>
  <c r="N1707" i="33"/>
  <c r="N1712" i="33" s="1"/>
  <c r="M1707" i="33"/>
  <c r="M1712" i="33" s="1"/>
  <c r="L1707" i="33"/>
  <c r="L1712" i="33" s="1"/>
  <c r="K1707" i="33"/>
  <c r="K1712" i="33" s="1"/>
  <c r="J1707" i="33"/>
  <c r="J1712" i="33" s="1"/>
  <c r="I1707" i="33"/>
  <c r="I1712" i="33" s="1"/>
  <c r="H1707" i="33"/>
  <c r="G1707" i="33"/>
  <c r="T1699" i="33"/>
  <c r="S1699" i="33"/>
  <c r="R1699" i="33"/>
  <c r="Q1699" i="33"/>
  <c r="P1699" i="33"/>
  <c r="O1699" i="33"/>
  <c r="N1699" i="33"/>
  <c r="M1699" i="33"/>
  <c r="L1699" i="33"/>
  <c r="K1699" i="33"/>
  <c r="J1699" i="33"/>
  <c r="I1699" i="33"/>
  <c r="H1699" i="33"/>
  <c r="G1699" i="33"/>
  <c r="P1696" i="33"/>
  <c r="P1697" i="33" s="1"/>
  <c r="P1698" i="33" s="1"/>
  <c r="O1696" i="33"/>
  <c r="O1697" i="33" s="1"/>
  <c r="O1698" i="33" s="1"/>
  <c r="N1696" i="33"/>
  <c r="N1697" i="33" s="1"/>
  <c r="N1698" i="33" s="1"/>
  <c r="M1696" i="33"/>
  <c r="M1697" i="33" s="1"/>
  <c r="M1698" i="33" s="1"/>
  <c r="L1696" i="33"/>
  <c r="L1697" i="33" s="1"/>
  <c r="L1698" i="33" s="1"/>
  <c r="K1696" i="33"/>
  <c r="K1697" i="33" s="1"/>
  <c r="K1698" i="33" s="1"/>
  <c r="J1696" i="33"/>
  <c r="J1697" i="33" s="1"/>
  <c r="J1698" i="33" s="1"/>
  <c r="I1696" i="33"/>
  <c r="I1697" i="33" s="1"/>
  <c r="I1698" i="33" s="1"/>
  <c r="H1697" i="33"/>
  <c r="H1698" i="33" s="1"/>
  <c r="AD1695" i="33"/>
  <c r="AD1694" i="33"/>
  <c r="T1692" i="33"/>
  <c r="T1696" i="33" s="1"/>
  <c r="T1697" i="33" s="1"/>
  <c r="T1698" i="33" s="1"/>
  <c r="S1692" i="33"/>
  <c r="S1696" i="33" s="1"/>
  <c r="S1697" i="33" s="1"/>
  <c r="S1698" i="33" s="1"/>
  <c r="R1692" i="33"/>
  <c r="R1696" i="33" s="1"/>
  <c r="R1697" i="33" s="1"/>
  <c r="R1698" i="33" s="1"/>
  <c r="Q1696" i="33"/>
  <c r="Q1697" i="33" s="1"/>
  <c r="Q1698" i="33" s="1"/>
  <c r="G1692" i="33"/>
  <c r="T1690" i="33"/>
  <c r="T1691" i="33" s="1"/>
  <c r="S1690" i="33"/>
  <c r="S1691" i="33" s="1"/>
  <c r="R1690" i="33"/>
  <c r="R1691" i="33" s="1"/>
  <c r="Q1690" i="33"/>
  <c r="Q1691" i="33" s="1"/>
  <c r="P1690" i="33"/>
  <c r="P1691" i="33" s="1"/>
  <c r="O1690" i="33"/>
  <c r="O1691" i="33" s="1"/>
  <c r="N1690" i="33"/>
  <c r="N1691" i="33" s="1"/>
  <c r="M1690" i="33"/>
  <c r="M1691" i="33" s="1"/>
  <c r="L1690" i="33"/>
  <c r="L1691" i="33" s="1"/>
  <c r="J1690" i="33"/>
  <c r="J1691" i="33" s="1"/>
  <c r="I1690" i="33"/>
  <c r="I1691" i="33" s="1"/>
  <c r="H1690" i="33"/>
  <c r="G1690" i="33"/>
  <c r="T1688" i="33"/>
  <c r="S1688" i="33"/>
  <c r="R1688" i="33"/>
  <c r="Q1688" i="33"/>
  <c r="P1688" i="33"/>
  <c r="O1688" i="33"/>
  <c r="N1688" i="33"/>
  <c r="M1688" i="33"/>
  <c r="L1688" i="33"/>
  <c r="K1688" i="33"/>
  <c r="J1688" i="33"/>
  <c r="I1688" i="33"/>
  <c r="H1688" i="33"/>
  <c r="G1688" i="33"/>
  <c r="AD1687" i="33"/>
  <c r="T1681" i="33"/>
  <c r="S1681" i="33"/>
  <c r="R1681" i="33"/>
  <c r="Q1681" i="33"/>
  <c r="P1681" i="33"/>
  <c r="O1681" i="33"/>
  <c r="N1681" i="33"/>
  <c r="M1681" i="33"/>
  <c r="L1681" i="33"/>
  <c r="J1681" i="33"/>
  <c r="I1681" i="33"/>
  <c r="H1681" i="33"/>
  <c r="G1681" i="33"/>
  <c r="AD1680" i="33"/>
  <c r="T1678" i="33"/>
  <c r="T1679" i="33" s="1"/>
  <c r="S1678" i="33"/>
  <c r="S1679" i="33" s="1"/>
  <c r="R1678" i="33"/>
  <c r="R1679" i="33" s="1"/>
  <c r="Q1678" i="33"/>
  <c r="Q1679" i="33" s="1"/>
  <c r="P1678" i="33"/>
  <c r="P1679" i="33" s="1"/>
  <c r="O1678" i="33"/>
  <c r="O1679" i="33" s="1"/>
  <c r="N1678" i="33"/>
  <c r="N1679" i="33" s="1"/>
  <c r="M1678" i="33"/>
  <c r="M1679" i="33" s="1"/>
  <c r="K1678" i="33"/>
  <c r="K1679" i="33" s="1"/>
  <c r="J1678" i="33"/>
  <c r="J1679" i="33" s="1"/>
  <c r="I1678" i="33"/>
  <c r="I1679" i="33" s="1"/>
  <c r="H1678" i="33"/>
  <c r="H1679" i="33" s="1"/>
  <c r="G1678" i="33"/>
  <c r="T1676" i="33"/>
  <c r="T1677" i="33" s="1"/>
  <c r="S1676" i="33"/>
  <c r="S1677" i="33" s="1"/>
  <c r="R1676" i="33"/>
  <c r="R1677" i="33" s="1"/>
  <c r="Q1676" i="33"/>
  <c r="Q1677" i="33" s="1"/>
  <c r="P1676" i="33"/>
  <c r="P1677" i="33" s="1"/>
  <c r="O1676" i="33"/>
  <c r="O1677" i="33" s="1"/>
  <c r="N1676" i="33"/>
  <c r="N1677" i="33" s="1"/>
  <c r="M1676" i="33"/>
  <c r="M1677" i="33" s="1"/>
  <c r="K1676" i="33"/>
  <c r="K1677" i="33" s="1"/>
  <c r="J1676" i="33"/>
  <c r="J1677" i="33" s="1"/>
  <c r="I1676" i="33"/>
  <c r="I1677" i="33" s="1"/>
  <c r="H1676" i="33"/>
  <c r="H1677" i="33" s="1"/>
  <c r="G1676" i="33"/>
  <c r="T1675" i="33"/>
  <c r="S1675" i="33"/>
  <c r="R1675" i="33"/>
  <c r="Q1675" i="33"/>
  <c r="P1675" i="33"/>
  <c r="O1675" i="33"/>
  <c r="N1675" i="33"/>
  <c r="M1675" i="33"/>
  <c r="L1675" i="33"/>
  <c r="K1675" i="33"/>
  <c r="J1675" i="33"/>
  <c r="I1675" i="33"/>
  <c r="H1675" i="33"/>
  <c r="G1675" i="33"/>
  <c r="T1674" i="33"/>
  <c r="S1674" i="33"/>
  <c r="R1674" i="33"/>
  <c r="Q1674" i="33"/>
  <c r="P1674" i="33"/>
  <c r="O1674" i="33"/>
  <c r="N1674" i="33"/>
  <c r="M1674" i="33"/>
  <c r="K1674" i="33"/>
  <c r="J1674" i="33"/>
  <c r="I1674" i="33"/>
  <c r="H1674" i="33"/>
  <c r="G1674" i="33"/>
  <c r="T1673" i="33"/>
  <c r="S1673" i="33"/>
  <c r="R1673" i="33"/>
  <c r="Q1673" i="33"/>
  <c r="P1673" i="33"/>
  <c r="O1673" i="33"/>
  <c r="N1673" i="33"/>
  <c r="M1673" i="33"/>
  <c r="K1673" i="33"/>
  <c r="J1673" i="33"/>
  <c r="I1673" i="33"/>
  <c r="H1673" i="33"/>
  <c r="G1673" i="33"/>
  <c r="T1672" i="33"/>
  <c r="S1672" i="33"/>
  <c r="R1672" i="33"/>
  <c r="Q1672" i="33"/>
  <c r="P1672" i="33"/>
  <c r="O1672" i="33"/>
  <c r="N1672" i="33"/>
  <c r="M1672" i="33"/>
  <c r="L1672" i="33"/>
  <c r="K1672" i="33"/>
  <c r="J1672" i="33"/>
  <c r="I1672" i="33"/>
  <c r="H1672" i="33"/>
  <c r="G1672" i="33"/>
  <c r="T1671" i="33"/>
  <c r="S1671" i="33"/>
  <c r="R1671" i="33"/>
  <c r="Q1671" i="33"/>
  <c r="P1671" i="33"/>
  <c r="O1671" i="33"/>
  <c r="N1671" i="33"/>
  <c r="M1671" i="33"/>
  <c r="K1671" i="33"/>
  <c r="J1671" i="33"/>
  <c r="I1671" i="33"/>
  <c r="H1671" i="33"/>
  <c r="G1671" i="33"/>
  <c r="T1670" i="33"/>
  <c r="S1670" i="33"/>
  <c r="R1670" i="33"/>
  <c r="Q1670" i="33"/>
  <c r="P1670" i="33"/>
  <c r="O1670" i="33"/>
  <c r="N1670" i="33"/>
  <c r="M1670" i="33"/>
  <c r="K1670" i="33"/>
  <c r="J1670" i="33"/>
  <c r="I1670" i="33"/>
  <c r="H1670" i="33"/>
  <c r="G1670" i="33"/>
  <c r="T1669" i="33"/>
  <c r="S1669" i="33"/>
  <c r="R1669" i="33"/>
  <c r="Q1669" i="33"/>
  <c r="P1669" i="33"/>
  <c r="O1669" i="33"/>
  <c r="N1669" i="33"/>
  <c r="M1669" i="33"/>
  <c r="K1669" i="33"/>
  <c r="J1669" i="33"/>
  <c r="I1669" i="33"/>
  <c r="H1669" i="33"/>
  <c r="G1669" i="33"/>
  <c r="D1667" i="33"/>
  <c r="AG1667" i="33" s="1"/>
  <c r="T1666" i="33"/>
  <c r="S1666" i="33"/>
  <c r="R1666" i="33"/>
  <c r="Q1666" i="33"/>
  <c r="P1666" i="33"/>
  <c r="O1666" i="33"/>
  <c r="N1666" i="33"/>
  <c r="M1666" i="33"/>
  <c r="L1666" i="33"/>
  <c r="K1666" i="33"/>
  <c r="J1666" i="33"/>
  <c r="I1666" i="33"/>
  <c r="H1666" i="33"/>
  <c r="G1666" i="33"/>
  <c r="T1665" i="33"/>
  <c r="S1665" i="33"/>
  <c r="R1665" i="33"/>
  <c r="Q1665" i="33"/>
  <c r="P1665" i="33"/>
  <c r="O1665" i="33"/>
  <c r="N1665" i="33"/>
  <c r="M1665" i="33"/>
  <c r="L1665" i="33"/>
  <c r="K1665" i="33"/>
  <c r="J1665" i="33"/>
  <c r="I1665" i="33"/>
  <c r="H1665" i="33"/>
  <c r="G1665" i="33"/>
  <c r="T1664" i="33"/>
  <c r="S1664" i="33"/>
  <c r="R1664" i="33"/>
  <c r="Q1664" i="33"/>
  <c r="P1664" i="33"/>
  <c r="O1664" i="33"/>
  <c r="N1664" i="33"/>
  <c r="M1664" i="33"/>
  <c r="L1664" i="33"/>
  <c r="K1664" i="33"/>
  <c r="J1664" i="33"/>
  <c r="I1664" i="33"/>
  <c r="H1664" i="33"/>
  <c r="G1664" i="33"/>
  <c r="T1663" i="33"/>
  <c r="S1663" i="33"/>
  <c r="R1663" i="33"/>
  <c r="Q1663" i="33"/>
  <c r="P1663" i="33"/>
  <c r="O1663" i="33"/>
  <c r="N1663" i="33"/>
  <c r="M1663" i="33"/>
  <c r="L1663" i="33"/>
  <c r="K1663" i="33"/>
  <c r="J1663" i="33"/>
  <c r="I1663" i="33"/>
  <c r="H1663" i="33"/>
  <c r="G1663" i="33"/>
  <c r="T1662" i="33"/>
  <c r="S1662" i="33"/>
  <c r="R1662" i="33"/>
  <c r="Q1662" i="33"/>
  <c r="P1662" i="33"/>
  <c r="O1662" i="33"/>
  <c r="N1662" i="33"/>
  <c r="M1662" i="33"/>
  <c r="L1662" i="33"/>
  <c r="K1662" i="33"/>
  <c r="J1662" i="33"/>
  <c r="I1662" i="33"/>
  <c r="H1662" i="33"/>
  <c r="G1662" i="33"/>
  <c r="T1661" i="33"/>
  <c r="S1661" i="33"/>
  <c r="R1661" i="33"/>
  <c r="Q1661" i="33"/>
  <c r="P1661" i="33"/>
  <c r="O1661" i="33"/>
  <c r="N1661" i="33"/>
  <c r="M1661" i="33"/>
  <c r="L1661" i="33"/>
  <c r="K1661" i="33"/>
  <c r="J1661" i="33"/>
  <c r="I1661" i="33"/>
  <c r="H1661" i="33"/>
  <c r="G1661" i="33"/>
  <c r="T1660" i="33"/>
  <c r="S1660" i="33"/>
  <c r="R1660" i="33"/>
  <c r="Q1660" i="33"/>
  <c r="P1660" i="33"/>
  <c r="O1660" i="33"/>
  <c r="N1660" i="33"/>
  <c r="M1660" i="33"/>
  <c r="L1660" i="33"/>
  <c r="K1660" i="33"/>
  <c r="J1660" i="33"/>
  <c r="I1660" i="33"/>
  <c r="H1660" i="33"/>
  <c r="G1660" i="33"/>
  <c r="T1659" i="33"/>
  <c r="S1659" i="33"/>
  <c r="R1659" i="33"/>
  <c r="Q1659" i="33"/>
  <c r="P1659" i="33"/>
  <c r="O1659" i="33"/>
  <c r="N1659" i="33"/>
  <c r="M1659" i="33"/>
  <c r="L1659" i="33"/>
  <c r="K1659" i="33"/>
  <c r="J1659" i="33"/>
  <c r="I1659" i="33"/>
  <c r="H1659" i="33"/>
  <c r="G1659" i="33"/>
  <c r="T1658" i="33"/>
  <c r="S1658" i="33"/>
  <c r="R1658" i="33"/>
  <c r="Q1658" i="33"/>
  <c r="P1658" i="33"/>
  <c r="O1658" i="33"/>
  <c r="N1658" i="33"/>
  <c r="M1658" i="33"/>
  <c r="L1658" i="33"/>
  <c r="K1658" i="33"/>
  <c r="J1658" i="33"/>
  <c r="I1658" i="33"/>
  <c r="H1658" i="33"/>
  <c r="G1658" i="33"/>
  <c r="AD1653" i="33"/>
  <c r="AE1653" i="33" s="1"/>
  <c r="AD1652" i="33"/>
  <c r="AD1651" i="33"/>
  <c r="AD1650" i="33"/>
  <c r="AD1649" i="33"/>
  <c r="AD1648" i="33"/>
  <c r="AD1647" i="33"/>
  <c r="AD1646" i="33"/>
  <c r="AD1645" i="33"/>
  <c r="AD1644" i="33"/>
  <c r="AD1643" i="33"/>
  <c r="AD1642" i="33"/>
  <c r="AD1639" i="33"/>
  <c r="AE1639" i="33" s="1"/>
  <c r="T1638" i="33"/>
  <c r="S1638" i="33"/>
  <c r="R1638" i="33"/>
  <c r="P1638" i="33"/>
  <c r="O1638" i="33"/>
  <c r="N1638" i="33"/>
  <c r="M1638" i="33"/>
  <c r="L1638" i="33"/>
  <c r="K1638" i="33"/>
  <c r="J1638" i="33"/>
  <c r="I1638" i="33"/>
  <c r="I384" i="33" s="1"/>
  <c r="H1638" i="33"/>
  <c r="H384" i="33" s="1"/>
  <c r="H385" i="33" s="1"/>
  <c r="G1638" i="33"/>
  <c r="AD1637" i="33"/>
  <c r="AD1636" i="33"/>
  <c r="AD1635" i="33"/>
  <c r="AD1634" i="33"/>
  <c r="AD1633" i="33"/>
  <c r="AD1632" i="33"/>
  <c r="AD1631" i="33"/>
  <c r="AD1629" i="33"/>
  <c r="AE1629" i="33" s="1"/>
  <c r="T1628" i="33"/>
  <c r="S1628" i="33"/>
  <c r="R1628" i="33"/>
  <c r="Q1628" i="33"/>
  <c r="P1628" i="33"/>
  <c r="O1628" i="33"/>
  <c r="N1628" i="33"/>
  <c r="M1628" i="33"/>
  <c r="L1628" i="33"/>
  <c r="K1628" i="33"/>
  <c r="J1628" i="33"/>
  <c r="I1628" i="33"/>
  <c r="H1628" i="33"/>
  <c r="G1628" i="33"/>
  <c r="T1627" i="33"/>
  <c r="S1627" i="33"/>
  <c r="R1627" i="33"/>
  <c r="Q1627" i="33"/>
  <c r="P1627" i="33"/>
  <c r="O1627" i="33"/>
  <c r="N1627" i="33"/>
  <c r="M1627" i="33"/>
  <c r="L1627" i="33"/>
  <c r="K1627" i="33"/>
  <c r="J1627" i="33"/>
  <c r="I1627" i="33"/>
  <c r="H1627" i="33"/>
  <c r="G1627" i="33"/>
  <c r="T1626" i="33"/>
  <c r="S1626" i="33"/>
  <c r="R1626" i="33"/>
  <c r="Q1626" i="33"/>
  <c r="P1626" i="33"/>
  <c r="O1626" i="33"/>
  <c r="N1626" i="33"/>
  <c r="M1626" i="33"/>
  <c r="L1626" i="33"/>
  <c r="K1626" i="33"/>
  <c r="J1626" i="33"/>
  <c r="I1626" i="33"/>
  <c r="H1626" i="33"/>
  <c r="G1626" i="33"/>
  <c r="AD1625" i="33"/>
  <c r="T1619" i="33"/>
  <c r="S1619" i="33"/>
  <c r="R1619" i="33"/>
  <c r="Q1619" i="33"/>
  <c r="P1619" i="33"/>
  <c r="O1619" i="33"/>
  <c r="N1619" i="33"/>
  <c r="M1619" i="33"/>
  <c r="L1619" i="33"/>
  <c r="K1619" i="33"/>
  <c r="J1619" i="33"/>
  <c r="I1619" i="33"/>
  <c r="H1619" i="33"/>
  <c r="G1619" i="33"/>
  <c r="T1618" i="33"/>
  <c r="S1618" i="33"/>
  <c r="R1618" i="33"/>
  <c r="Q1618" i="33"/>
  <c r="P1618" i="33"/>
  <c r="O1618" i="33"/>
  <c r="N1618" i="33"/>
  <c r="M1618" i="33"/>
  <c r="L1618" i="33"/>
  <c r="K1618" i="33"/>
  <c r="J1618" i="33"/>
  <c r="I1618" i="33"/>
  <c r="H1618" i="33"/>
  <c r="G1618" i="33"/>
  <c r="N1617" i="33"/>
  <c r="M1617" i="33"/>
  <c r="T1616" i="33"/>
  <c r="S1616" i="33"/>
  <c r="R1616" i="33"/>
  <c r="Q1616" i="33"/>
  <c r="O1616" i="33"/>
  <c r="N1616" i="33"/>
  <c r="M1616" i="33"/>
  <c r="L1616" i="33"/>
  <c r="K1616" i="33"/>
  <c r="J1616" i="33"/>
  <c r="I1616" i="33"/>
  <c r="H1616" i="33"/>
  <c r="G1616" i="33"/>
  <c r="AD1615" i="33"/>
  <c r="AD1614" i="33"/>
  <c r="AD1613" i="33"/>
  <c r="AD1612" i="33"/>
  <c r="AD1611" i="33"/>
  <c r="AD1610" i="33"/>
  <c r="AD1609" i="33"/>
  <c r="AD1606" i="33"/>
  <c r="AD1605" i="33"/>
  <c r="AD1604" i="33"/>
  <c r="AD1603" i="33"/>
  <c r="T1602" i="33"/>
  <c r="S1602" i="33"/>
  <c r="R1602" i="33"/>
  <c r="Q1602" i="33"/>
  <c r="P1602" i="33"/>
  <c r="O1602" i="33"/>
  <c r="N1602" i="33"/>
  <c r="M1602" i="33"/>
  <c r="L1602" i="33"/>
  <c r="K1602" i="33"/>
  <c r="J1602" i="33"/>
  <c r="I1602" i="33"/>
  <c r="H1602" i="33"/>
  <c r="G1602" i="33"/>
  <c r="T1601" i="33"/>
  <c r="S1601" i="33"/>
  <c r="R1601" i="33"/>
  <c r="Q1601" i="33"/>
  <c r="P1601" i="33"/>
  <c r="O1601" i="33"/>
  <c r="N1601" i="33"/>
  <c r="M1601" i="33"/>
  <c r="L1601" i="33"/>
  <c r="K1601" i="33"/>
  <c r="J1601" i="33"/>
  <c r="I1601" i="33"/>
  <c r="H1601" i="33"/>
  <c r="G1601" i="33"/>
  <c r="T1600" i="33"/>
  <c r="S1600" i="33"/>
  <c r="R1600" i="33"/>
  <c r="Q1600" i="33"/>
  <c r="P1600" i="33"/>
  <c r="O1600" i="33"/>
  <c r="N1600" i="33"/>
  <c r="M1600" i="33"/>
  <c r="L1600" i="33"/>
  <c r="K1600" i="33"/>
  <c r="J1600" i="33"/>
  <c r="I1600" i="33"/>
  <c r="H1600" i="33"/>
  <c r="G1600" i="33"/>
  <c r="T1599" i="33"/>
  <c r="S1599" i="33"/>
  <c r="R1599" i="33"/>
  <c r="Q1599" i="33"/>
  <c r="P1599" i="33"/>
  <c r="O1599" i="33"/>
  <c r="N1599" i="33"/>
  <c r="M1599" i="33"/>
  <c r="L1599" i="33"/>
  <c r="K1599" i="33"/>
  <c r="J1599" i="33"/>
  <c r="I1599" i="33"/>
  <c r="H1599" i="33"/>
  <c r="G1599" i="33"/>
  <c r="T1598" i="33"/>
  <c r="S1598" i="33"/>
  <c r="R1598" i="33"/>
  <c r="Q1598" i="33"/>
  <c r="P1598" i="33"/>
  <c r="O1598" i="33"/>
  <c r="N1598" i="33"/>
  <c r="M1598" i="33"/>
  <c r="L1598" i="33"/>
  <c r="K1598" i="33"/>
  <c r="J1598" i="33"/>
  <c r="I1598" i="33"/>
  <c r="H1598" i="33"/>
  <c r="G1598" i="33"/>
  <c r="P1597" i="33"/>
  <c r="O1597" i="33"/>
  <c r="M1597" i="33"/>
  <c r="P1596" i="33"/>
  <c r="P1595" i="33"/>
  <c r="N1595" i="33"/>
  <c r="M1595" i="33"/>
  <c r="AD1594" i="33"/>
  <c r="AD1593" i="33"/>
  <c r="T1591" i="33"/>
  <c r="S1591" i="33"/>
  <c r="S1617" i="33" s="1"/>
  <c r="R1591" i="33"/>
  <c r="R1617" i="33" s="1"/>
  <c r="Q1591" i="33"/>
  <c r="Q1617" i="33" s="1"/>
  <c r="O1591" i="33"/>
  <c r="O1617" i="33" s="1"/>
  <c r="L1591" i="33"/>
  <c r="L1617" i="33" s="1"/>
  <c r="K1591" i="33"/>
  <c r="K1617" i="33" s="1"/>
  <c r="J1591" i="33"/>
  <c r="J1617" i="33" s="1"/>
  <c r="I1591" i="33"/>
  <c r="I1617" i="33" s="1"/>
  <c r="H1591" i="33"/>
  <c r="H1617" i="33" s="1"/>
  <c r="G1591" i="33"/>
  <c r="P1590" i="33"/>
  <c r="AD1588" i="33"/>
  <c r="AE1588" i="33" s="1"/>
  <c r="AD1587" i="33"/>
  <c r="T1586" i="33"/>
  <c r="S1586" i="33"/>
  <c r="R1586" i="33"/>
  <c r="Q1586" i="33"/>
  <c r="P1586" i="33"/>
  <c r="O1586" i="33"/>
  <c r="N1586" i="33"/>
  <c r="M1586" i="33"/>
  <c r="L1586" i="33"/>
  <c r="K1586" i="33"/>
  <c r="J1586" i="33"/>
  <c r="I1586" i="33"/>
  <c r="H1586" i="33"/>
  <c r="G1586" i="33"/>
  <c r="T1585" i="33"/>
  <c r="S1585" i="33"/>
  <c r="R1585" i="33"/>
  <c r="Q1585" i="33"/>
  <c r="P1585" i="33"/>
  <c r="O1585" i="33"/>
  <c r="N1585" i="33"/>
  <c r="M1585" i="33"/>
  <c r="L1585" i="33"/>
  <c r="K1585" i="33"/>
  <c r="J1585" i="33"/>
  <c r="I1585" i="33"/>
  <c r="H1585" i="33"/>
  <c r="G1585" i="33"/>
  <c r="T1584" i="33"/>
  <c r="S1584" i="33"/>
  <c r="R1584" i="33"/>
  <c r="Q1584" i="33"/>
  <c r="P1584" i="33"/>
  <c r="O1584" i="33"/>
  <c r="N1584" i="33"/>
  <c r="M1584" i="33"/>
  <c r="L1584" i="33"/>
  <c r="K1584" i="33"/>
  <c r="J1584" i="33"/>
  <c r="I1584" i="33"/>
  <c r="H1584" i="33"/>
  <c r="G1584" i="33"/>
  <c r="AD1583" i="33"/>
  <c r="AD1580" i="33"/>
  <c r="AD1578" i="33"/>
  <c r="AD1577" i="33"/>
  <c r="AD1576" i="33"/>
  <c r="AD1575" i="33"/>
  <c r="AD1574" i="33"/>
  <c r="AD1573" i="33"/>
  <c r="AD1572" i="33"/>
  <c r="AD1571" i="33"/>
  <c r="AD1569" i="33"/>
  <c r="AD1568" i="33"/>
  <c r="AD1567" i="33"/>
  <c r="AD1566" i="33"/>
  <c r="AD1565" i="33"/>
  <c r="T1563" i="33"/>
  <c r="S1563" i="33"/>
  <c r="R1563" i="33"/>
  <c r="Q1563" i="33"/>
  <c r="P1563" i="33"/>
  <c r="O1563" i="33"/>
  <c r="N1563" i="33"/>
  <c r="M1563" i="33"/>
  <c r="L1563" i="33"/>
  <c r="K1563" i="33"/>
  <c r="J1563" i="33"/>
  <c r="I1563" i="33"/>
  <c r="H1563" i="33"/>
  <c r="G1563" i="33"/>
  <c r="T1562" i="33"/>
  <c r="S1562" i="33"/>
  <c r="R1562" i="33"/>
  <c r="Q1562" i="33"/>
  <c r="P1562" i="33"/>
  <c r="O1562" i="33"/>
  <c r="N1562" i="33"/>
  <c r="M1562" i="33"/>
  <c r="L1562" i="33"/>
  <c r="K1562" i="33"/>
  <c r="J1562" i="33"/>
  <c r="I1562" i="33"/>
  <c r="H1562" i="33"/>
  <c r="G1562" i="33"/>
  <c r="T1561" i="33"/>
  <c r="S1561" i="33"/>
  <c r="R1561" i="33"/>
  <c r="Q1561" i="33"/>
  <c r="P1561" i="33"/>
  <c r="O1561" i="33"/>
  <c r="N1561" i="33"/>
  <c r="M1561" i="33"/>
  <c r="L1561" i="33"/>
  <c r="K1561" i="33"/>
  <c r="J1561" i="33"/>
  <c r="I1561" i="33"/>
  <c r="H1561" i="33"/>
  <c r="G1561" i="33"/>
  <c r="AD1559" i="33"/>
  <c r="T1558" i="33"/>
  <c r="S1558" i="33"/>
  <c r="S986" i="33" s="1"/>
  <c r="R1558" i="33"/>
  <c r="Q1558" i="33"/>
  <c r="P1558" i="33"/>
  <c r="P986" i="33" s="1"/>
  <c r="O1558" i="33"/>
  <c r="N1558" i="33"/>
  <c r="M1558" i="33"/>
  <c r="M986" i="33" s="1"/>
  <c r="L1558" i="33"/>
  <c r="K1558" i="33"/>
  <c r="J1558" i="33"/>
  <c r="J986" i="33" s="1"/>
  <c r="I1558" i="33"/>
  <c r="H1558" i="33"/>
  <c r="G1558" i="33"/>
  <c r="G986" i="33" s="1"/>
  <c r="T1557" i="33"/>
  <c r="S1557" i="33"/>
  <c r="R1557" i="33"/>
  <c r="Q1557" i="33"/>
  <c r="P1557" i="33"/>
  <c r="O1557" i="33"/>
  <c r="N1557" i="33"/>
  <c r="M1557" i="33"/>
  <c r="L1557" i="33"/>
  <c r="K1557" i="33"/>
  <c r="J1557" i="33"/>
  <c r="I1557" i="33"/>
  <c r="H1557" i="33"/>
  <c r="G1557" i="33"/>
  <c r="S1555" i="33"/>
  <c r="S1554" i="33"/>
  <c r="N1554" i="33"/>
  <c r="M1554" i="33"/>
  <c r="AG1553" i="33"/>
  <c r="AD1551" i="33"/>
  <c r="AE1551" i="33" s="1"/>
  <c r="AD1548" i="33"/>
  <c r="AD1545" i="33"/>
  <c r="AD1544" i="33"/>
  <c r="AD1543" i="33"/>
  <c r="AD1542" i="33"/>
  <c r="AD1541" i="33"/>
  <c r="AD1540" i="33"/>
  <c r="AD1537" i="33"/>
  <c r="AD1536" i="33"/>
  <c r="AD1535" i="33"/>
  <c r="AD1534" i="33"/>
  <c r="AD1533" i="33"/>
  <c r="AD1532" i="33"/>
  <c r="AD1531" i="33"/>
  <c r="O1530" i="33"/>
  <c r="D1530" i="33" s="1"/>
  <c r="T1529" i="33"/>
  <c r="S1529" i="33"/>
  <c r="R1529" i="33"/>
  <c r="Q1529" i="33"/>
  <c r="P1529" i="33"/>
  <c r="O1529" i="33"/>
  <c r="N1529" i="33"/>
  <c r="M1529" i="33"/>
  <c r="L1529" i="33"/>
  <c r="K1529" i="33"/>
  <c r="J1529" i="33"/>
  <c r="I1529" i="33"/>
  <c r="G1529" i="33"/>
  <c r="T1528" i="33"/>
  <c r="S1528" i="33"/>
  <c r="R1528" i="33"/>
  <c r="Q1528" i="33"/>
  <c r="P1528" i="33"/>
  <c r="O1528" i="33"/>
  <c r="N1528" i="33"/>
  <c r="M1528" i="33"/>
  <c r="L1528" i="33"/>
  <c r="K1528" i="33"/>
  <c r="J1528" i="33"/>
  <c r="I1528" i="33"/>
  <c r="H1528" i="33"/>
  <c r="G1528" i="33"/>
  <c r="T1527" i="33"/>
  <c r="S1527" i="33"/>
  <c r="R1527" i="33"/>
  <c r="Q1527" i="33"/>
  <c r="P1527" i="33"/>
  <c r="N1527" i="33"/>
  <c r="M1527" i="33"/>
  <c r="L1527" i="33"/>
  <c r="J1527" i="33"/>
  <c r="I1527" i="33"/>
  <c r="H1527" i="33"/>
  <c r="G1527" i="33"/>
  <c r="AD1525" i="33"/>
  <c r="AD1522" i="33"/>
  <c r="AE1522" i="33" s="1"/>
  <c r="T1521" i="33"/>
  <c r="S1521" i="33"/>
  <c r="R1521" i="33"/>
  <c r="Q1521" i="33"/>
  <c r="K1521" i="33"/>
  <c r="J1521" i="33"/>
  <c r="H1521" i="33"/>
  <c r="G1521" i="33"/>
  <c r="T1520" i="33"/>
  <c r="S1520" i="33"/>
  <c r="R1520" i="33"/>
  <c r="Q1520" i="33"/>
  <c r="K1520" i="33"/>
  <c r="J1520" i="33"/>
  <c r="H1520" i="33"/>
  <c r="G1520" i="33"/>
  <c r="T1519" i="33"/>
  <c r="S1519" i="33"/>
  <c r="R1519" i="33"/>
  <c r="Q1519" i="33"/>
  <c r="K1519" i="33"/>
  <c r="J1519" i="33"/>
  <c r="H1519" i="33"/>
  <c r="G1519" i="33"/>
  <c r="P1518" i="33"/>
  <c r="P1521" i="33" s="1"/>
  <c r="O1518" i="33"/>
  <c r="O1519" i="33" s="1"/>
  <c r="N1518" i="33"/>
  <c r="N1520" i="33" s="1"/>
  <c r="M1518" i="33"/>
  <c r="M1521" i="33" s="1"/>
  <c r="L1519" i="33"/>
  <c r="T1517" i="33"/>
  <c r="R1517" i="33"/>
  <c r="Q1517" i="33"/>
  <c r="N1517" i="33"/>
  <c r="I1517" i="33"/>
  <c r="H1517" i="33"/>
  <c r="G1517" i="33"/>
  <c r="T1516" i="33"/>
  <c r="R1516" i="33"/>
  <c r="Q1516" i="33"/>
  <c r="N1516" i="33"/>
  <c r="I1516" i="33"/>
  <c r="H1516" i="33"/>
  <c r="G1516" i="33"/>
  <c r="P1515" i="33"/>
  <c r="P1516" i="33" s="1"/>
  <c r="O1515" i="33"/>
  <c r="O1517" i="33" s="1"/>
  <c r="M1515" i="33"/>
  <c r="M1516" i="33" s="1"/>
  <c r="L1515" i="33"/>
  <c r="L1517" i="33" s="1"/>
  <c r="K1515" i="33"/>
  <c r="K1516" i="33" s="1"/>
  <c r="J1515" i="33"/>
  <c r="J1516" i="33" s="1"/>
  <c r="T1511" i="33"/>
  <c r="S1511" i="33"/>
  <c r="R1511" i="33"/>
  <c r="Q1511" i="33"/>
  <c r="P1511" i="33"/>
  <c r="O1511" i="33"/>
  <c r="N1511" i="33"/>
  <c r="M1511" i="33"/>
  <c r="L1511" i="33"/>
  <c r="K1511" i="33"/>
  <c r="J1511" i="33"/>
  <c r="I1511" i="33"/>
  <c r="T1510" i="33"/>
  <c r="S1510" i="33"/>
  <c r="R1510" i="33"/>
  <c r="Q1510" i="33"/>
  <c r="P1510" i="33"/>
  <c r="O1510" i="33"/>
  <c r="N1510" i="33"/>
  <c r="M1510" i="33"/>
  <c r="L1510" i="33"/>
  <c r="K1510" i="33"/>
  <c r="J1510" i="33"/>
  <c r="I1510" i="33"/>
  <c r="AD1509" i="33"/>
  <c r="T1508" i="33"/>
  <c r="S1508" i="33"/>
  <c r="R1508" i="33"/>
  <c r="Q1508" i="33"/>
  <c r="P1508" i="33"/>
  <c r="O1508" i="33"/>
  <c r="N1508" i="33"/>
  <c r="M1508" i="33"/>
  <c r="L1508" i="33"/>
  <c r="K1508" i="33"/>
  <c r="J1508" i="33"/>
  <c r="I1508" i="33"/>
  <c r="AG1507" i="33"/>
  <c r="AD1506" i="33"/>
  <c r="AD1505" i="33"/>
  <c r="AD1500" i="33"/>
  <c r="AD1499" i="33"/>
  <c r="AD1498" i="33"/>
  <c r="AD1497" i="33"/>
  <c r="AD1495" i="33"/>
  <c r="AD1494" i="33"/>
  <c r="AD1493" i="33"/>
  <c r="AD1491" i="33"/>
  <c r="AD1490" i="33"/>
  <c r="AD1489" i="33"/>
  <c r="AD1488" i="33"/>
  <c r="AD1487" i="33"/>
  <c r="AD1486" i="33"/>
  <c r="AD1485" i="33"/>
  <c r="AD1484" i="33"/>
  <c r="AD1483" i="33"/>
  <c r="AD1480" i="33"/>
  <c r="AD1479" i="33"/>
  <c r="AD1478" i="33"/>
  <c r="AD1477" i="33"/>
  <c r="AD1476" i="33"/>
  <c r="AD1475" i="33"/>
  <c r="AD1474" i="33"/>
  <c r="AD1473" i="33"/>
  <c r="AD1472" i="33"/>
  <c r="AD1471" i="33"/>
  <c r="AD1470" i="33"/>
  <c r="AD1469" i="33"/>
  <c r="AD1468" i="33"/>
  <c r="AD1467" i="33"/>
  <c r="K1449" i="33"/>
  <c r="J1449" i="33"/>
  <c r="AD1465" i="33"/>
  <c r="D1464" i="33"/>
  <c r="AD1463" i="33"/>
  <c r="AD1462" i="33"/>
  <c r="AD1461" i="33"/>
  <c r="AD1460" i="33"/>
  <c r="AD1458" i="33"/>
  <c r="AD1457" i="33"/>
  <c r="AD1456" i="33"/>
  <c r="AD1455" i="33"/>
  <c r="AD1454" i="33"/>
  <c r="AD1453" i="33"/>
  <c r="AD1452" i="33"/>
  <c r="D1451" i="33"/>
  <c r="T1450" i="33"/>
  <c r="S1450" i="33"/>
  <c r="R1450" i="33"/>
  <c r="Q1450" i="33"/>
  <c r="P1450" i="33"/>
  <c r="O1450" i="33"/>
  <c r="N1450" i="33"/>
  <c r="M1450" i="33"/>
  <c r="L1450" i="33"/>
  <c r="K1450" i="33"/>
  <c r="J1450" i="33"/>
  <c r="I1450" i="33"/>
  <c r="H1450" i="33"/>
  <c r="G1450" i="33"/>
  <c r="T1449" i="33"/>
  <c r="S1449" i="33"/>
  <c r="R1449" i="33"/>
  <c r="Q1449" i="33"/>
  <c r="P1449" i="33"/>
  <c r="O1449" i="33"/>
  <c r="N1449" i="33"/>
  <c r="M1449" i="33"/>
  <c r="L1449" i="33"/>
  <c r="I1449" i="33"/>
  <c r="H1449" i="33"/>
  <c r="G1449" i="33"/>
  <c r="T1448" i="33"/>
  <c r="S1448" i="33"/>
  <c r="R1448" i="33"/>
  <c r="Q1448" i="33"/>
  <c r="P1448" i="33"/>
  <c r="O1448" i="33"/>
  <c r="N1448" i="33"/>
  <c r="M1448" i="33"/>
  <c r="L1448" i="33"/>
  <c r="K1448" i="33"/>
  <c r="J1448" i="33"/>
  <c r="I1448" i="33"/>
  <c r="H1448" i="33"/>
  <c r="G1448" i="33"/>
  <c r="T1447" i="33"/>
  <c r="S1447" i="33"/>
  <c r="R1447" i="33"/>
  <c r="Q1447" i="33"/>
  <c r="P1447" i="33"/>
  <c r="O1447" i="33"/>
  <c r="N1447" i="33"/>
  <c r="M1447" i="33"/>
  <c r="L1447" i="33"/>
  <c r="K1447" i="33"/>
  <c r="J1447" i="33"/>
  <c r="I1447" i="33"/>
  <c r="G1447" i="33"/>
  <c r="AD1446" i="33"/>
  <c r="AD1445" i="33"/>
  <c r="AD1444" i="33"/>
  <c r="AD1443" i="33"/>
  <c r="T1442" i="33"/>
  <c r="S1442" i="33"/>
  <c r="R1442" i="33"/>
  <c r="Q1442" i="33"/>
  <c r="P1442" i="33"/>
  <c r="O1442" i="33"/>
  <c r="N1442" i="33"/>
  <c r="M1442" i="33"/>
  <c r="L1442" i="33"/>
  <c r="K1442" i="33"/>
  <c r="J1442" i="33"/>
  <c r="I1442" i="33"/>
  <c r="H1442" i="33"/>
  <c r="G1442" i="33"/>
  <c r="T1441" i="33"/>
  <c r="S1441" i="33"/>
  <c r="R1441" i="33"/>
  <c r="Q1441" i="33"/>
  <c r="P1441" i="33"/>
  <c r="O1441" i="33"/>
  <c r="N1441" i="33"/>
  <c r="M1441" i="33"/>
  <c r="L1441" i="33"/>
  <c r="K1441" i="33"/>
  <c r="J1441" i="33"/>
  <c r="I1441" i="33"/>
  <c r="H1441" i="33"/>
  <c r="G1441" i="33"/>
  <c r="T1440" i="33"/>
  <c r="S1440" i="33"/>
  <c r="R1440" i="33"/>
  <c r="Q1440" i="33"/>
  <c r="P1440" i="33"/>
  <c r="O1440" i="33"/>
  <c r="N1440" i="33"/>
  <c r="M1440" i="33"/>
  <c r="L1440" i="33"/>
  <c r="K1440" i="33"/>
  <c r="J1440" i="33"/>
  <c r="I1440" i="33"/>
  <c r="H1440" i="33"/>
  <c r="G1440" i="33"/>
  <c r="T1439" i="33"/>
  <c r="S1439" i="33"/>
  <c r="R1439" i="33"/>
  <c r="Q1439" i="33"/>
  <c r="P1439" i="33"/>
  <c r="O1439" i="33"/>
  <c r="N1439" i="33"/>
  <c r="M1439" i="33"/>
  <c r="L1439" i="33"/>
  <c r="K1439" i="33"/>
  <c r="J1439" i="33"/>
  <c r="I1439" i="33"/>
  <c r="H1439" i="33"/>
  <c r="G1439" i="33"/>
  <c r="T1438" i="33"/>
  <c r="D1438" i="33" s="1"/>
  <c r="T1436" i="33"/>
  <c r="P1436" i="33"/>
  <c r="I1436" i="33"/>
  <c r="AD1435" i="33"/>
  <c r="T1433" i="33"/>
  <c r="S1433" i="33"/>
  <c r="R1433" i="33"/>
  <c r="Q1433" i="33"/>
  <c r="P1433" i="33"/>
  <c r="O1433" i="33"/>
  <c r="N1433" i="33"/>
  <c r="M1433" i="33"/>
  <c r="L1433" i="33"/>
  <c r="K1433" i="33"/>
  <c r="J1433" i="33"/>
  <c r="I1433" i="33"/>
  <c r="H1433" i="33"/>
  <c r="G1433" i="33"/>
  <c r="AD1432" i="33"/>
  <c r="AD1431" i="33"/>
  <c r="AD1430" i="33"/>
  <c r="Q1429" i="33"/>
  <c r="Q1426" i="33" s="1"/>
  <c r="AD1428" i="33"/>
  <c r="T1427" i="33"/>
  <c r="S1427" i="33"/>
  <c r="R1427" i="33"/>
  <c r="Q1427" i="33"/>
  <c r="P1427" i="33"/>
  <c r="O1427" i="33"/>
  <c r="N1427" i="33"/>
  <c r="M1427" i="33"/>
  <c r="L1427" i="33"/>
  <c r="K1427" i="33"/>
  <c r="J1427" i="33"/>
  <c r="I1427" i="33"/>
  <c r="H1427" i="33"/>
  <c r="G1427" i="33"/>
  <c r="T1426" i="33"/>
  <c r="S1426" i="33"/>
  <c r="R1426" i="33"/>
  <c r="P1426" i="33"/>
  <c r="O1426" i="33"/>
  <c r="N1426" i="33"/>
  <c r="M1426" i="33"/>
  <c r="L1426" i="33"/>
  <c r="K1426" i="33"/>
  <c r="J1426" i="33"/>
  <c r="I1426" i="33"/>
  <c r="H1426" i="33"/>
  <c r="G1426" i="33"/>
  <c r="AD1425" i="33"/>
  <c r="AD1422" i="33"/>
  <c r="AE1422" i="33" s="1"/>
  <c r="AD1421" i="33"/>
  <c r="AD1419" i="33"/>
  <c r="AD1414" i="33"/>
  <c r="AD1413" i="33"/>
  <c r="AD1412" i="33"/>
  <c r="AD1411" i="33"/>
  <c r="AD1410" i="33"/>
  <c r="AD1409" i="33"/>
  <c r="AD1408" i="33"/>
  <c r="AD1406" i="33"/>
  <c r="T1404" i="33"/>
  <c r="T1405" i="33" s="1"/>
  <c r="S1404" i="33"/>
  <c r="S1405" i="33" s="1"/>
  <c r="R1404" i="33"/>
  <c r="R1405" i="33" s="1"/>
  <c r="Q1404" i="33"/>
  <c r="Q1405" i="33" s="1"/>
  <c r="P1404" i="33"/>
  <c r="P1405" i="33" s="1"/>
  <c r="O1404" i="33"/>
  <c r="O1405" i="33" s="1"/>
  <c r="N1404" i="33"/>
  <c r="N1405" i="33" s="1"/>
  <c r="M1404" i="33"/>
  <c r="M1405" i="33" s="1"/>
  <c r="L1404" i="33"/>
  <c r="L1405" i="33" s="1"/>
  <c r="K1404" i="33"/>
  <c r="K1405" i="33" s="1"/>
  <c r="J1404" i="33"/>
  <c r="J1405" i="33" s="1"/>
  <c r="I1404" i="33"/>
  <c r="I1405" i="33" s="1"/>
  <c r="H1404" i="33"/>
  <c r="AD1401" i="33"/>
  <c r="AD1400" i="33"/>
  <c r="AD1399" i="33"/>
  <c r="AD1398" i="33"/>
  <c r="AD1397" i="33"/>
  <c r="AD1396" i="33"/>
  <c r="AD1395" i="33"/>
  <c r="AD1389" i="33"/>
  <c r="AE1389" i="33" s="1"/>
  <c r="AD1387" i="33"/>
  <c r="AD1385" i="33"/>
  <c r="AD1384" i="33"/>
  <c r="AD1376" i="33"/>
  <c r="AD1369" i="33"/>
  <c r="AD1368" i="33"/>
  <c r="AD1366" i="33"/>
  <c r="AD1365" i="33"/>
  <c r="AD1364" i="33"/>
  <c r="AD1360" i="33"/>
  <c r="AD1357" i="33"/>
  <c r="AD1356" i="33"/>
  <c r="AD1355" i="33"/>
  <c r="AD1354" i="33"/>
  <c r="AD1353" i="33"/>
  <c r="AD1352" i="33"/>
  <c r="AD1349" i="33"/>
  <c r="AE1349" i="33" s="1"/>
  <c r="AD1347" i="33"/>
  <c r="AD1346" i="33"/>
  <c r="AD1345" i="33"/>
  <c r="AD1344" i="33"/>
  <c r="AD1343" i="33"/>
  <c r="AD1342" i="33"/>
  <c r="AD1341" i="33"/>
  <c r="AD1340" i="33"/>
  <c r="AD1338" i="33"/>
  <c r="AD1337" i="33"/>
  <c r="AD1336" i="33"/>
  <c r="AD1335" i="33"/>
  <c r="S1334" i="33"/>
  <c r="R1334" i="33"/>
  <c r="Q1334" i="33"/>
  <c r="P1334" i="33"/>
  <c r="O1334" i="33"/>
  <c r="N1334" i="33"/>
  <c r="M1334" i="33"/>
  <c r="L1334" i="33"/>
  <c r="K1334" i="33"/>
  <c r="J1334" i="33"/>
  <c r="I1334" i="33"/>
  <c r="H1334" i="33"/>
  <c r="G1334" i="33"/>
  <c r="AD1333" i="33"/>
  <c r="AD1332" i="33"/>
  <c r="AD1331" i="33"/>
  <c r="AD1330" i="33"/>
  <c r="AD1329" i="33"/>
  <c r="AD1328" i="33"/>
  <c r="AD1327" i="33"/>
  <c r="AD1326" i="33"/>
  <c r="AD1325" i="33"/>
  <c r="AD1324" i="33"/>
  <c r="AD1323" i="33"/>
  <c r="AD1321" i="33"/>
  <c r="AE1321" i="33" s="1"/>
  <c r="T1319" i="33"/>
  <c r="S1319" i="33"/>
  <c r="R1319" i="33"/>
  <c r="Q1319" i="33"/>
  <c r="P1319" i="33"/>
  <c r="O1319" i="33"/>
  <c r="N1319" i="33"/>
  <c r="M1319" i="33"/>
  <c r="L1319" i="33"/>
  <c r="K1319" i="33"/>
  <c r="J1319" i="33"/>
  <c r="I1319" i="33"/>
  <c r="H1319" i="33"/>
  <c r="G1319" i="33"/>
  <c r="T1318" i="33"/>
  <c r="S1318" i="33"/>
  <c r="R1318" i="33"/>
  <c r="Q1318" i="33"/>
  <c r="P1318" i="33"/>
  <c r="O1318" i="33"/>
  <c r="N1318" i="33"/>
  <c r="M1318" i="33"/>
  <c r="L1318" i="33"/>
  <c r="K1318" i="33"/>
  <c r="J1318" i="33"/>
  <c r="I1318" i="33"/>
  <c r="H1318" i="33"/>
  <c r="G1318" i="33"/>
  <c r="T1317" i="33"/>
  <c r="S1317" i="33"/>
  <c r="R1317" i="33"/>
  <c r="Q1317" i="33"/>
  <c r="P1317" i="33"/>
  <c r="O1317" i="33"/>
  <c r="N1317" i="33"/>
  <c r="M1317" i="33"/>
  <c r="L1317" i="33"/>
  <c r="K1317" i="33"/>
  <c r="J1317" i="33"/>
  <c r="I1317" i="33"/>
  <c r="H1317" i="33"/>
  <c r="G1317" i="33"/>
  <c r="T1316" i="33"/>
  <c r="S1316" i="33"/>
  <c r="R1316" i="33"/>
  <c r="Q1316" i="33"/>
  <c r="P1316" i="33"/>
  <c r="O1316" i="33"/>
  <c r="N1316" i="33"/>
  <c r="M1316" i="33"/>
  <c r="L1316" i="33"/>
  <c r="K1316" i="33"/>
  <c r="J1316" i="33"/>
  <c r="I1316" i="33"/>
  <c r="H1316" i="33"/>
  <c r="G1316" i="33"/>
  <c r="T1315" i="33"/>
  <c r="S1315" i="33"/>
  <c r="R1315" i="33"/>
  <c r="Q1315" i="33"/>
  <c r="P1315" i="33"/>
  <c r="O1315" i="33"/>
  <c r="N1315" i="33"/>
  <c r="M1315" i="33"/>
  <c r="L1315" i="33"/>
  <c r="K1315" i="33"/>
  <c r="J1315" i="33"/>
  <c r="I1315" i="33"/>
  <c r="H1315" i="33"/>
  <c r="G1315" i="33"/>
  <c r="AD1314" i="33"/>
  <c r="AD1313" i="33"/>
  <c r="AD1312" i="33"/>
  <c r="AD1311" i="33"/>
  <c r="AD1310" i="33"/>
  <c r="AD1309" i="33"/>
  <c r="AD1308" i="33"/>
  <c r="AD1307" i="33"/>
  <c r="AD1306" i="33"/>
  <c r="AD1305" i="33"/>
  <c r="AD1304" i="33"/>
  <c r="AD1303" i="33"/>
  <c r="AD1302" i="33"/>
  <c r="AD1301" i="33"/>
  <c r="AD1300" i="33"/>
  <c r="AD1299" i="33"/>
  <c r="AD1298" i="33"/>
  <c r="AD1297" i="33"/>
  <c r="AD1296" i="33"/>
  <c r="AD1295" i="33"/>
  <c r="AD1294" i="33"/>
  <c r="AD1293" i="33"/>
  <c r="AD1292" i="33"/>
  <c r="AD1291" i="33"/>
  <c r="AD1290" i="33"/>
  <c r="AD1288" i="33"/>
  <c r="AD1287" i="33"/>
  <c r="AD1286" i="33"/>
  <c r="AD1285" i="33"/>
  <c r="R1284" i="33"/>
  <c r="AD1283" i="33"/>
  <c r="AD1282" i="33"/>
  <c r="AD1281" i="33"/>
  <c r="AD1280" i="33"/>
  <c r="AD1279" i="33"/>
  <c r="T1278" i="33"/>
  <c r="S1278" i="33"/>
  <c r="Q1278" i="33"/>
  <c r="P1278" i="33"/>
  <c r="O1278" i="33"/>
  <c r="N1278" i="33"/>
  <c r="M1278" i="33"/>
  <c r="L1278" i="33"/>
  <c r="K1278" i="33"/>
  <c r="J1278" i="33"/>
  <c r="I1278" i="33"/>
  <c r="H1278" i="33"/>
  <c r="G1278" i="33"/>
  <c r="T1277" i="33"/>
  <c r="S1277" i="33"/>
  <c r="R1277" i="33"/>
  <c r="Q1277" i="33"/>
  <c r="P1277" i="33"/>
  <c r="O1277" i="33"/>
  <c r="N1277" i="33"/>
  <c r="M1277" i="33"/>
  <c r="L1277" i="33"/>
  <c r="K1277" i="33"/>
  <c r="J1277" i="33"/>
  <c r="I1277" i="33"/>
  <c r="H1277" i="33"/>
  <c r="G1277" i="33"/>
  <c r="T1276" i="33"/>
  <c r="S1276" i="33"/>
  <c r="R1276" i="33"/>
  <c r="Q1276" i="33"/>
  <c r="P1276" i="33"/>
  <c r="O1276" i="33"/>
  <c r="N1276" i="33"/>
  <c r="M1276" i="33"/>
  <c r="L1276" i="33"/>
  <c r="K1276" i="33"/>
  <c r="J1276" i="33"/>
  <c r="I1276" i="33"/>
  <c r="H1276" i="33"/>
  <c r="G1276" i="33"/>
  <c r="T1275" i="33"/>
  <c r="S1275" i="33"/>
  <c r="R1275" i="33"/>
  <c r="Q1275" i="33"/>
  <c r="P1275" i="33"/>
  <c r="O1275" i="33"/>
  <c r="N1275" i="33"/>
  <c r="M1275" i="33"/>
  <c r="K1275" i="33"/>
  <c r="J1275" i="33"/>
  <c r="I1275" i="33"/>
  <c r="H1275" i="33"/>
  <c r="G1275" i="33"/>
  <c r="T1274" i="33"/>
  <c r="S1274" i="33"/>
  <c r="R1274" i="33"/>
  <c r="Q1274" i="33"/>
  <c r="P1274" i="33"/>
  <c r="O1274" i="33"/>
  <c r="N1274" i="33"/>
  <c r="M1274" i="33"/>
  <c r="L1274" i="33"/>
  <c r="K1274" i="33"/>
  <c r="J1274" i="33"/>
  <c r="I1274" i="33"/>
  <c r="G1274" i="33"/>
  <c r="T1273" i="33"/>
  <c r="S1273" i="33"/>
  <c r="R1273" i="33"/>
  <c r="Q1273" i="33"/>
  <c r="P1273" i="33"/>
  <c r="O1273" i="33"/>
  <c r="N1273" i="33"/>
  <c r="M1273" i="33"/>
  <c r="L1273" i="33"/>
  <c r="K1273" i="33"/>
  <c r="J1273" i="33"/>
  <c r="I1273" i="33"/>
  <c r="G1273" i="33"/>
  <c r="AD1271" i="33"/>
  <c r="AD1270" i="33"/>
  <c r="L1269" i="33"/>
  <c r="AD1265" i="33"/>
  <c r="AE1265" i="33" s="1"/>
  <c r="T1264" i="33"/>
  <c r="S1264" i="33"/>
  <c r="R1264" i="33"/>
  <c r="Q1264" i="33"/>
  <c r="P1264" i="33"/>
  <c r="O1264" i="33"/>
  <c r="N1264" i="33"/>
  <c r="M1264" i="33"/>
  <c r="L1264" i="33"/>
  <c r="K1264" i="33"/>
  <c r="J1264" i="33"/>
  <c r="I1264" i="33"/>
  <c r="H1264" i="33"/>
  <c r="T1263" i="33"/>
  <c r="S1263" i="33"/>
  <c r="R1263" i="33"/>
  <c r="Q1263" i="33"/>
  <c r="P1263" i="33"/>
  <c r="O1263" i="33"/>
  <c r="N1263" i="33"/>
  <c r="M1263" i="33"/>
  <c r="L1263" i="33"/>
  <c r="K1263" i="33"/>
  <c r="J1263" i="33"/>
  <c r="I1263" i="33"/>
  <c r="H1263" i="33"/>
  <c r="T1262" i="33"/>
  <c r="S1262" i="33"/>
  <c r="R1262" i="33"/>
  <c r="Q1262" i="33"/>
  <c r="P1262" i="33"/>
  <c r="O1262" i="33"/>
  <c r="N1262" i="33"/>
  <c r="M1262" i="33"/>
  <c r="L1262" i="33"/>
  <c r="K1262" i="33"/>
  <c r="J1262" i="33"/>
  <c r="I1262" i="33"/>
  <c r="H1262" i="33"/>
  <c r="T1261" i="33"/>
  <c r="S1261" i="33"/>
  <c r="R1261" i="33"/>
  <c r="Q1261" i="33"/>
  <c r="P1261" i="33"/>
  <c r="O1261" i="33"/>
  <c r="N1261" i="33"/>
  <c r="M1261" i="33"/>
  <c r="L1261" i="33"/>
  <c r="K1261" i="33"/>
  <c r="J1261" i="33"/>
  <c r="I1261" i="33"/>
  <c r="H1261" i="33"/>
  <c r="T1260" i="33"/>
  <c r="S1260" i="33"/>
  <c r="R1260" i="33"/>
  <c r="Q1260" i="33"/>
  <c r="P1260" i="33"/>
  <c r="O1260" i="33"/>
  <c r="N1260" i="33"/>
  <c r="M1260" i="33"/>
  <c r="L1260" i="33"/>
  <c r="K1260" i="33"/>
  <c r="J1260" i="33"/>
  <c r="I1260" i="33"/>
  <c r="H1260" i="33"/>
  <c r="G1259" i="33"/>
  <c r="AD1258" i="33"/>
  <c r="AD1257" i="33"/>
  <c r="AD1256" i="33"/>
  <c r="AD1255" i="33"/>
  <c r="AD1254" i="33"/>
  <c r="AD1253" i="33"/>
  <c r="AD1252" i="33"/>
  <c r="AD1251" i="33"/>
  <c r="AD1248" i="33"/>
  <c r="T1247" i="33"/>
  <c r="G1246" i="33"/>
  <c r="R1243" i="33"/>
  <c r="R1245" i="33" s="1"/>
  <c r="P1243" i="33"/>
  <c r="P1244" i="33" s="1"/>
  <c r="O1243" i="33"/>
  <c r="O1245" i="33" s="1"/>
  <c r="N1243" i="33"/>
  <c r="N1244" i="33" s="1"/>
  <c r="M1243" i="33"/>
  <c r="M1244" i="33" s="1"/>
  <c r="L1243" i="33"/>
  <c r="L1245" i="33" s="1"/>
  <c r="K1243" i="33"/>
  <c r="K1245" i="33" s="1"/>
  <c r="J1243" i="33"/>
  <c r="J1244" i="33" s="1"/>
  <c r="I1243" i="33"/>
  <c r="I1245" i="33" s="1"/>
  <c r="H1243" i="33"/>
  <c r="H1245" i="33" s="1"/>
  <c r="R1242" i="33"/>
  <c r="P1242" i="33"/>
  <c r="O1242" i="33"/>
  <c r="N1242" i="33"/>
  <c r="M1242" i="33"/>
  <c r="L1242" i="33"/>
  <c r="K1242" i="33"/>
  <c r="J1242" i="33"/>
  <c r="I1242" i="33"/>
  <c r="H1242" i="33"/>
  <c r="AD1240" i="33"/>
  <c r="AD1239" i="33"/>
  <c r="AD1238" i="33"/>
  <c r="AD1237" i="33"/>
  <c r="AD1236" i="33"/>
  <c r="AD1235" i="33"/>
  <c r="AD1234" i="33"/>
  <c r="AD1233" i="33"/>
  <c r="AD1230" i="33"/>
  <c r="AD1229" i="33"/>
  <c r="AD1228" i="33"/>
  <c r="AD1227" i="33"/>
  <c r="AD1226" i="33"/>
  <c r="AD1225" i="33"/>
  <c r="AD1224" i="33"/>
  <c r="AD1223" i="33"/>
  <c r="AD1222" i="33"/>
  <c r="AD1221" i="33"/>
  <c r="AD1220" i="33"/>
  <c r="AD1219" i="33"/>
  <c r="AD1218" i="33"/>
  <c r="AD1217" i="33"/>
  <c r="AD1216" i="33"/>
  <c r="AD1215" i="33"/>
  <c r="AD1212" i="33"/>
  <c r="AD1211" i="33"/>
  <c r="AD1210" i="33"/>
  <c r="AD1209" i="33"/>
  <c r="AD1208" i="33"/>
  <c r="AD1207" i="33"/>
  <c r="AD1206" i="33"/>
  <c r="AD1205" i="33"/>
  <c r="AD1204" i="33"/>
  <c r="AD1203" i="33"/>
  <c r="AD1202" i="33"/>
  <c r="AD1201" i="33"/>
  <c r="AD1200" i="33"/>
  <c r="AD1199" i="33"/>
  <c r="AD1198" i="33"/>
  <c r="AD1197" i="33"/>
  <c r="AD1194" i="33"/>
  <c r="AD1193" i="33"/>
  <c r="AD1192" i="33"/>
  <c r="AD1191" i="33"/>
  <c r="AD1190" i="33"/>
  <c r="AD1189" i="33"/>
  <c r="AD1188" i="33"/>
  <c r="AD1187" i="33"/>
  <c r="AD1186" i="33"/>
  <c r="AD1185" i="33"/>
  <c r="AD1184" i="33"/>
  <c r="AD1183" i="33"/>
  <c r="AD1182" i="33"/>
  <c r="AD1181" i="33"/>
  <c r="AD1180" i="33"/>
  <c r="AD1179" i="33"/>
  <c r="AD1176" i="33"/>
  <c r="T1174" i="33"/>
  <c r="S1174" i="33"/>
  <c r="R1174" i="33"/>
  <c r="Q1174" i="33"/>
  <c r="P1174" i="33"/>
  <c r="O1174" i="33"/>
  <c r="N1174" i="33"/>
  <c r="M1174" i="33"/>
  <c r="L1174" i="33"/>
  <c r="K1174" i="33"/>
  <c r="J1174" i="33"/>
  <c r="I1174" i="33"/>
  <c r="H1174" i="33"/>
  <c r="G1174" i="33"/>
  <c r="T1173" i="33"/>
  <c r="S1173" i="33"/>
  <c r="R1173" i="33"/>
  <c r="Q1173" i="33"/>
  <c r="P1173" i="33"/>
  <c r="O1173" i="33"/>
  <c r="N1173" i="33"/>
  <c r="M1173" i="33"/>
  <c r="L1173" i="33"/>
  <c r="K1173" i="33"/>
  <c r="J1173" i="33"/>
  <c r="I1173" i="33"/>
  <c r="G1173" i="33"/>
  <c r="T1172" i="33"/>
  <c r="S1172" i="33"/>
  <c r="R1172" i="33"/>
  <c r="Q1172" i="33"/>
  <c r="P1172" i="33"/>
  <c r="O1172" i="33"/>
  <c r="N1172" i="33"/>
  <c r="M1172" i="33"/>
  <c r="L1172" i="33"/>
  <c r="K1172" i="33"/>
  <c r="J1172" i="33"/>
  <c r="I1172" i="33"/>
  <c r="H1172" i="33"/>
  <c r="G1172" i="33"/>
  <c r="T1171" i="33"/>
  <c r="S1171" i="33"/>
  <c r="R1171" i="33"/>
  <c r="Q1171" i="33"/>
  <c r="P1171" i="33"/>
  <c r="O1171" i="33"/>
  <c r="N1171" i="33"/>
  <c r="M1171" i="33"/>
  <c r="L1171" i="33"/>
  <c r="K1171" i="33"/>
  <c r="H1171" i="33"/>
  <c r="G1171" i="33"/>
  <c r="T1170" i="33"/>
  <c r="S1170" i="33"/>
  <c r="R1170" i="33"/>
  <c r="Q1170" i="33"/>
  <c r="P1170" i="33"/>
  <c r="O1170" i="33"/>
  <c r="N1170" i="33"/>
  <c r="M1170" i="33"/>
  <c r="L1170" i="33"/>
  <c r="K1170" i="33"/>
  <c r="J1170" i="33"/>
  <c r="I1170" i="33"/>
  <c r="H1170" i="33"/>
  <c r="G1170" i="33"/>
  <c r="T1169" i="33"/>
  <c r="S1169" i="33"/>
  <c r="R1169" i="33"/>
  <c r="Q1169" i="33"/>
  <c r="P1169" i="33"/>
  <c r="O1169" i="33"/>
  <c r="N1169" i="33"/>
  <c r="M1169" i="33"/>
  <c r="K1169" i="33"/>
  <c r="J1169" i="33"/>
  <c r="H1169" i="33"/>
  <c r="G1169" i="33"/>
  <c r="T1168" i="33"/>
  <c r="S1168" i="33"/>
  <c r="R1168" i="33"/>
  <c r="Q1168" i="33"/>
  <c r="P1168" i="33"/>
  <c r="O1168" i="33"/>
  <c r="N1168" i="33"/>
  <c r="M1168" i="33"/>
  <c r="L1168" i="33"/>
  <c r="H1168" i="33"/>
  <c r="G1168" i="33"/>
  <c r="T1167" i="33"/>
  <c r="S1167" i="33"/>
  <c r="R1167" i="33"/>
  <c r="Q1167" i="33"/>
  <c r="P1167" i="33"/>
  <c r="O1167" i="33"/>
  <c r="N1167" i="33"/>
  <c r="M1167" i="33"/>
  <c r="L1167" i="33"/>
  <c r="K1167" i="33"/>
  <c r="J1167" i="33"/>
  <c r="I1167" i="33"/>
  <c r="H1167" i="33"/>
  <c r="G1167" i="33"/>
  <c r="AD1166" i="33"/>
  <c r="AD1165" i="33"/>
  <c r="H1164" i="33"/>
  <c r="D1164" i="33" s="1"/>
  <c r="AD1163" i="33"/>
  <c r="J1162" i="33"/>
  <c r="J1171" i="33" s="1"/>
  <c r="I1162" i="33"/>
  <c r="AD1161" i="33"/>
  <c r="L1169" i="33"/>
  <c r="K1168" i="33"/>
  <c r="J1168" i="33"/>
  <c r="AD1158" i="33"/>
  <c r="AD1156" i="33"/>
  <c r="AE1156" i="33" s="1"/>
  <c r="AD1154" i="33"/>
  <c r="AD1152" i="33"/>
  <c r="T1151" i="33"/>
  <c r="T1155" i="33" s="1"/>
  <c r="S1151" i="33"/>
  <c r="S1155" i="33" s="1"/>
  <c r="R1151" i="33"/>
  <c r="R1155" i="33" s="1"/>
  <c r="P1151" i="33"/>
  <c r="O1151" i="33"/>
  <c r="N1151" i="33"/>
  <c r="M1151" i="33"/>
  <c r="L1151" i="33"/>
  <c r="K1151" i="33"/>
  <c r="K1155" i="33" s="1"/>
  <c r="J1151" i="33"/>
  <c r="I1151" i="33"/>
  <c r="H1151" i="33"/>
  <c r="G1151" i="33"/>
  <c r="T1150" i="33"/>
  <c r="S1150" i="33"/>
  <c r="R1150" i="33"/>
  <c r="Q1150" i="33"/>
  <c r="P1150" i="33"/>
  <c r="O1150" i="33"/>
  <c r="N1150" i="33"/>
  <c r="M1150" i="33"/>
  <c r="L1150" i="33"/>
  <c r="K1150" i="33"/>
  <c r="J1150" i="33"/>
  <c r="I1150" i="33"/>
  <c r="H1150" i="33"/>
  <c r="G1150" i="33"/>
  <c r="T1149" i="33"/>
  <c r="S1149" i="33"/>
  <c r="R1149" i="33"/>
  <c r="Q1149" i="33"/>
  <c r="P1149" i="33"/>
  <c r="O1149" i="33"/>
  <c r="N1149" i="33"/>
  <c r="M1149" i="33"/>
  <c r="L1149" i="33"/>
  <c r="K1149" i="33"/>
  <c r="J1149" i="33"/>
  <c r="I1149" i="33"/>
  <c r="H1149" i="33"/>
  <c r="G1149" i="33"/>
  <c r="AD1147" i="33"/>
  <c r="AD1146" i="33"/>
  <c r="Q1145" i="33"/>
  <c r="P1144" i="33"/>
  <c r="O1144" i="33"/>
  <c r="N1144" i="33"/>
  <c r="M1144" i="33"/>
  <c r="K1144" i="33"/>
  <c r="J1144" i="33"/>
  <c r="D1143" i="33"/>
  <c r="AG1143" i="33" s="1"/>
  <c r="AD1141" i="33"/>
  <c r="AE1141" i="33" s="1"/>
  <c r="AD1134" i="33"/>
  <c r="AD1133" i="33"/>
  <c r="AD1132" i="33"/>
  <c r="AD1131" i="33"/>
  <c r="AD1130" i="33"/>
  <c r="AD1129" i="33"/>
  <c r="AD1128" i="33"/>
  <c r="T1127" i="33"/>
  <c r="S1127" i="33"/>
  <c r="R1127" i="33"/>
  <c r="Q1127" i="33"/>
  <c r="P1127" i="33"/>
  <c r="O1127" i="33"/>
  <c r="N1127" i="33"/>
  <c r="M1127" i="33"/>
  <c r="L1127" i="33"/>
  <c r="K1127" i="33"/>
  <c r="J1127" i="33"/>
  <c r="I1127" i="33"/>
  <c r="H1127" i="33"/>
  <c r="G1127" i="33"/>
  <c r="T1126" i="33"/>
  <c r="S1126" i="33"/>
  <c r="R1126" i="33"/>
  <c r="P1126" i="33"/>
  <c r="O1126" i="33"/>
  <c r="N1126" i="33"/>
  <c r="M1126" i="33"/>
  <c r="L1126" i="33"/>
  <c r="K1126" i="33"/>
  <c r="J1126" i="33"/>
  <c r="I1126" i="33"/>
  <c r="H1126" i="33"/>
  <c r="G1126" i="33"/>
  <c r="T1125" i="33"/>
  <c r="S1125" i="33"/>
  <c r="R1125" i="33"/>
  <c r="Q1125" i="33"/>
  <c r="P1125" i="33"/>
  <c r="O1125" i="33"/>
  <c r="N1125" i="33"/>
  <c r="M1125" i="33"/>
  <c r="L1125" i="33"/>
  <c r="K1125" i="33"/>
  <c r="J1125" i="33"/>
  <c r="I1125" i="33"/>
  <c r="H1125" i="33"/>
  <c r="G1125" i="33"/>
  <c r="T1124" i="33"/>
  <c r="S1124" i="33"/>
  <c r="R1124" i="33"/>
  <c r="Q1124" i="33"/>
  <c r="P1124" i="33"/>
  <c r="O1124" i="33"/>
  <c r="N1124" i="33"/>
  <c r="M1124" i="33"/>
  <c r="L1124" i="33"/>
  <c r="K1124" i="33"/>
  <c r="J1124" i="33"/>
  <c r="I1124" i="33"/>
  <c r="H1124" i="33"/>
  <c r="G1124" i="33"/>
  <c r="T1123" i="33"/>
  <c r="S1123" i="33"/>
  <c r="R1123" i="33"/>
  <c r="Q1123" i="33"/>
  <c r="P1123" i="33"/>
  <c r="O1123" i="33"/>
  <c r="N1123" i="33"/>
  <c r="M1123" i="33"/>
  <c r="L1123" i="33"/>
  <c r="K1123" i="33"/>
  <c r="J1123" i="33"/>
  <c r="I1123" i="33"/>
  <c r="H1123" i="33"/>
  <c r="G1123" i="33"/>
  <c r="AD1122" i="33"/>
  <c r="AD1121" i="33"/>
  <c r="AD1120" i="33"/>
  <c r="AD1119" i="33"/>
  <c r="AD1118" i="33"/>
  <c r="AD1117" i="33"/>
  <c r="AD1114" i="33"/>
  <c r="AD1113" i="33"/>
  <c r="AD1112" i="33"/>
  <c r="AD1111" i="33"/>
  <c r="Q1110" i="33"/>
  <c r="AD1109" i="33"/>
  <c r="T1108" i="33"/>
  <c r="S1108" i="33"/>
  <c r="R1108" i="33"/>
  <c r="Q1108" i="33"/>
  <c r="P1108" i="33"/>
  <c r="O1108" i="33"/>
  <c r="N1108" i="33"/>
  <c r="M1108" i="33"/>
  <c r="L1108" i="33"/>
  <c r="K1108" i="33"/>
  <c r="J1108" i="33"/>
  <c r="I1108" i="33"/>
  <c r="H1108" i="33"/>
  <c r="G1108" i="33"/>
  <c r="T1107" i="33"/>
  <c r="S1107" i="33"/>
  <c r="R1107" i="33"/>
  <c r="Q1107" i="33"/>
  <c r="P1107" i="33"/>
  <c r="O1107" i="33"/>
  <c r="N1107" i="33"/>
  <c r="M1107" i="33"/>
  <c r="L1107" i="33"/>
  <c r="K1107" i="33"/>
  <c r="J1107" i="33"/>
  <c r="I1107" i="33"/>
  <c r="H1107" i="33"/>
  <c r="G1107" i="33"/>
  <c r="H1106" i="33"/>
  <c r="D1106" i="33" s="1"/>
  <c r="AD1105" i="33"/>
  <c r="AD1104" i="33"/>
  <c r="AD1101" i="33"/>
  <c r="AE1101" i="33" s="1"/>
  <c r="AD1100" i="33"/>
  <c r="AE1100" i="33" s="1"/>
  <c r="AD1099" i="33"/>
  <c r="AE1099" i="33" s="1"/>
  <c r="AD1065" i="33"/>
  <c r="AD1071" i="33"/>
  <c r="AD1070" i="33"/>
  <c r="AD1069" i="33"/>
  <c r="AD1068" i="33"/>
  <c r="AD1067" i="33"/>
  <c r="AD1066" i="33"/>
  <c r="AD1064" i="33"/>
  <c r="AD1060" i="33"/>
  <c r="AD1054" i="33"/>
  <c r="AD1055" i="33"/>
  <c r="AD1052" i="33"/>
  <c r="AD1049" i="33"/>
  <c r="AE1049" i="33" s="1"/>
  <c r="AD1048" i="33"/>
  <c r="T1047" i="33"/>
  <c r="S1047" i="33"/>
  <c r="R1047" i="33"/>
  <c r="Q1047" i="33"/>
  <c r="P1047" i="33"/>
  <c r="O1047" i="33"/>
  <c r="N1047" i="33"/>
  <c r="M1047" i="33"/>
  <c r="L1047" i="33"/>
  <c r="K1047" i="33"/>
  <c r="J1047" i="33"/>
  <c r="I1047" i="33"/>
  <c r="H1047" i="33"/>
  <c r="G1047" i="33"/>
  <c r="T1046" i="33"/>
  <c r="S1046" i="33"/>
  <c r="R1046" i="33"/>
  <c r="Q1046" i="33"/>
  <c r="P1046" i="33"/>
  <c r="O1046" i="33"/>
  <c r="N1046" i="33"/>
  <c r="M1046" i="33"/>
  <c r="L1046" i="33"/>
  <c r="K1046" i="33"/>
  <c r="J1046" i="33"/>
  <c r="I1046" i="33"/>
  <c r="H1046" i="33"/>
  <c r="G1046" i="33"/>
  <c r="T1045" i="33"/>
  <c r="D1045" i="33" s="1"/>
  <c r="AD1044" i="33"/>
  <c r="AD1043" i="33"/>
  <c r="T1042" i="33"/>
  <c r="AD1041" i="33"/>
  <c r="AD1038" i="33"/>
  <c r="AD1037" i="33"/>
  <c r="AD1035" i="33"/>
  <c r="AE1035" i="33" s="1"/>
  <c r="AD1034" i="33"/>
  <c r="AD1032" i="33"/>
  <c r="AD1030" i="33"/>
  <c r="AE1030" i="33" s="1"/>
  <c r="AD1029" i="33"/>
  <c r="AE1029" i="33" s="1"/>
  <c r="AD1028" i="33"/>
  <c r="AD1027" i="33"/>
  <c r="AD1026" i="33"/>
  <c r="T1025" i="33"/>
  <c r="S1025" i="33"/>
  <c r="M1025" i="33"/>
  <c r="K1025" i="33"/>
  <c r="J1025" i="33"/>
  <c r="H1025" i="33"/>
  <c r="S1024" i="33"/>
  <c r="R1024" i="33"/>
  <c r="P1024" i="33"/>
  <c r="O1024" i="33"/>
  <c r="N1024" i="33"/>
  <c r="M1024" i="33"/>
  <c r="L1024" i="33"/>
  <c r="K1024" i="33"/>
  <c r="J1024" i="33"/>
  <c r="I1024" i="33"/>
  <c r="H1024" i="33"/>
  <c r="G1024" i="33"/>
  <c r="S1020" i="33"/>
  <c r="S1021" i="33" s="1"/>
  <c r="R1020" i="33"/>
  <c r="R1023" i="33" s="1"/>
  <c r="Q1020" i="33"/>
  <c r="Q1023" i="33" s="1"/>
  <c r="P1020" i="33"/>
  <c r="P1023" i="33" s="1"/>
  <c r="O1020" i="33"/>
  <c r="O1023" i="33" s="1"/>
  <c r="N1020" i="33"/>
  <c r="M1020" i="33"/>
  <c r="M1021" i="33" s="1"/>
  <c r="L1020" i="33"/>
  <c r="L1023" i="33" s="1"/>
  <c r="K1020" i="33"/>
  <c r="K1023" i="33" s="1"/>
  <c r="J1020" i="33"/>
  <c r="J1023" i="33" s="1"/>
  <c r="I1020" i="33"/>
  <c r="I1023" i="33" s="1"/>
  <c r="H1020" i="33"/>
  <c r="G1020" i="33"/>
  <c r="T1019" i="33"/>
  <c r="T1017" i="33"/>
  <c r="T1018" i="33" s="1"/>
  <c r="S1017" i="33"/>
  <c r="S1018" i="33" s="1"/>
  <c r="R1017" i="33"/>
  <c r="R1018" i="33" s="1"/>
  <c r="Q1017" i="33"/>
  <c r="Q1018" i="33" s="1"/>
  <c r="P1017" i="33"/>
  <c r="P1018" i="33" s="1"/>
  <c r="O1017" i="33"/>
  <c r="O1018" i="33" s="1"/>
  <c r="N1017" i="33"/>
  <c r="N1018" i="33" s="1"/>
  <c r="M1017" i="33"/>
  <c r="M1018" i="33" s="1"/>
  <c r="L1017" i="33"/>
  <c r="L1018" i="33" s="1"/>
  <c r="K1017" i="33"/>
  <c r="K1018" i="33" s="1"/>
  <c r="J1017" i="33"/>
  <c r="J1018" i="33" s="1"/>
  <c r="I1017" i="33"/>
  <c r="I1018" i="33" s="1"/>
  <c r="H1017" i="33"/>
  <c r="H1018" i="33" s="1"/>
  <c r="G1017" i="33"/>
  <c r="AD1016" i="33"/>
  <c r="T1015" i="33"/>
  <c r="S1015" i="33"/>
  <c r="R1015" i="33"/>
  <c r="Q1015" i="33"/>
  <c r="P1015" i="33"/>
  <c r="O1015" i="33"/>
  <c r="N1015" i="33"/>
  <c r="M1015" i="33"/>
  <c r="L1015" i="33"/>
  <c r="K1015" i="33"/>
  <c r="J1015" i="33"/>
  <c r="I1015" i="33"/>
  <c r="H1015" i="33"/>
  <c r="G1015" i="33"/>
  <c r="S1014" i="33"/>
  <c r="R1014" i="33"/>
  <c r="Q1014" i="33"/>
  <c r="P1014" i="33"/>
  <c r="O1014" i="33"/>
  <c r="N1014" i="33"/>
  <c r="M1014" i="33"/>
  <c r="L1014" i="33"/>
  <c r="K1014" i="33"/>
  <c r="J1014" i="33"/>
  <c r="I1014" i="33"/>
  <c r="H1014" i="33"/>
  <c r="G1014" i="33"/>
  <c r="T1013" i="33"/>
  <c r="S1013" i="33"/>
  <c r="R1013" i="33"/>
  <c r="P1013" i="33"/>
  <c r="O1013" i="33"/>
  <c r="N1013" i="33"/>
  <c r="M1013" i="33"/>
  <c r="L1013" i="33"/>
  <c r="K1013" i="33"/>
  <c r="J1013" i="33"/>
  <c r="I1013" i="33"/>
  <c r="H1013" i="33"/>
  <c r="G1013" i="33"/>
  <c r="AD1012" i="33"/>
  <c r="AD1011" i="33"/>
  <c r="T1010" i="33"/>
  <c r="D1010" i="33" s="1"/>
  <c r="Q1009" i="33"/>
  <c r="AD1006" i="33"/>
  <c r="AE1006" i="33" s="1"/>
  <c r="AD1005" i="33"/>
  <c r="AD1004" i="33"/>
  <c r="AD1003" i="33"/>
  <c r="AD1000" i="33"/>
  <c r="AD998" i="33"/>
  <c r="AD995" i="33"/>
  <c r="AD994" i="33"/>
  <c r="AD992" i="33"/>
  <c r="AE992" i="33" s="1"/>
  <c r="AD991" i="33"/>
  <c r="AE991" i="33" s="1"/>
  <c r="J990" i="33"/>
  <c r="T989" i="33"/>
  <c r="S989" i="33"/>
  <c r="R989" i="33"/>
  <c r="Q989" i="33"/>
  <c r="P989" i="33"/>
  <c r="O989" i="33"/>
  <c r="N989" i="33"/>
  <c r="M989" i="33"/>
  <c r="L989" i="33"/>
  <c r="K989" i="33"/>
  <c r="J989" i="33"/>
  <c r="I989" i="33"/>
  <c r="H989" i="33"/>
  <c r="AD988" i="33"/>
  <c r="AD987" i="33"/>
  <c r="T985" i="33"/>
  <c r="S985" i="33"/>
  <c r="R985" i="33"/>
  <c r="Q985" i="33"/>
  <c r="P985" i="33"/>
  <c r="O985" i="33"/>
  <c r="N985" i="33"/>
  <c r="M985" i="33"/>
  <c r="L985" i="33"/>
  <c r="K985" i="33"/>
  <c r="J985" i="33"/>
  <c r="I985" i="33"/>
  <c r="G985" i="33"/>
  <c r="T983" i="33"/>
  <c r="T984" i="33" s="1"/>
  <c r="S983" i="33"/>
  <c r="S984" i="33" s="1"/>
  <c r="R983" i="33"/>
  <c r="R984" i="33" s="1"/>
  <c r="Q983" i="33"/>
  <c r="Q984" i="33" s="1"/>
  <c r="P983" i="33"/>
  <c r="P984" i="33" s="1"/>
  <c r="O983" i="33"/>
  <c r="O984" i="33" s="1"/>
  <c r="N983" i="33"/>
  <c r="N984" i="33" s="1"/>
  <c r="M983" i="33"/>
  <c r="M984" i="33" s="1"/>
  <c r="L983" i="33"/>
  <c r="L984" i="33" s="1"/>
  <c r="K983" i="33"/>
  <c r="K984" i="33" s="1"/>
  <c r="J983" i="33"/>
  <c r="J984" i="33" s="1"/>
  <c r="I983" i="33"/>
  <c r="I984" i="33" s="1"/>
  <c r="H983" i="33"/>
  <c r="G983" i="33"/>
  <c r="AD982" i="33"/>
  <c r="AD981" i="33"/>
  <c r="AD980" i="33"/>
  <c r="AD979" i="33"/>
  <c r="AD978" i="33"/>
  <c r="AD977" i="33"/>
  <c r="AD976" i="33"/>
  <c r="AD975" i="33"/>
  <c r="T974" i="33"/>
  <c r="S974" i="33"/>
  <c r="R974" i="33"/>
  <c r="Q974" i="33"/>
  <c r="P974" i="33"/>
  <c r="O974" i="33"/>
  <c r="N974" i="33"/>
  <c r="M974" i="33"/>
  <c r="L974" i="33"/>
  <c r="K974" i="33"/>
  <c r="J974" i="33"/>
  <c r="I974" i="33"/>
  <c r="H974" i="33"/>
  <c r="G974" i="33"/>
  <c r="AD973" i="33"/>
  <c r="T972" i="33"/>
  <c r="S972" i="33"/>
  <c r="R972" i="33"/>
  <c r="Q972" i="33"/>
  <c r="P972" i="33"/>
  <c r="O972" i="33"/>
  <c r="N972" i="33"/>
  <c r="M972" i="33"/>
  <c r="L972" i="33"/>
  <c r="K972" i="33"/>
  <c r="J972" i="33"/>
  <c r="I972" i="33"/>
  <c r="H972" i="33"/>
  <c r="G972" i="33"/>
  <c r="AD971" i="33"/>
  <c r="T970" i="33"/>
  <c r="S970" i="33"/>
  <c r="R970" i="33"/>
  <c r="Q970" i="33"/>
  <c r="P970" i="33"/>
  <c r="O970" i="33"/>
  <c r="N970" i="33"/>
  <c r="M970" i="33"/>
  <c r="L970" i="33"/>
  <c r="K970" i="33"/>
  <c r="J970" i="33"/>
  <c r="I970" i="33"/>
  <c r="AD966" i="33"/>
  <c r="AD960" i="33"/>
  <c r="AE960" i="33" s="1"/>
  <c r="AD959" i="33"/>
  <c r="AD958" i="33"/>
  <c r="AD957" i="33"/>
  <c r="AD956" i="33"/>
  <c r="Q955" i="33"/>
  <c r="P955" i="33"/>
  <c r="N955" i="33"/>
  <c r="M955" i="33"/>
  <c r="AD953" i="33"/>
  <c r="AE953" i="33" s="1"/>
  <c r="AD952" i="33"/>
  <c r="AD951" i="33"/>
  <c r="AD950" i="33"/>
  <c r="AD949" i="33"/>
  <c r="AD948" i="33"/>
  <c r="AD947" i="33"/>
  <c r="AD946" i="33"/>
  <c r="AD945" i="33"/>
  <c r="AD944" i="33"/>
  <c r="AD942" i="33"/>
  <c r="AD941" i="33"/>
  <c r="AD940" i="33"/>
  <c r="AD939" i="33"/>
  <c r="AD938" i="33"/>
  <c r="AD936" i="33"/>
  <c r="AE936" i="33" s="1"/>
  <c r="AD935" i="33"/>
  <c r="AE935" i="33" s="1"/>
  <c r="AD934" i="33"/>
  <c r="AD933" i="33"/>
  <c r="AD932" i="33"/>
  <c r="T931" i="33"/>
  <c r="S931" i="33"/>
  <c r="R931" i="33"/>
  <c r="Q931" i="33"/>
  <c r="P931" i="33"/>
  <c r="O931" i="33"/>
  <c r="N931" i="33"/>
  <c r="M931" i="33"/>
  <c r="L931" i="33"/>
  <c r="K931" i="33"/>
  <c r="J931" i="33"/>
  <c r="I931" i="33"/>
  <c r="H931" i="33"/>
  <c r="G931" i="33"/>
  <c r="T930" i="33"/>
  <c r="S930" i="33"/>
  <c r="R930" i="33"/>
  <c r="Q930" i="33"/>
  <c r="P930" i="33"/>
  <c r="O930" i="33"/>
  <c r="N930" i="33"/>
  <c r="M930" i="33"/>
  <c r="L930" i="33"/>
  <c r="K930" i="33"/>
  <c r="J930" i="33"/>
  <c r="I930" i="33"/>
  <c r="H930" i="33"/>
  <c r="G930" i="33"/>
  <c r="T929" i="33"/>
  <c r="S929" i="33"/>
  <c r="R929" i="33"/>
  <c r="Q929" i="33"/>
  <c r="P929" i="33"/>
  <c r="O929" i="33"/>
  <c r="N929" i="33"/>
  <c r="M929" i="33"/>
  <c r="L929" i="33"/>
  <c r="K929" i="33"/>
  <c r="J929" i="33"/>
  <c r="I929" i="33"/>
  <c r="H929" i="33"/>
  <c r="G929" i="33"/>
  <c r="T928" i="33"/>
  <c r="S928" i="33"/>
  <c r="R928" i="33"/>
  <c r="Q928" i="33"/>
  <c r="P928" i="33"/>
  <c r="O928" i="33"/>
  <c r="N928" i="33"/>
  <c r="M928" i="33"/>
  <c r="L928" i="33"/>
  <c r="K928" i="33"/>
  <c r="J928" i="33"/>
  <c r="I928" i="33"/>
  <c r="H928" i="33"/>
  <c r="G928" i="33"/>
  <c r="AD927" i="33"/>
  <c r="T921" i="33"/>
  <c r="T923" i="33" s="1"/>
  <c r="T924" i="33" s="1"/>
  <c r="S921" i="33"/>
  <c r="S923" i="33" s="1"/>
  <c r="R921" i="33"/>
  <c r="R923" i="33" s="1"/>
  <c r="Q921" i="33"/>
  <c r="Q923" i="33" s="1"/>
  <c r="Q924" i="33" s="1"/>
  <c r="P921" i="33"/>
  <c r="P923" i="33" s="1"/>
  <c r="O921" i="33"/>
  <c r="O923" i="33" s="1"/>
  <c r="N921" i="33"/>
  <c r="N923" i="33" s="1"/>
  <c r="M921" i="33"/>
  <c r="M923" i="33" s="1"/>
  <c r="L921" i="33"/>
  <c r="L923" i="33" s="1"/>
  <c r="K921" i="33"/>
  <c r="K923" i="33" s="1"/>
  <c r="K924" i="33" s="1"/>
  <c r="J921" i="33"/>
  <c r="J923" i="33" s="1"/>
  <c r="I921" i="33"/>
  <c r="I923" i="33" s="1"/>
  <c r="H921" i="33"/>
  <c r="H923" i="33" s="1"/>
  <c r="H924" i="33" s="1"/>
  <c r="G921" i="33"/>
  <c r="AD920" i="33"/>
  <c r="T919" i="33"/>
  <c r="S919" i="33"/>
  <c r="R919" i="33"/>
  <c r="Q919" i="33"/>
  <c r="P919" i="33"/>
  <c r="O919" i="33"/>
  <c r="N919" i="33"/>
  <c r="M919" i="33"/>
  <c r="L919" i="33"/>
  <c r="K919" i="33"/>
  <c r="J919" i="33"/>
  <c r="I919" i="33"/>
  <c r="H919" i="33"/>
  <c r="G919" i="33"/>
  <c r="T918" i="33"/>
  <c r="S918" i="33"/>
  <c r="R918" i="33"/>
  <c r="Q918" i="33"/>
  <c r="P918" i="33"/>
  <c r="O918" i="33"/>
  <c r="N918" i="33"/>
  <c r="M918" i="33"/>
  <c r="L918" i="33"/>
  <c r="K918" i="33"/>
  <c r="I918" i="33"/>
  <c r="H918" i="33"/>
  <c r="G918" i="33"/>
  <c r="AD916" i="33"/>
  <c r="T915" i="33"/>
  <c r="T917" i="33" s="1"/>
  <c r="S915" i="33"/>
  <c r="S917" i="33" s="1"/>
  <c r="R915" i="33"/>
  <c r="R917" i="33" s="1"/>
  <c r="Q915" i="33"/>
  <c r="Q917" i="33" s="1"/>
  <c r="P915" i="33"/>
  <c r="P917" i="33" s="1"/>
  <c r="O915" i="33"/>
  <c r="O917" i="33" s="1"/>
  <c r="N915" i="33"/>
  <c r="N917" i="33" s="1"/>
  <c r="M915" i="33"/>
  <c r="M917" i="33" s="1"/>
  <c r="L915" i="33"/>
  <c r="L917" i="33" s="1"/>
  <c r="K915" i="33"/>
  <c r="K917" i="33" s="1"/>
  <c r="J915" i="33"/>
  <c r="J917" i="33" s="1"/>
  <c r="I915" i="33"/>
  <c r="H915" i="33"/>
  <c r="H917" i="33" s="1"/>
  <c r="G915" i="33"/>
  <c r="AG914" i="33"/>
  <c r="AD913" i="33"/>
  <c r="AD910" i="33"/>
  <c r="AE910" i="33" s="1"/>
  <c r="AD900" i="33"/>
  <c r="AD896" i="33"/>
  <c r="AD895" i="33"/>
  <c r="AD893" i="33"/>
  <c r="AD891" i="33"/>
  <c r="AD890" i="33"/>
  <c r="AD888" i="33"/>
  <c r="AD887" i="33"/>
  <c r="AD884" i="33"/>
  <c r="AE884" i="33" s="1"/>
  <c r="AD883" i="33"/>
  <c r="AD880" i="33"/>
  <c r="AD869" i="33"/>
  <c r="AD867" i="33"/>
  <c r="AE867" i="33" s="1"/>
  <c r="Q859" i="33"/>
  <c r="P859" i="33"/>
  <c r="O859" i="33"/>
  <c r="I859" i="33"/>
  <c r="R858" i="33"/>
  <c r="Q858" i="33"/>
  <c r="P858" i="33"/>
  <c r="O858" i="33"/>
  <c r="N858" i="33"/>
  <c r="M858" i="33"/>
  <c r="L786" i="33"/>
  <c r="AD856" i="33"/>
  <c r="AE856" i="33" s="1"/>
  <c r="S855" i="33"/>
  <c r="R855" i="33"/>
  <c r="Q855" i="33"/>
  <c r="P855" i="33"/>
  <c r="O855" i="33"/>
  <c r="N855" i="33"/>
  <c r="M855" i="33"/>
  <c r="L855" i="33"/>
  <c r="K855" i="33"/>
  <c r="J855" i="33"/>
  <c r="I855" i="33"/>
  <c r="H855" i="33"/>
  <c r="G855" i="33"/>
  <c r="G849" i="33"/>
  <c r="T848" i="33"/>
  <c r="S848" i="33"/>
  <c r="R848" i="33"/>
  <c r="Q848" i="33"/>
  <c r="P848" i="33"/>
  <c r="O848" i="33"/>
  <c r="N848" i="33"/>
  <c r="L848" i="33"/>
  <c r="K848" i="33"/>
  <c r="J848" i="33"/>
  <c r="I848" i="33"/>
  <c r="G848" i="33"/>
  <c r="R847" i="33"/>
  <c r="Q847" i="33"/>
  <c r="P847" i="33"/>
  <c r="O847" i="33"/>
  <c r="N847" i="33"/>
  <c r="M847" i="33"/>
  <c r="L847" i="33"/>
  <c r="J847" i="33"/>
  <c r="H847" i="33"/>
  <c r="AD846" i="33"/>
  <c r="AD845" i="33"/>
  <c r="AD844" i="33"/>
  <c r="AD843" i="33"/>
  <c r="AD842" i="33"/>
  <c r="AD841" i="33"/>
  <c r="T840" i="33"/>
  <c r="S840" i="33"/>
  <c r="R840" i="33"/>
  <c r="Q840" i="33"/>
  <c r="P840" i="33"/>
  <c r="O840" i="33"/>
  <c r="N840" i="33"/>
  <c r="M840" i="33"/>
  <c r="L840" i="33"/>
  <c r="K840" i="33"/>
  <c r="J840" i="33"/>
  <c r="I840" i="33"/>
  <c r="H840" i="33"/>
  <c r="G840" i="33"/>
  <c r="T839" i="33"/>
  <c r="S839" i="33"/>
  <c r="R839" i="33"/>
  <c r="Q839" i="33"/>
  <c r="P839" i="33"/>
  <c r="O839" i="33"/>
  <c r="N839" i="33"/>
  <c r="M839" i="33"/>
  <c r="L839" i="33"/>
  <c r="K839" i="33"/>
  <c r="J839" i="33"/>
  <c r="I839" i="33"/>
  <c r="H839" i="33"/>
  <c r="G839" i="33"/>
  <c r="AD838" i="33"/>
  <c r="T837" i="33"/>
  <c r="S837" i="33"/>
  <c r="R837" i="33"/>
  <c r="Q837" i="33"/>
  <c r="P837" i="33"/>
  <c r="O837" i="33"/>
  <c r="N837" i="33"/>
  <c r="L837" i="33"/>
  <c r="K837" i="33"/>
  <c r="J837" i="33"/>
  <c r="I837" i="33"/>
  <c r="H837" i="33"/>
  <c r="G837" i="33"/>
  <c r="AD836" i="33"/>
  <c r="AD835" i="33"/>
  <c r="AD834" i="33"/>
  <c r="L833" i="33"/>
  <c r="D833" i="33" s="1"/>
  <c r="AD832" i="33"/>
  <c r="AD831" i="33"/>
  <c r="T830" i="33"/>
  <c r="S830" i="33"/>
  <c r="R830" i="33"/>
  <c r="Q830" i="33"/>
  <c r="P830" i="33"/>
  <c r="O830" i="33"/>
  <c r="N830" i="33"/>
  <c r="L830" i="33"/>
  <c r="K830" i="33"/>
  <c r="J830" i="33"/>
  <c r="I830" i="33"/>
  <c r="H830" i="33"/>
  <c r="G830" i="33"/>
  <c r="T829" i="33"/>
  <c r="S829" i="33"/>
  <c r="R829" i="33"/>
  <c r="Q829" i="33"/>
  <c r="P829" i="33"/>
  <c r="O829" i="33"/>
  <c r="N829" i="33"/>
  <c r="L829" i="33"/>
  <c r="K829" i="33"/>
  <c r="J829" i="33"/>
  <c r="I829" i="33"/>
  <c r="H829" i="33"/>
  <c r="G829" i="33"/>
  <c r="M828" i="33"/>
  <c r="M848" i="33" s="1"/>
  <c r="T827" i="33"/>
  <c r="S827" i="33"/>
  <c r="R827" i="33"/>
  <c r="Q827" i="33"/>
  <c r="P827" i="33"/>
  <c r="O827" i="33"/>
  <c r="N827" i="33"/>
  <c r="M827" i="33"/>
  <c r="K827" i="33"/>
  <c r="J827" i="33"/>
  <c r="I827" i="33"/>
  <c r="H827" i="33"/>
  <c r="G827" i="33"/>
  <c r="AD825" i="33"/>
  <c r="AD824" i="33"/>
  <c r="T823" i="33"/>
  <c r="S823" i="33"/>
  <c r="R823" i="33"/>
  <c r="Q823" i="33"/>
  <c r="P823" i="33"/>
  <c r="O823" i="33"/>
  <c r="N823" i="33"/>
  <c r="M823" i="33"/>
  <c r="K823" i="33"/>
  <c r="J823" i="33"/>
  <c r="I823" i="33"/>
  <c r="H823" i="33"/>
  <c r="G823" i="33"/>
  <c r="T822" i="33"/>
  <c r="S822" i="33"/>
  <c r="R822" i="33"/>
  <c r="Q822" i="33"/>
  <c r="P822" i="33"/>
  <c r="O822" i="33"/>
  <c r="N822" i="33"/>
  <c r="M822" i="33"/>
  <c r="K822" i="33"/>
  <c r="J822" i="33"/>
  <c r="I822" i="33"/>
  <c r="H822" i="33"/>
  <c r="G822" i="33"/>
  <c r="L827" i="33"/>
  <c r="AD817" i="33"/>
  <c r="AE817" i="33" s="1"/>
  <c r="AD816" i="33"/>
  <c r="AD815" i="33"/>
  <c r="AD814" i="33"/>
  <c r="T813" i="33"/>
  <c r="S813" i="33"/>
  <c r="R813" i="33"/>
  <c r="Q813" i="33"/>
  <c r="P813" i="33"/>
  <c r="O813" i="33"/>
  <c r="N813" i="33"/>
  <c r="M813" i="33"/>
  <c r="L813" i="33"/>
  <c r="I813" i="33"/>
  <c r="G813" i="33"/>
  <c r="T810" i="33"/>
  <c r="T811" i="33" s="1"/>
  <c r="S810" i="33"/>
  <c r="S812" i="33" s="1"/>
  <c r="R810" i="33"/>
  <c r="R812" i="33" s="1"/>
  <c r="Q810" i="33"/>
  <c r="Q811" i="33" s="1"/>
  <c r="P810" i="33"/>
  <c r="P811" i="33" s="1"/>
  <c r="O810" i="33"/>
  <c r="O812" i="33" s="1"/>
  <c r="N810" i="33"/>
  <c r="N811" i="33" s="1"/>
  <c r="M810" i="33"/>
  <c r="M812" i="33" s="1"/>
  <c r="K810" i="33"/>
  <c r="K811" i="33" s="1"/>
  <c r="J810" i="33"/>
  <c r="J811" i="33" s="1"/>
  <c r="I810" i="33"/>
  <c r="I812" i="33" s="1"/>
  <c r="H810" i="33"/>
  <c r="H811" i="33" s="1"/>
  <c r="G810" i="33"/>
  <c r="T809" i="33"/>
  <c r="S809" i="33"/>
  <c r="R809" i="33"/>
  <c r="Q809" i="33"/>
  <c r="P809" i="33"/>
  <c r="O809" i="33"/>
  <c r="N809" i="33"/>
  <c r="M809" i="33"/>
  <c r="L809" i="33"/>
  <c r="K809" i="33"/>
  <c r="J809" i="33"/>
  <c r="I809" i="33"/>
  <c r="H809" i="33"/>
  <c r="AD808" i="33"/>
  <c r="AD807" i="33"/>
  <c r="AD806" i="33"/>
  <c r="AD803" i="33"/>
  <c r="T786" i="33"/>
  <c r="S786" i="33"/>
  <c r="G802" i="33"/>
  <c r="J801" i="33"/>
  <c r="H813" i="33"/>
  <c r="T799" i="33"/>
  <c r="T800" i="33" s="1"/>
  <c r="S799" i="33"/>
  <c r="S800" i="33" s="1"/>
  <c r="R799" i="33"/>
  <c r="R800" i="33" s="1"/>
  <c r="Q799" i="33"/>
  <c r="Q800" i="33" s="1"/>
  <c r="P799" i="33"/>
  <c r="P800" i="33" s="1"/>
  <c r="O799" i="33"/>
  <c r="O800" i="33" s="1"/>
  <c r="N799" i="33"/>
  <c r="N800" i="33" s="1"/>
  <c r="M799" i="33"/>
  <c r="M800" i="33" s="1"/>
  <c r="K799" i="33"/>
  <c r="K800" i="33" s="1"/>
  <c r="J799" i="33"/>
  <c r="J800" i="33" s="1"/>
  <c r="I799" i="33"/>
  <c r="I800" i="33" s="1"/>
  <c r="H799" i="33"/>
  <c r="H800" i="33" s="1"/>
  <c r="G799" i="33"/>
  <c r="AD798" i="33"/>
  <c r="T796" i="33"/>
  <c r="S796" i="33"/>
  <c r="R796" i="33"/>
  <c r="Q796" i="33"/>
  <c r="P796" i="33"/>
  <c r="O796" i="33"/>
  <c r="N796" i="33"/>
  <c r="M796" i="33"/>
  <c r="L796" i="33"/>
  <c r="K796" i="33"/>
  <c r="J796" i="33"/>
  <c r="I796" i="33"/>
  <c r="H796" i="33"/>
  <c r="G796" i="33"/>
  <c r="AD795" i="33"/>
  <c r="AD794" i="33"/>
  <c r="AD793" i="33"/>
  <c r="AD792" i="33"/>
  <c r="AD790" i="33"/>
  <c r="AD789" i="33"/>
  <c r="AD788" i="33"/>
  <c r="AD787" i="33"/>
  <c r="T784" i="33"/>
  <c r="S784" i="33"/>
  <c r="R784" i="33"/>
  <c r="Q784" i="33"/>
  <c r="P784" i="33"/>
  <c r="O784" i="33"/>
  <c r="N784" i="33"/>
  <c r="M784" i="33"/>
  <c r="L784" i="33"/>
  <c r="K784" i="33"/>
  <c r="J784" i="33"/>
  <c r="I784" i="33"/>
  <c r="H784" i="33"/>
  <c r="G784" i="33"/>
  <c r="T783" i="33"/>
  <c r="S783" i="33"/>
  <c r="R783" i="33"/>
  <c r="Q783" i="33"/>
  <c r="P783" i="33"/>
  <c r="O783" i="33"/>
  <c r="N783" i="33"/>
  <c r="M783" i="33"/>
  <c r="L783" i="33"/>
  <c r="K783" i="33"/>
  <c r="J783" i="33"/>
  <c r="I783" i="33"/>
  <c r="H783" i="33"/>
  <c r="G783" i="33"/>
  <c r="T782" i="33"/>
  <c r="S782" i="33"/>
  <c r="R782" i="33"/>
  <c r="Q782" i="33"/>
  <c r="P782" i="33"/>
  <c r="O782" i="33"/>
  <c r="N782" i="33"/>
  <c r="M782" i="33"/>
  <c r="L782" i="33"/>
  <c r="K782" i="33"/>
  <c r="J782" i="33"/>
  <c r="I782" i="33"/>
  <c r="H782" i="33"/>
  <c r="G782" i="33"/>
  <c r="T781" i="33"/>
  <c r="S781" i="33"/>
  <c r="G781" i="33"/>
  <c r="T780" i="33"/>
  <c r="S780" i="33"/>
  <c r="R780" i="33"/>
  <c r="Q780" i="33"/>
  <c r="P780" i="33"/>
  <c r="O780" i="33"/>
  <c r="N780" i="33"/>
  <c r="M780" i="33"/>
  <c r="L780" i="33"/>
  <c r="K780" i="33"/>
  <c r="J780" i="33"/>
  <c r="I780" i="33"/>
  <c r="H780" i="33"/>
  <c r="AD779" i="33"/>
  <c r="AD778" i="33"/>
  <c r="AD777" i="33"/>
  <c r="R776" i="33"/>
  <c r="R781" i="33" s="1"/>
  <c r="Q776" i="33"/>
  <c r="Q781" i="33" s="1"/>
  <c r="P776" i="33"/>
  <c r="P781" i="33" s="1"/>
  <c r="O776" i="33"/>
  <c r="O781" i="33" s="1"/>
  <c r="N776" i="33"/>
  <c r="N781" i="33" s="1"/>
  <c r="M776" i="33"/>
  <c r="M781" i="33" s="1"/>
  <c r="L781" i="33"/>
  <c r="K781" i="33"/>
  <c r="J781" i="33"/>
  <c r="I781" i="33"/>
  <c r="AD775" i="33"/>
  <c r="AD774" i="33"/>
  <c r="AD773" i="33"/>
  <c r="AD772" i="33"/>
  <c r="G780" i="33"/>
  <c r="AD771" i="33"/>
  <c r="AD453" i="33"/>
  <c r="AE453" i="33" s="1"/>
  <c r="AD452" i="33"/>
  <c r="AD451" i="33"/>
  <c r="AD450" i="33"/>
  <c r="AD449" i="33"/>
  <c r="AD447" i="33"/>
  <c r="AD446" i="33"/>
  <c r="AD445" i="33"/>
  <c r="AD444" i="33"/>
  <c r="AD443" i="33"/>
  <c r="AD442" i="33"/>
  <c r="AD441" i="33"/>
  <c r="AD440" i="33"/>
  <c r="AD439" i="33"/>
  <c r="AD438" i="33"/>
  <c r="AD437" i="33"/>
  <c r="AD436" i="33"/>
  <c r="AD435" i="33"/>
  <c r="AD434" i="33"/>
  <c r="AD692" i="33"/>
  <c r="AE692" i="33" s="1"/>
  <c r="AD691" i="33"/>
  <c r="AD686" i="33"/>
  <c r="AD685" i="33"/>
  <c r="AD684" i="33"/>
  <c r="AD683" i="33"/>
  <c r="R682" i="33"/>
  <c r="D682" i="33" s="1"/>
  <c r="AD679" i="33"/>
  <c r="AD673" i="33"/>
  <c r="AD672" i="33"/>
  <c r="T671" i="33"/>
  <c r="S671" i="33"/>
  <c r="R671" i="33"/>
  <c r="Q671" i="33"/>
  <c r="P671" i="33"/>
  <c r="O671" i="33"/>
  <c r="N671" i="33"/>
  <c r="M671" i="33"/>
  <c r="L671" i="33"/>
  <c r="K671" i="33"/>
  <c r="J671" i="33"/>
  <c r="I671" i="33"/>
  <c r="H671" i="33"/>
  <c r="G671" i="33"/>
  <c r="AD670" i="33"/>
  <c r="AD666" i="33"/>
  <c r="AD665" i="33"/>
  <c r="AD664" i="33"/>
  <c r="AD663" i="33"/>
  <c r="AD662" i="33"/>
  <c r="AD661" i="33"/>
  <c r="AD660" i="33"/>
  <c r="AD659" i="33"/>
  <c r="AD656" i="33"/>
  <c r="AE656" i="33" s="1"/>
  <c r="D655" i="33"/>
  <c r="D648" i="33"/>
  <c r="D647" i="33"/>
  <c r="D646" i="33"/>
  <c r="D645" i="33"/>
  <c r="D642" i="33"/>
  <c r="AG642" i="33" s="1"/>
  <c r="D641" i="33"/>
  <c r="AG641" i="33" s="1"/>
  <c r="AD639" i="33"/>
  <c r="AD638" i="33"/>
  <c r="D637" i="33"/>
  <c r="AG637" i="33" s="1"/>
  <c r="AD634" i="33"/>
  <c r="AD632" i="33"/>
  <c r="AD627" i="33"/>
  <c r="AD626" i="33"/>
  <c r="AD623" i="33"/>
  <c r="AD622" i="33"/>
  <c r="D621" i="33"/>
  <c r="AD619" i="33"/>
  <c r="AE619" i="33" s="1"/>
  <c r="AD616" i="33"/>
  <c r="AD615" i="33"/>
  <c r="AD613" i="33"/>
  <c r="AD612" i="33"/>
  <c r="AD609" i="33"/>
  <c r="AD608" i="33"/>
  <c r="AD607" i="33"/>
  <c r="AD610" i="33"/>
  <c r="AD606" i="33"/>
  <c r="AD605" i="33"/>
  <c r="AD604" i="33"/>
  <c r="AD603" i="33"/>
  <c r="AD602" i="33"/>
  <c r="AD601" i="33"/>
  <c r="AD600" i="33"/>
  <c r="AD599" i="33"/>
  <c r="AD598" i="33"/>
  <c r="AD597" i="33"/>
  <c r="AD594" i="33"/>
  <c r="AE594" i="33" s="1"/>
  <c r="AD591" i="33"/>
  <c r="AD590" i="33"/>
  <c r="AD587" i="33"/>
  <c r="AD485" i="33"/>
  <c r="AD554" i="33"/>
  <c r="AD529" i="33"/>
  <c r="AD524" i="33"/>
  <c r="AD523" i="33"/>
  <c r="AD553" i="33"/>
  <c r="AD522" i="33"/>
  <c r="AD521" i="33"/>
  <c r="AD552" i="33"/>
  <c r="AD484" i="33"/>
  <c r="AD520" i="33"/>
  <c r="AD483" i="33"/>
  <c r="AD580" i="33"/>
  <c r="AD579" i="33"/>
  <c r="AD578" i="33"/>
  <c r="AD577" i="33"/>
  <c r="AD576" i="33"/>
  <c r="AD518" i="33"/>
  <c r="AD517" i="33"/>
  <c r="AD549" i="33"/>
  <c r="AD481" i="33"/>
  <c r="AD571" i="33"/>
  <c r="AD570" i="33"/>
  <c r="AD569" i="33"/>
  <c r="AD568" i="33"/>
  <c r="AD515" i="33"/>
  <c r="AD514" i="33"/>
  <c r="AD479" i="33"/>
  <c r="AD565" i="33"/>
  <c r="AD564" i="33"/>
  <c r="AD563" i="33"/>
  <c r="AD562" i="33"/>
  <c r="AD512" i="33"/>
  <c r="AD511" i="33"/>
  <c r="AD586" i="33"/>
  <c r="AD546" i="33"/>
  <c r="AD545" i="33"/>
  <c r="AD561" i="33"/>
  <c r="AD559" i="33"/>
  <c r="AD510" i="33"/>
  <c r="AD509" i="33"/>
  <c r="AD508" i="33"/>
  <c r="AD543" i="33"/>
  <c r="AD475" i="33"/>
  <c r="AD507" i="33"/>
  <c r="AD505" i="33"/>
  <c r="AD504" i="33"/>
  <c r="AD542" i="33"/>
  <c r="AD541" i="33"/>
  <c r="AD474" i="33"/>
  <c r="AD472" i="33"/>
  <c r="AD503" i="33"/>
  <c r="AD501" i="33"/>
  <c r="AD500" i="33"/>
  <c r="AD498" i="33"/>
  <c r="AD497" i="33"/>
  <c r="AD540" i="33"/>
  <c r="AD538" i="33"/>
  <c r="AD471" i="33"/>
  <c r="AD463" i="33"/>
  <c r="AD462" i="33"/>
  <c r="AD496" i="33"/>
  <c r="AD494" i="33"/>
  <c r="AD491" i="33"/>
  <c r="AD589" i="33"/>
  <c r="AD588" i="33"/>
  <c r="AD585" i="33"/>
  <c r="AD584" i="33"/>
  <c r="AD583" i="33"/>
  <c r="AD582" i="33"/>
  <c r="AD457" i="33"/>
  <c r="AD456" i="33"/>
  <c r="AD581" i="33"/>
  <c r="AD535" i="33"/>
  <c r="AD533" i="33"/>
  <c r="AD532" i="33"/>
  <c r="AD537" i="33"/>
  <c r="AD534" i="33"/>
  <c r="AD531" i="33"/>
  <c r="AD455" i="33"/>
  <c r="AD461" i="33"/>
  <c r="AD459" i="33"/>
  <c r="AD458" i="33"/>
  <c r="AD530" i="33"/>
  <c r="AD528" i="33"/>
  <c r="AD527" i="33"/>
  <c r="AD490" i="33"/>
  <c r="AD489" i="33"/>
  <c r="AD488" i="33"/>
  <c r="AD487" i="33"/>
  <c r="AD432" i="33"/>
  <c r="AE432" i="33" s="1"/>
  <c r="I424" i="33"/>
  <c r="D424" i="33" s="1"/>
  <c r="AG424" i="33" s="1"/>
  <c r="AD423" i="33"/>
  <c r="AD421" i="33"/>
  <c r="AD420" i="33"/>
  <c r="AD419" i="33"/>
  <c r="AD418" i="33"/>
  <c r="Q417" i="33"/>
  <c r="P417" i="33"/>
  <c r="O417" i="33"/>
  <c r="N417" i="33"/>
  <c r="M417" i="33"/>
  <c r="AD416" i="33"/>
  <c r="AD413" i="33"/>
  <c r="D412" i="33"/>
  <c r="D411" i="33"/>
  <c r="D410" i="33"/>
  <c r="AG410" i="33" s="1"/>
  <c r="AD409" i="33"/>
  <c r="D406" i="33"/>
  <c r="AG406" i="33" s="1"/>
  <c r="D405" i="33"/>
  <c r="AG405" i="33" s="1"/>
  <c r="D403" i="33"/>
  <c r="AG403" i="33" s="1"/>
  <c r="P33" i="33"/>
  <c r="P34" i="33" s="1"/>
  <c r="AD399" i="33"/>
  <c r="AD396" i="33"/>
  <c r="AE396" i="33" s="1"/>
  <c r="AD395" i="33"/>
  <c r="AD394" i="33"/>
  <c r="AD393" i="33"/>
  <c r="AD392" i="33"/>
  <c r="AD391" i="33"/>
  <c r="AD390" i="33"/>
  <c r="AD389" i="33"/>
  <c r="AD388" i="33"/>
  <c r="AD387" i="33"/>
  <c r="AD386" i="33"/>
  <c r="T384" i="33"/>
  <c r="T385" i="33" s="1"/>
  <c r="S384" i="33"/>
  <c r="R384" i="33"/>
  <c r="R385" i="33" s="1"/>
  <c r="Q384" i="33"/>
  <c r="Q385" i="33" s="1"/>
  <c r="P384" i="33"/>
  <c r="P385" i="33" s="1"/>
  <c r="O384" i="33"/>
  <c r="O385" i="33" s="1"/>
  <c r="N384" i="33"/>
  <c r="N385" i="33" s="1"/>
  <c r="M384" i="33"/>
  <c r="M385" i="33" s="1"/>
  <c r="L384" i="33"/>
  <c r="L385" i="33" s="1"/>
  <c r="K384" i="33"/>
  <c r="K385" i="33" s="1"/>
  <c r="J384" i="33"/>
  <c r="J385" i="33" s="1"/>
  <c r="I385" i="33"/>
  <c r="G384" i="33"/>
  <c r="AD383" i="33"/>
  <c r="AD382" i="33"/>
  <c r="N381" i="33"/>
  <c r="L381" i="33"/>
  <c r="D380" i="33"/>
  <c r="AD379" i="33"/>
  <c r="R378" i="33"/>
  <c r="D378" i="33" s="1"/>
  <c r="AG378" i="33" s="1"/>
  <c r="AD376" i="33"/>
  <c r="AD374" i="33"/>
  <c r="AD373" i="33"/>
  <c r="AD372" i="33"/>
  <c r="J371" i="33"/>
  <c r="D371" i="33" s="1"/>
  <c r="AG371" i="33" s="1"/>
  <c r="AD370" i="33"/>
  <c r="AD369" i="33"/>
  <c r="H368" i="33"/>
  <c r="P367" i="33"/>
  <c r="O367" i="33"/>
  <c r="N367" i="33"/>
  <c r="M367" i="33"/>
  <c r="L367" i="33"/>
  <c r="H366" i="33"/>
  <c r="AD365" i="33"/>
  <c r="AD364" i="33"/>
  <c r="AD363" i="33"/>
  <c r="AD362" i="33"/>
  <c r="AD361" i="33"/>
  <c r="AD360" i="33"/>
  <c r="AD359" i="33"/>
  <c r="AD358" i="33"/>
  <c r="R357" i="33"/>
  <c r="Q357" i="33"/>
  <c r="H357" i="33"/>
  <c r="Q356" i="33"/>
  <c r="H356" i="33"/>
  <c r="R355" i="33"/>
  <c r="M355" i="33"/>
  <c r="L355" i="33"/>
  <c r="J355" i="33"/>
  <c r="Q354" i="33"/>
  <c r="D354" i="33" s="1"/>
  <c r="AG354" i="33" s="1"/>
  <c r="R352" i="33"/>
  <c r="D352" i="33" s="1"/>
  <c r="AD350" i="33"/>
  <c r="AE350" i="33" s="1"/>
  <c r="AD349" i="33"/>
  <c r="AD348" i="33"/>
  <c r="AD347" i="33"/>
  <c r="AD346" i="33"/>
  <c r="AD345" i="33"/>
  <c r="AD344" i="33"/>
  <c r="T343" i="33"/>
  <c r="S343" i="33"/>
  <c r="R343" i="33"/>
  <c r="Q343" i="33"/>
  <c r="P343" i="33"/>
  <c r="O343" i="33"/>
  <c r="N343" i="33"/>
  <c r="M343" i="33"/>
  <c r="L343" i="33"/>
  <c r="K343" i="33"/>
  <c r="J343" i="33"/>
  <c r="I343" i="33"/>
  <c r="H343" i="33"/>
  <c r="G343" i="33"/>
  <c r="AD342" i="33"/>
  <c r="AD341" i="33"/>
  <c r="AD340" i="33"/>
  <c r="T338" i="33"/>
  <c r="T339" i="33" s="1"/>
  <c r="S338" i="33"/>
  <c r="S339" i="33" s="1"/>
  <c r="K338" i="33"/>
  <c r="K339" i="33" s="1"/>
  <c r="J338" i="33"/>
  <c r="J339" i="33" s="1"/>
  <c r="I338" i="33"/>
  <c r="I339" i="33" s="1"/>
  <c r="H338" i="33"/>
  <c r="H339" i="33" s="1"/>
  <c r="G338" i="33"/>
  <c r="R337" i="33"/>
  <c r="AD336" i="33"/>
  <c r="AD335" i="33"/>
  <c r="O334" i="33"/>
  <c r="Q332" i="33"/>
  <c r="Q338" i="33" s="1"/>
  <c r="Q339" i="33" s="1"/>
  <c r="P332" i="33"/>
  <c r="P338" i="33" s="1"/>
  <c r="P339" i="33" s="1"/>
  <c r="N332" i="33"/>
  <c r="N338" i="33" s="1"/>
  <c r="N339" i="33" s="1"/>
  <c r="M332" i="33"/>
  <c r="L338" i="33"/>
  <c r="L339" i="33" s="1"/>
  <c r="AD331" i="33"/>
  <c r="T330" i="33"/>
  <c r="S330" i="33"/>
  <c r="R330" i="33"/>
  <c r="P330" i="33"/>
  <c r="N330" i="33"/>
  <c r="M330" i="33"/>
  <c r="K330" i="33"/>
  <c r="I330" i="33"/>
  <c r="H330" i="33"/>
  <c r="G330" i="33"/>
  <c r="S329" i="33"/>
  <c r="R329" i="33"/>
  <c r="Q329" i="33"/>
  <c r="P329" i="33"/>
  <c r="O329" i="33"/>
  <c r="N329" i="33"/>
  <c r="M329" i="33"/>
  <c r="L329" i="33"/>
  <c r="K329" i="33"/>
  <c r="J329" i="33"/>
  <c r="I329" i="33"/>
  <c r="H329" i="33"/>
  <c r="AD327" i="33"/>
  <c r="AD326" i="33"/>
  <c r="AD324" i="33"/>
  <c r="AD323" i="33"/>
  <c r="AD321" i="33"/>
  <c r="AD320" i="33"/>
  <c r="AD319" i="33"/>
  <c r="AD318" i="33"/>
  <c r="AD317" i="33"/>
  <c r="G316" i="33"/>
  <c r="T314" i="33"/>
  <c r="S314" i="33"/>
  <c r="R314" i="33"/>
  <c r="Q314" i="33"/>
  <c r="P314" i="33"/>
  <c r="O314" i="33"/>
  <c r="N314" i="33"/>
  <c r="M314" i="33"/>
  <c r="L314" i="33"/>
  <c r="K314" i="33"/>
  <c r="J314" i="33"/>
  <c r="I314" i="33"/>
  <c r="H314" i="33"/>
  <c r="H312" i="33" s="1"/>
  <c r="G314" i="33"/>
  <c r="AD313" i="33"/>
  <c r="G307" i="33"/>
  <c r="T306" i="33"/>
  <c r="S306" i="33"/>
  <c r="S308" i="33" s="1"/>
  <c r="R306" i="33"/>
  <c r="R308" i="33" s="1"/>
  <c r="Q306" i="33"/>
  <c r="Q308" i="33" s="1"/>
  <c r="P306" i="33"/>
  <c r="P308" i="33" s="1"/>
  <c r="O306" i="33"/>
  <c r="O308" i="33" s="1"/>
  <c r="N306" i="33"/>
  <c r="N308" i="33" s="1"/>
  <c r="M306" i="33"/>
  <c r="M308" i="33" s="1"/>
  <c r="L306" i="33"/>
  <c r="L308" i="33" s="1"/>
  <c r="K306" i="33"/>
  <c r="K308" i="33" s="1"/>
  <c r="J306" i="33"/>
  <c r="J308" i="33" s="1"/>
  <c r="I306" i="33"/>
  <c r="I308" i="33" s="1"/>
  <c r="H306" i="33"/>
  <c r="H308" i="33" s="1"/>
  <c r="G306" i="33"/>
  <c r="T311" i="33"/>
  <c r="R311" i="33"/>
  <c r="Q311" i="33"/>
  <c r="P311" i="33"/>
  <c r="O311" i="33"/>
  <c r="K311" i="33"/>
  <c r="J311" i="33"/>
  <c r="I311" i="33"/>
  <c r="G305" i="33"/>
  <c r="AD303" i="33"/>
  <c r="AD302" i="33"/>
  <c r="T301" i="33"/>
  <c r="S301" i="33"/>
  <c r="R301" i="33"/>
  <c r="Q301" i="33"/>
  <c r="P301" i="33"/>
  <c r="O301" i="33"/>
  <c r="N301" i="33"/>
  <c r="M301" i="33"/>
  <c r="K301" i="33"/>
  <c r="J301" i="33"/>
  <c r="I301" i="33"/>
  <c r="H301" i="33"/>
  <c r="G301" i="33"/>
  <c r="AD292" i="33"/>
  <c r="AD290" i="33"/>
  <c r="T289" i="33"/>
  <c r="S289" i="33"/>
  <c r="R289" i="33"/>
  <c r="Q289" i="33"/>
  <c r="P289" i="33"/>
  <c r="O289" i="33"/>
  <c r="N289" i="33"/>
  <c r="M289" i="33"/>
  <c r="L289" i="33"/>
  <c r="K289" i="33"/>
  <c r="J289" i="33"/>
  <c r="I289" i="33"/>
  <c r="H289" i="33"/>
  <c r="G289" i="33"/>
  <c r="AD288" i="33"/>
  <c r="AD277" i="33"/>
  <c r="AD276" i="33"/>
  <c r="AD275" i="33"/>
  <c r="R274" i="33"/>
  <c r="R273" i="33"/>
  <c r="D273" i="33" s="1"/>
  <c r="AG273" i="33" s="1"/>
  <c r="R272" i="33"/>
  <c r="D272" i="33" s="1"/>
  <c r="AG272" i="33" s="1"/>
  <c r="R271" i="33"/>
  <c r="AD266" i="33"/>
  <c r="AD265" i="33"/>
  <c r="AD262" i="33"/>
  <c r="O261" i="33"/>
  <c r="D261" i="33" s="1"/>
  <c r="AG261" i="33" s="1"/>
  <c r="AD260" i="33"/>
  <c r="T259" i="33"/>
  <c r="S259" i="33"/>
  <c r="R259" i="33"/>
  <c r="Q259" i="33"/>
  <c r="P259" i="33"/>
  <c r="O259" i="33"/>
  <c r="N259" i="33"/>
  <c r="M259" i="33"/>
  <c r="K259" i="33"/>
  <c r="J259" i="33"/>
  <c r="I259" i="33"/>
  <c r="H259" i="33"/>
  <c r="G259" i="33"/>
  <c r="T258" i="33"/>
  <c r="S258" i="33"/>
  <c r="R258" i="33"/>
  <c r="Q258" i="33"/>
  <c r="P258" i="33"/>
  <c r="O258" i="33"/>
  <c r="N258" i="33"/>
  <c r="M258" i="33"/>
  <c r="L258" i="33"/>
  <c r="K258" i="33"/>
  <c r="J258" i="33"/>
  <c r="I258" i="33"/>
  <c r="H258" i="33"/>
  <c r="G258" i="33"/>
  <c r="T257" i="33"/>
  <c r="S257" i="33"/>
  <c r="R257" i="33"/>
  <c r="Q257" i="33"/>
  <c r="P257" i="33"/>
  <c r="O257" i="33"/>
  <c r="N257" i="33"/>
  <c r="M257" i="33"/>
  <c r="L257" i="33"/>
  <c r="K257" i="33"/>
  <c r="J257" i="33"/>
  <c r="I257" i="33"/>
  <c r="H257" i="33"/>
  <c r="G257" i="33"/>
  <c r="T256" i="33"/>
  <c r="S256" i="33"/>
  <c r="R256" i="33"/>
  <c r="Q256" i="33"/>
  <c r="P256" i="33"/>
  <c r="N256" i="33"/>
  <c r="M256" i="33"/>
  <c r="L256" i="33"/>
  <c r="K256" i="33"/>
  <c r="J256" i="33"/>
  <c r="I256" i="33"/>
  <c r="H256" i="33"/>
  <c r="G256" i="33"/>
  <c r="T255" i="33"/>
  <c r="S255" i="33"/>
  <c r="R255" i="33"/>
  <c r="Q255" i="33"/>
  <c r="P255" i="33"/>
  <c r="O255" i="33"/>
  <c r="N255" i="33"/>
  <c r="M255" i="33"/>
  <c r="L255" i="33"/>
  <c r="K255" i="33"/>
  <c r="I255" i="33"/>
  <c r="H255" i="33"/>
  <c r="G255" i="33"/>
  <c r="T254" i="33"/>
  <c r="S254" i="33"/>
  <c r="R254" i="33"/>
  <c r="Q254" i="33"/>
  <c r="P254" i="33"/>
  <c r="N254" i="33"/>
  <c r="M254" i="33"/>
  <c r="L254" i="33"/>
  <c r="K254" i="33"/>
  <c r="J254" i="33"/>
  <c r="I254" i="33"/>
  <c r="H254" i="33"/>
  <c r="G254" i="33"/>
  <c r="T253" i="33"/>
  <c r="S253" i="33"/>
  <c r="R253" i="33"/>
  <c r="P253" i="33"/>
  <c r="O253" i="33"/>
  <c r="N253" i="33"/>
  <c r="M253" i="33"/>
  <c r="L253" i="33"/>
  <c r="K253" i="33"/>
  <c r="J253" i="33"/>
  <c r="I253" i="33"/>
  <c r="H253" i="33"/>
  <c r="G253" i="33"/>
  <c r="AD252" i="33"/>
  <c r="AD251" i="33"/>
  <c r="AD250" i="33"/>
  <c r="AD249" i="33"/>
  <c r="AD248" i="33"/>
  <c r="O247" i="33"/>
  <c r="AD246" i="33"/>
  <c r="AD244" i="33"/>
  <c r="AD243" i="33"/>
  <c r="O242" i="33"/>
  <c r="D242" i="33" s="1"/>
  <c r="AG241" i="33"/>
  <c r="AD240" i="33"/>
  <c r="Q239" i="33"/>
  <c r="AD237" i="33"/>
  <c r="AE237" i="33" s="1"/>
  <c r="AD234" i="33"/>
  <c r="AD233" i="33"/>
  <c r="AD232" i="33"/>
  <c r="AD231" i="33"/>
  <c r="AD230" i="33"/>
  <c r="AD229" i="33"/>
  <c r="AD228" i="33"/>
  <c r="AD227" i="33"/>
  <c r="AD225" i="33"/>
  <c r="AD224" i="33"/>
  <c r="AD222" i="33"/>
  <c r="AE222" i="33" s="1"/>
  <c r="AD221" i="33"/>
  <c r="AD220" i="33"/>
  <c r="AD219" i="33"/>
  <c r="AD218" i="33"/>
  <c r="AD216" i="33"/>
  <c r="AE216" i="33" s="1"/>
  <c r="AD215" i="33"/>
  <c r="T214" i="33"/>
  <c r="S214" i="33"/>
  <c r="R214" i="33"/>
  <c r="Q214" i="33"/>
  <c r="P214" i="33"/>
  <c r="O214" i="33"/>
  <c r="N214" i="33"/>
  <c r="M214" i="33"/>
  <c r="L214" i="33"/>
  <c r="K214" i="33"/>
  <c r="J214" i="33"/>
  <c r="I214" i="33"/>
  <c r="H214" i="33"/>
  <c r="G214" i="33"/>
  <c r="Q213" i="33"/>
  <c r="P213" i="33"/>
  <c r="O213" i="33"/>
  <c r="N213" i="33"/>
  <c r="M213" i="33"/>
  <c r="AD212" i="33"/>
  <c r="AD211" i="33"/>
  <c r="T210" i="33"/>
  <c r="S210" i="33"/>
  <c r="R210" i="33"/>
  <c r="Q210" i="33"/>
  <c r="P210" i="33"/>
  <c r="O210" i="33"/>
  <c r="N210" i="33"/>
  <c r="M210" i="33"/>
  <c r="L210" i="33"/>
  <c r="K210" i="33"/>
  <c r="J210" i="33"/>
  <c r="I210" i="33"/>
  <c r="H210" i="33"/>
  <c r="AD209" i="33"/>
  <c r="T207" i="33"/>
  <c r="T208" i="33" s="1"/>
  <c r="S207" i="33"/>
  <c r="S208" i="33" s="1"/>
  <c r="R207" i="33"/>
  <c r="R208" i="33" s="1"/>
  <c r="Q207" i="33"/>
  <c r="Q208" i="33" s="1"/>
  <c r="P207" i="33"/>
  <c r="P208" i="33" s="1"/>
  <c r="O207" i="33"/>
  <c r="O208" i="33" s="1"/>
  <c r="N207" i="33"/>
  <c r="N208" i="33" s="1"/>
  <c r="M207" i="33"/>
  <c r="M208" i="33" s="1"/>
  <c r="L207" i="33"/>
  <c r="L208" i="33" s="1"/>
  <c r="K207" i="33"/>
  <c r="K208" i="33" s="1"/>
  <c r="J207" i="33"/>
  <c r="J208" i="33" s="1"/>
  <c r="I207" i="33"/>
  <c r="I208" i="33" s="1"/>
  <c r="H207" i="33"/>
  <c r="H208" i="33" s="1"/>
  <c r="G207" i="33"/>
  <c r="AD206" i="33"/>
  <c r="AD205" i="33"/>
  <c r="AD204" i="33"/>
  <c r="T203" i="33"/>
  <c r="S203" i="33"/>
  <c r="Q203" i="33"/>
  <c r="P203" i="33"/>
  <c r="O203" i="33"/>
  <c r="N203" i="33"/>
  <c r="M203" i="33"/>
  <c r="L203" i="33"/>
  <c r="K203" i="33"/>
  <c r="J203" i="33"/>
  <c r="H203" i="33"/>
  <c r="G203" i="33"/>
  <c r="T198" i="33"/>
  <c r="T201" i="33" s="1"/>
  <c r="S198" i="33"/>
  <c r="S201" i="33" s="1"/>
  <c r="R198" i="33"/>
  <c r="R201" i="33" s="1"/>
  <c r="Q198" i="33"/>
  <c r="Q199" i="33" s="1"/>
  <c r="P198" i="33"/>
  <c r="P201" i="33" s="1"/>
  <c r="O198" i="33"/>
  <c r="O201" i="33" s="1"/>
  <c r="N198" i="33"/>
  <c r="N201" i="33" s="1"/>
  <c r="M198" i="33"/>
  <c r="M201" i="33" s="1"/>
  <c r="L198" i="33"/>
  <c r="L201" i="33" s="1"/>
  <c r="I198" i="33"/>
  <c r="I201" i="33" s="1"/>
  <c r="G198" i="33"/>
  <c r="T197" i="33"/>
  <c r="S197" i="33"/>
  <c r="R197" i="33"/>
  <c r="Q197" i="33"/>
  <c r="P197" i="33"/>
  <c r="O197" i="33"/>
  <c r="N197" i="33"/>
  <c r="M197" i="33"/>
  <c r="L197" i="33"/>
  <c r="I197" i="33"/>
  <c r="G197" i="33"/>
  <c r="AD196" i="33"/>
  <c r="AD195" i="33"/>
  <c r="AD194" i="33"/>
  <c r="T193" i="33"/>
  <c r="T202" i="33" s="1"/>
  <c r="S193" i="33"/>
  <c r="S202" i="33" s="1"/>
  <c r="R193" i="33"/>
  <c r="R202" i="33" s="1"/>
  <c r="Q193" i="33"/>
  <c r="Q202" i="33" s="1"/>
  <c r="P193" i="33"/>
  <c r="P202" i="33" s="1"/>
  <c r="O193" i="33"/>
  <c r="O202" i="33" s="1"/>
  <c r="N193" i="33"/>
  <c r="N202" i="33" s="1"/>
  <c r="M193" i="33"/>
  <c r="M202" i="33" s="1"/>
  <c r="L193" i="33"/>
  <c r="L202" i="33" s="1"/>
  <c r="I193" i="33"/>
  <c r="I202" i="33" s="1"/>
  <c r="G193" i="33"/>
  <c r="K193" i="33"/>
  <c r="K202" i="33" s="1"/>
  <c r="J198" i="33"/>
  <c r="AD187" i="33"/>
  <c r="AD186" i="33"/>
  <c r="AD185" i="33"/>
  <c r="T184" i="33"/>
  <c r="S184" i="33"/>
  <c r="R184" i="33"/>
  <c r="Q184" i="33"/>
  <c r="P184" i="33"/>
  <c r="O184" i="33"/>
  <c r="N184" i="33"/>
  <c r="M184" i="33"/>
  <c r="L184" i="33"/>
  <c r="K184" i="33"/>
  <c r="J184" i="33"/>
  <c r="I184" i="33"/>
  <c r="H184" i="33"/>
  <c r="G184" i="33"/>
  <c r="AD183" i="33"/>
  <c r="AD182" i="33"/>
  <c r="T181" i="33"/>
  <c r="S181" i="33"/>
  <c r="R181" i="33"/>
  <c r="Q181" i="33"/>
  <c r="P181" i="33"/>
  <c r="O181" i="33"/>
  <c r="N181" i="33"/>
  <c r="M181" i="33"/>
  <c r="L181" i="33"/>
  <c r="K181" i="33"/>
  <c r="J181" i="33"/>
  <c r="I181" i="33"/>
  <c r="H181" i="33"/>
  <c r="G181" i="33"/>
  <c r="T180" i="33"/>
  <c r="S180" i="33"/>
  <c r="R180" i="33"/>
  <c r="Q180" i="33"/>
  <c r="P180" i="33"/>
  <c r="O180" i="33"/>
  <c r="N180" i="33"/>
  <c r="M180" i="33"/>
  <c r="L180" i="33"/>
  <c r="K180" i="33"/>
  <c r="J180" i="33"/>
  <c r="H180" i="33"/>
  <c r="G180" i="33"/>
  <c r="T179" i="33"/>
  <c r="S179" i="33"/>
  <c r="Q179" i="33"/>
  <c r="P179" i="33"/>
  <c r="O179" i="33"/>
  <c r="N179" i="33"/>
  <c r="M179" i="33"/>
  <c r="L179" i="33"/>
  <c r="K179" i="33"/>
  <c r="J179" i="33"/>
  <c r="I179" i="33"/>
  <c r="H179" i="33"/>
  <c r="G179" i="33"/>
  <c r="AD178" i="33"/>
  <c r="AD177" i="33"/>
  <c r="AD176" i="33"/>
  <c r="AD175" i="33"/>
  <c r="I174" i="33"/>
  <c r="D174" i="33" s="1"/>
  <c r="R173" i="33"/>
  <c r="D173" i="33" s="1"/>
  <c r="AD171" i="33"/>
  <c r="AE171" i="33" s="1"/>
  <c r="I168" i="33"/>
  <c r="AD167" i="33"/>
  <c r="AD166" i="33"/>
  <c r="AD165" i="33"/>
  <c r="AD164" i="33"/>
  <c r="AD163" i="33"/>
  <c r="D162" i="33"/>
  <c r="Q161" i="33"/>
  <c r="P161" i="33"/>
  <c r="N161" i="33"/>
  <c r="M161" i="33"/>
  <c r="AD158" i="33"/>
  <c r="AE158" i="33" s="1"/>
  <c r="AD157" i="33"/>
  <c r="D156" i="33"/>
  <c r="T154" i="33"/>
  <c r="S154" i="33"/>
  <c r="R154" i="33"/>
  <c r="Q154" i="33"/>
  <c r="P154" i="33"/>
  <c r="O154" i="33"/>
  <c r="N154" i="33"/>
  <c r="M154" i="33"/>
  <c r="L154" i="33"/>
  <c r="J154" i="33"/>
  <c r="I154" i="33"/>
  <c r="K154" i="33"/>
  <c r="T151" i="33"/>
  <c r="T152" i="33" s="1"/>
  <c r="S151" i="33"/>
  <c r="S152" i="33" s="1"/>
  <c r="R151" i="33"/>
  <c r="R152" i="33" s="1"/>
  <c r="Q151" i="33"/>
  <c r="Q152" i="33" s="1"/>
  <c r="P151" i="33"/>
  <c r="P152" i="33" s="1"/>
  <c r="O151" i="33"/>
  <c r="O152" i="33" s="1"/>
  <c r="N151" i="33"/>
  <c r="N152" i="33" s="1"/>
  <c r="M151" i="33"/>
  <c r="M152" i="33" s="1"/>
  <c r="K151" i="33"/>
  <c r="K152" i="33" s="1"/>
  <c r="J151" i="33"/>
  <c r="J152" i="33" s="1"/>
  <c r="I151" i="33"/>
  <c r="I152" i="33" s="1"/>
  <c r="G151" i="33"/>
  <c r="D150" i="33"/>
  <c r="AG150" i="33" s="1"/>
  <c r="D149" i="33"/>
  <c r="AG149" i="33" s="1"/>
  <c r="L151" i="33"/>
  <c r="L152" i="33" s="1"/>
  <c r="T147" i="33"/>
  <c r="S147" i="33"/>
  <c r="R147" i="33"/>
  <c r="Q147" i="33"/>
  <c r="P147" i="33"/>
  <c r="O147" i="33"/>
  <c r="N147" i="33"/>
  <c r="M147" i="33"/>
  <c r="G147" i="33"/>
  <c r="T142" i="33"/>
  <c r="S142" i="33"/>
  <c r="R142" i="33"/>
  <c r="R145" i="33" s="1"/>
  <c r="Q142" i="33"/>
  <c r="Q144" i="33" s="1"/>
  <c r="P142" i="33"/>
  <c r="P143" i="33" s="1"/>
  <c r="O142" i="33"/>
  <c r="O145" i="33" s="1"/>
  <c r="N142" i="33"/>
  <c r="M142" i="33"/>
  <c r="L142" i="33"/>
  <c r="L145" i="33" s="1"/>
  <c r="K142" i="33"/>
  <c r="K144" i="33" s="1"/>
  <c r="J142" i="33"/>
  <c r="J143" i="33" s="1"/>
  <c r="I142" i="33"/>
  <c r="I145" i="33" s="1"/>
  <c r="G142" i="33"/>
  <c r="T141" i="33"/>
  <c r="S141" i="33"/>
  <c r="R141" i="33"/>
  <c r="Q141" i="33"/>
  <c r="P141" i="33"/>
  <c r="O141" i="33"/>
  <c r="N141" i="33"/>
  <c r="M141" i="33"/>
  <c r="L141" i="33"/>
  <c r="K141" i="33"/>
  <c r="J141" i="33"/>
  <c r="I141" i="33"/>
  <c r="G141" i="33"/>
  <c r="D139" i="33"/>
  <c r="AD138" i="33"/>
  <c r="D137" i="33"/>
  <c r="AG137" i="33" s="1"/>
  <c r="T136" i="33"/>
  <c r="T146" i="33" s="1"/>
  <c r="S136" i="33"/>
  <c r="S146" i="33" s="1"/>
  <c r="R136" i="33"/>
  <c r="R146" i="33" s="1"/>
  <c r="Q136" i="33"/>
  <c r="Q146" i="33" s="1"/>
  <c r="P136" i="33"/>
  <c r="P146" i="33" s="1"/>
  <c r="O136" i="33"/>
  <c r="O146" i="33" s="1"/>
  <c r="N136" i="33"/>
  <c r="N146" i="33" s="1"/>
  <c r="M136" i="33"/>
  <c r="M146" i="33" s="1"/>
  <c r="L136" i="33"/>
  <c r="L146" i="33" s="1"/>
  <c r="K136" i="33"/>
  <c r="K146" i="33" s="1"/>
  <c r="J136" i="33"/>
  <c r="J146" i="33" s="1"/>
  <c r="I136" i="33"/>
  <c r="I146" i="33" s="1"/>
  <c r="G136" i="33"/>
  <c r="H129" i="33"/>
  <c r="T128" i="33"/>
  <c r="T134" i="33" s="1"/>
  <c r="S128" i="33"/>
  <c r="S134" i="33" s="1"/>
  <c r="R128" i="33"/>
  <c r="R134" i="33" s="1"/>
  <c r="Q128" i="33"/>
  <c r="Q134" i="33" s="1"/>
  <c r="P128" i="33"/>
  <c r="P134" i="33" s="1"/>
  <c r="O128" i="33"/>
  <c r="O134" i="33" s="1"/>
  <c r="N128" i="33"/>
  <c r="N134" i="33" s="1"/>
  <c r="M128" i="33"/>
  <c r="M134" i="33" s="1"/>
  <c r="L128" i="33"/>
  <c r="L134" i="33" s="1"/>
  <c r="K128" i="33"/>
  <c r="K134" i="33" s="1"/>
  <c r="J128" i="33"/>
  <c r="J134" i="33" s="1"/>
  <c r="I128" i="33"/>
  <c r="I134" i="33" s="1"/>
  <c r="G128" i="33"/>
  <c r="H127" i="33"/>
  <c r="T126" i="33"/>
  <c r="T133" i="33" s="1"/>
  <c r="S126" i="33"/>
  <c r="S130" i="33" s="1"/>
  <c r="R126" i="33"/>
  <c r="Q126" i="33"/>
  <c r="Q130" i="33" s="1"/>
  <c r="Q131" i="33" s="1"/>
  <c r="P126" i="33"/>
  <c r="P130" i="33" s="1"/>
  <c r="P132" i="33" s="1"/>
  <c r="O126" i="33"/>
  <c r="N126" i="33"/>
  <c r="N130" i="33" s="1"/>
  <c r="M126" i="33"/>
  <c r="M133" i="33" s="1"/>
  <c r="L126" i="33"/>
  <c r="K126" i="33"/>
  <c r="K133" i="33" s="1"/>
  <c r="J126" i="33"/>
  <c r="J130" i="33" s="1"/>
  <c r="I126" i="33"/>
  <c r="G126" i="33"/>
  <c r="I125" i="33"/>
  <c r="H125" i="33"/>
  <c r="AD124" i="33"/>
  <c r="AD121" i="33"/>
  <c r="T120" i="33"/>
  <c r="S120" i="33"/>
  <c r="R120" i="33"/>
  <c r="Q120" i="33"/>
  <c r="P120" i="33"/>
  <c r="O120" i="33"/>
  <c r="N120" i="33"/>
  <c r="M120" i="33"/>
  <c r="L120" i="33"/>
  <c r="K120" i="33"/>
  <c r="J120" i="33"/>
  <c r="I120" i="33"/>
  <c r="H120" i="33"/>
  <c r="G120" i="33"/>
  <c r="AD119" i="33"/>
  <c r="T116" i="33"/>
  <c r="T127" i="33" s="1"/>
  <c r="S116" i="33"/>
  <c r="S129" i="33" s="1"/>
  <c r="R116" i="33"/>
  <c r="R127" i="33" s="1"/>
  <c r="Q116" i="33"/>
  <c r="Q127" i="33" s="1"/>
  <c r="P116" i="33"/>
  <c r="P129" i="33" s="1"/>
  <c r="O116" i="33"/>
  <c r="O127" i="33" s="1"/>
  <c r="N116" i="33"/>
  <c r="N129" i="33" s="1"/>
  <c r="M116" i="33"/>
  <c r="M129" i="33" s="1"/>
  <c r="L116" i="33"/>
  <c r="L127" i="33" s="1"/>
  <c r="K116" i="33"/>
  <c r="K129" i="33" s="1"/>
  <c r="J116" i="33"/>
  <c r="J129" i="33" s="1"/>
  <c r="I116" i="33"/>
  <c r="I127" i="33" s="1"/>
  <c r="G116" i="33"/>
  <c r="AD114" i="33"/>
  <c r="AD113" i="33"/>
  <c r="AD112" i="33"/>
  <c r="D111" i="33"/>
  <c r="T110" i="33"/>
  <c r="S110" i="33"/>
  <c r="R110" i="33"/>
  <c r="Q110" i="33"/>
  <c r="P110" i="33"/>
  <c r="O110" i="33"/>
  <c r="N110" i="33"/>
  <c r="M110" i="33"/>
  <c r="L110" i="33"/>
  <c r="K110" i="33"/>
  <c r="J110" i="33"/>
  <c r="G110" i="33"/>
  <c r="T109" i="33"/>
  <c r="S109" i="33"/>
  <c r="R109" i="33"/>
  <c r="Q109" i="33"/>
  <c r="P109" i="33"/>
  <c r="O109" i="33"/>
  <c r="N109" i="33"/>
  <c r="M109" i="33"/>
  <c r="L109" i="33"/>
  <c r="K109" i="33"/>
  <c r="J109" i="33"/>
  <c r="G109" i="33"/>
  <c r="T108" i="33"/>
  <c r="S108" i="33"/>
  <c r="R108" i="33"/>
  <c r="Q108" i="33"/>
  <c r="P108" i="33"/>
  <c r="O108" i="33"/>
  <c r="N108" i="33"/>
  <c r="M108" i="33"/>
  <c r="L108" i="33"/>
  <c r="K108" i="33"/>
  <c r="J108" i="33"/>
  <c r="I108" i="33"/>
  <c r="H108" i="33"/>
  <c r="G108" i="33"/>
  <c r="T107" i="33"/>
  <c r="S107" i="33"/>
  <c r="R107" i="33"/>
  <c r="Q107" i="33"/>
  <c r="P107" i="33"/>
  <c r="O107" i="33"/>
  <c r="N107" i="33"/>
  <c r="M107" i="33"/>
  <c r="I107" i="33"/>
  <c r="G107" i="33"/>
  <c r="AD106" i="33"/>
  <c r="D105" i="33"/>
  <c r="AD104" i="33"/>
  <c r="I102" i="33"/>
  <c r="I101" i="33"/>
  <c r="AD100" i="33"/>
  <c r="L147" i="33"/>
  <c r="K147" i="33"/>
  <c r="J147" i="33"/>
  <c r="AD97" i="33"/>
  <c r="AE97" i="33" s="1"/>
  <c r="AD96" i="33"/>
  <c r="AD95" i="33"/>
  <c r="G94" i="33"/>
  <c r="D94" i="33" s="1"/>
  <c r="AG94" i="33" s="1"/>
  <c r="K93" i="33"/>
  <c r="P92" i="33"/>
  <c r="O92" i="33"/>
  <c r="N92" i="33"/>
  <c r="M92" i="33"/>
  <c r="AD90" i="33"/>
  <c r="AE90" i="33" s="1"/>
  <c r="AD89" i="33"/>
  <c r="AD86" i="33"/>
  <c r="AD85" i="33"/>
  <c r="AD84" i="33"/>
  <c r="AD83" i="33"/>
  <c r="AD82" i="33"/>
  <c r="I80" i="33"/>
  <c r="H80" i="33"/>
  <c r="I79" i="33"/>
  <c r="H79" i="33"/>
  <c r="J78" i="33"/>
  <c r="I78" i="33"/>
  <c r="I77" i="33"/>
  <c r="AD75" i="33"/>
  <c r="N74" i="33"/>
  <c r="M74" i="33"/>
  <c r="I74" i="33"/>
  <c r="I73" i="33"/>
  <c r="AD72" i="33"/>
  <c r="I71" i="33"/>
  <c r="D71" i="33" s="1"/>
  <c r="I70" i="33"/>
  <c r="D70" i="33" s="1"/>
  <c r="I69" i="33"/>
  <c r="O68" i="33"/>
  <c r="O44" i="33" s="1"/>
  <c r="I68" i="33"/>
  <c r="H44" i="33"/>
  <c r="I67" i="33"/>
  <c r="I66" i="33"/>
  <c r="H66" i="33"/>
  <c r="AD65" i="33"/>
  <c r="H63" i="33"/>
  <c r="AD62" i="33"/>
  <c r="AD61" i="33"/>
  <c r="AD60" i="33"/>
  <c r="H59" i="33"/>
  <c r="D59" i="33" s="1"/>
  <c r="AG59" i="33" s="1"/>
  <c r="I57" i="33"/>
  <c r="D57" i="33" s="1"/>
  <c r="I55" i="33"/>
  <c r="O54" i="33"/>
  <c r="I54" i="33"/>
  <c r="AD51" i="33"/>
  <c r="AE51" i="33" s="1"/>
  <c r="I50" i="33"/>
  <c r="H50" i="33"/>
  <c r="S49" i="33"/>
  <c r="R49" i="33"/>
  <c r="Q49" i="33"/>
  <c r="P49" i="33"/>
  <c r="N49" i="33"/>
  <c r="T48" i="33"/>
  <c r="T49" i="33" s="1"/>
  <c r="O48" i="33"/>
  <c r="O49" i="33" s="1"/>
  <c r="M48" i="33"/>
  <c r="M49" i="33" s="1"/>
  <c r="L49" i="33"/>
  <c r="K49" i="33"/>
  <c r="J49" i="33"/>
  <c r="I49" i="33"/>
  <c r="T47" i="33"/>
  <c r="D47" i="33" s="1"/>
  <c r="AG47" i="33" s="1"/>
  <c r="AD46" i="33"/>
  <c r="AD45" i="33"/>
  <c r="T44" i="33"/>
  <c r="S44" i="33"/>
  <c r="R44" i="33"/>
  <c r="Q44" i="33"/>
  <c r="P44" i="33"/>
  <c r="N44" i="33"/>
  <c r="M44" i="33"/>
  <c r="L44" i="33"/>
  <c r="K44" i="33"/>
  <c r="J44" i="33"/>
  <c r="G44" i="33"/>
  <c r="AD43" i="33"/>
  <c r="S42" i="33"/>
  <c r="R42" i="33"/>
  <c r="G42" i="33"/>
  <c r="S41" i="33"/>
  <c r="R41" i="33"/>
  <c r="Q41" i="33"/>
  <c r="P41" i="33"/>
  <c r="O41" i="33"/>
  <c r="N41" i="33"/>
  <c r="M41" i="33"/>
  <c r="K41" i="33"/>
  <c r="T36" i="33"/>
  <c r="T39" i="33" s="1"/>
  <c r="S36" i="33"/>
  <c r="S39" i="33" s="1"/>
  <c r="R36" i="33"/>
  <c r="R39" i="33" s="1"/>
  <c r="N36" i="33"/>
  <c r="N39" i="33" s="1"/>
  <c r="G36" i="33"/>
  <c r="T35" i="33"/>
  <c r="S35" i="33"/>
  <c r="R35" i="33"/>
  <c r="N35" i="33"/>
  <c r="G35" i="33"/>
  <c r="T33" i="33"/>
  <c r="T81" i="33" s="1"/>
  <c r="S33" i="33"/>
  <c r="S81" i="33" s="1"/>
  <c r="R33" i="33"/>
  <c r="R34" i="33" s="1"/>
  <c r="Q33" i="33"/>
  <c r="Q81" i="33" s="1"/>
  <c r="G33" i="33"/>
  <c r="R32" i="33"/>
  <c r="Q32" i="33"/>
  <c r="P32" i="33"/>
  <c r="O32" i="33"/>
  <c r="M32" i="33"/>
  <c r="Q31" i="33"/>
  <c r="P31" i="33"/>
  <c r="O31" i="33"/>
  <c r="M31" i="33"/>
  <c r="Q30" i="33"/>
  <c r="P30" i="33"/>
  <c r="O30" i="33"/>
  <c r="M30" i="33"/>
  <c r="H30" i="33"/>
  <c r="Q29" i="33"/>
  <c r="P29" i="33"/>
  <c r="O29" i="33"/>
  <c r="M29" i="33"/>
  <c r="T28" i="33"/>
  <c r="S28" i="33"/>
  <c r="R28" i="33"/>
  <c r="N28" i="33"/>
  <c r="G28" i="33"/>
  <c r="Q27" i="33"/>
  <c r="Q35" i="33" s="1"/>
  <c r="P27" i="33"/>
  <c r="P36" i="33" s="1"/>
  <c r="P39" i="33" s="1"/>
  <c r="O27" i="33"/>
  <c r="O36" i="33" s="1"/>
  <c r="M27" i="33"/>
  <c r="M36" i="33" s="1"/>
  <c r="K35" i="33"/>
  <c r="J36" i="33"/>
  <c r="I35" i="33"/>
  <c r="T21" i="33"/>
  <c r="T26" i="33" s="1"/>
  <c r="S21" i="33"/>
  <c r="S26" i="33" s="1"/>
  <c r="R21" i="33"/>
  <c r="R26" i="33" s="1"/>
  <c r="O21" i="33"/>
  <c r="O26" i="33" s="1"/>
  <c r="N21" i="33"/>
  <c r="N26" i="33" s="1"/>
  <c r="M21" i="33"/>
  <c r="M26" i="33" s="1"/>
  <c r="G21" i="33"/>
  <c r="T20" i="33"/>
  <c r="T25" i="33" s="1"/>
  <c r="S20" i="33"/>
  <c r="S25" i="33" s="1"/>
  <c r="R20" i="33"/>
  <c r="R25" i="33" s="1"/>
  <c r="O20" i="33"/>
  <c r="O25" i="33" s="1"/>
  <c r="N20" i="33"/>
  <c r="N25" i="33" s="1"/>
  <c r="M20" i="33"/>
  <c r="M25" i="33" s="1"/>
  <c r="G20" i="33"/>
  <c r="I19" i="33"/>
  <c r="I18" i="33"/>
  <c r="H18" i="33"/>
  <c r="T16" i="33"/>
  <c r="S16" i="33"/>
  <c r="R16" i="33"/>
  <c r="O16" i="33"/>
  <c r="N16" i="33"/>
  <c r="M16" i="33"/>
  <c r="G16" i="33"/>
  <c r="Q15" i="33"/>
  <c r="Q21" i="33" s="1"/>
  <c r="Q26" i="33" s="1"/>
  <c r="P15" i="33"/>
  <c r="P16" i="33" s="1"/>
  <c r="L20" i="33"/>
  <c r="K21" i="33"/>
  <c r="K26" i="33" s="1"/>
  <c r="I15" i="33"/>
  <c r="I16" i="33" s="1"/>
  <c r="T14" i="33"/>
  <c r="S14" i="33"/>
  <c r="R14" i="33"/>
  <c r="Q14" i="33"/>
  <c r="P14" i="33"/>
  <c r="O14" i="33"/>
  <c r="N14" i="33"/>
  <c r="M14" i="33"/>
  <c r="K14" i="33"/>
  <c r="G14" i="33"/>
  <c r="L14" i="33"/>
  <c r="J14" i="33"/>
  <c r="I14" i="33"/>
  <c r="T12" i="33"/>
  <c r="S12" i="33"/>
  <c r="Q12" i="33"/>
  <c r="P12" i="33"/>
  <c r="O12" i="33"/>
  <c r="N12" i="33"/>
  <c r="M12" i="33"/>
  <c r="L12" i="33"/>
  <c r="K12" i="33"/>
  <c r="J12" i="33"/>
  <c r="S11" i="33"/>
  <c r="N11" i="33"/>
  <c r="R10" i="33"/>
  <c r="R9" i="33"/>
  <c r="R11" i="33" s="1"/>
  <c r="Q9" i="33"/>
  <c r="Q11" i="33" s="1"/>
  <c r="P9" i="33"/>
  <c r="P11" i="33" s="1"/>
  <c r="O9" i="33"/>
  <c r="O11" i="33" s="1"/>
  <c r="M9" i="33"/>
  <c r="M11" i="33" s="1"/>
  <c r="K11" i="33"/>
  <c r="H12" i="33"/>
  <c r="G8" i="33"/>
  <c r="D8" i="33" s="1"/>
  <c r="T7" i="33"/>
  <c r="T11" i="33" s="1"/>
  <c r="L41" i="33"/>
  <c r="J41" i="33"/>
  <c r="I41" i="33"/>
  <c r="H41" i="33"/>
  <c r="G7" i="33"/>
  <c r="Q857" i="33" l="1"/>
  <c r="Q882" i="33" s="1"/>
  <c r="P857" i="33"/>
  <c r="R802" i="33"/>
  <c r="R857" i="33"/>
  <c r="M802" i="33"/>
  <c r="M786" i="33" s="1"/>
  <c r="M857" i="33"/>
  <c r="I802" i="33"/>
  <c r="I857" i="33"/>
  <c r="N802" i="33"/>
  <c r="N786" i="33" s="1"/>
  <c r="N857" i="33"/>
  <c r="O857" i="33"/>
  <c r="H986" i="33"/>
  <c r="N986" i="33"/>
  <c r="T986" i="33"/>
  <c r="I986" i="33"/>
  <c r="O986" i="33"/>
  <c r="K986" i="33"/>
  <c r="Q986" i="33"/>
  <c r="L986" i="33"/>
  <c r="R986" i="33"/>
  <c r="AD8" i="33"/>
  <c r="D7" i="33"/>
  <c r="AD7" i="33" s="1"/>
  <c r="AE712" i="33"/>
  <c r="AE190" i="33"/>
  <c r="AE189" i="33"/>
  <c r="AE188" i="33"/>
  <c r="AE448" i="33"/>
  <c r="AE191" i="33"/>
  <c r="AE732" i="33"/>
  <c r="AE733" i="33"/>
  <c r="AE711" i="33"/>
  <c r="AE710" i="33"/>
  <c r="AE756" i="33"/>
  <c r="AE729" i="33"/>
  <c r="AE765" i="33"/>
  <c r="AE767" i="33"/>
  <c r="AE681" i="33"/>
  <c r="AE669" i="33"/>
  <c r="AE680" i="33"/>
  <c r="AE668" i="33"/>
  <c r="AE766" i="33"/>
  <c r="AE667" i="33"/>
  <c r="AE764" i="33"/>
  <c r="AE689" i="33"/>
  <c r="AE688" i="33"/>
  <c r="AE687" i="33"/>
  <c r="AE675" i="33"/>
  <c r="AE677" i="33"/>
  <c r="AE674" i="33"/>
  <c r="AE653" i="33"/>
  <c r="AE652" i="33"/>
  <c r="AE678" i="33"/>
  <c r="AE651" i="33"/>
  <c r="AE654" i="33"/>
  <c r="AE676" i="33"/>
  <c r="AE650" i="33"/>
  <c r="AE640" i="33"/>
  <c r="AE631" i="33"/>
  <c r="AE630" i="33"/>
  <c r="AE643" i="33"/>
  <c r="AE629" i="33"/>
  <c r="AE625" i="33"/>
  <c r="AE624" i="33"/>
  <c r="AE1788" i="33"/>
  <c r="AE304" i="33"/>
  <c r="AE377" i="33"/>
  <c r="AE293" i="33"/>
  <c r="AE299" i="33"/>
  <c r="AE297" i="33"/>
  <c r="AE286" i="33"/>
  <c r="AE283" i="33"/>
  <c r="AE296" i="33"/>
  <c r="AE282" i="33"/>
  <c r="AE294" i="33"/>
  <c r="AE298" i="33"/>
  <c r="AE295" i="33"/>
  <c r="AE285" i="33"/>
  <c r="AE281" i="33"/>
  <c r="AE287" i="33"/>
  <c r="AE291" i="33"/>
  <c r="AE284" i="33"/>
  <c r="AE280" i="33"/>
  <c r="AE279" i="33"/>
  <c r="AE278" i="33"/>
  <c r="AE476" i="33"/>
  <c r="Q802" i="33"/>
  <c r="Q786" i="33" s="1"/>
  <c r="AE550" i="33"/>
  <c r="AE513" i="33"/>
  <c r="AE482" i="33"/>
  <c r="AE516" i="33"/>
  <c r="AE478" i="33"/>
  <c r="AE572" i="33"/>
  <c r="AE548" i="33"/>
  <c r="AE567" i="33"/>
  <c r="AE560" i="33"/>
  <c r="AE573" i="33"/>
  <c r="AE574" i="33"/>
  <c r="AE575" i="33"/>
  <c r="AE480" i="33"/>
  <c r="AE566" i="33"/>
  <c r="AE506" i="33"/>
  <c r="AE558" i="33"/>
  <c r="AE544" i="33"/>
  <c r="AE557" i="33"/>
  <c r="AE556" i="33"/>
  <c r="AE466" i="33"/>
  <c r="AE499" i="33"/>
  <c r="AE473" i="33"/>
  <c r="AE465" i="33"/>
  <c r="AE495" i="33"/>
  <c r="AE470" i="33"/>
  <c r="AE502" i="33"/>
  <c r="AE464" i="33"/>
  <c r="AE469" i="33"/>
  <c r="AE539" i="33"/>
  <c r="AE467" i="33"/>
  <c r="AE468" i="33"/>
  <c r="AE493" i="33"/>
  <c r="AE536" i="33"/>
  <c r="AE526" i="33"/>
  <c r="AE460" i="33"/>
  <c r="AE740" i="33"/>
  <c r="AE736" i="33"/>
  <c r="AE741" i="33"/>
  <c r="AE739" i="33"/>
  <c r="AE649" i="33"/>
  <c r="AE743" i="33"/>
  <c r="AE737" i="33"/>
  <c r="AE690" i="33"/>
  <c r="AE742" i="33"/>
  <c r="AE738" i="33"/>
  <c r="AE698" i="33"/>
  <c r="AE699" i="33"/>
  <c r="AE697" i="33"/>
  <c r="O802" i="33"/>
  <c r="O786" i="33" s="1"/>
  <c r="AE761" i="33"/>
  <c r="AE755" i="33"/>
  <c r="AE752" i="33"/>
  <c r="AE734" i="33"/>
  <c r="AE727" i="33"/>
  <c r="AE721" i="33"/>
  <c r="AE745" i="33"/>
  <c r="AE717" i="33"/>
  <c r="AE708" i="33"/>
  <c r="AE758" i="33"/>
  <c r="AE749" i="33"/>
  <c r="AE731" i="33"/>
  <c r="AE713" i="33"/>
  <c r="AE707" i="33"/>
  <c r="AE724" i="33"/>
  <c r="AE705" i="33"/>
  <c r="AE763" i="33"/>
  <c r="AE760" i="33"/>
  <c r="AE754" i="33"/>
  <c r="AE746" i="33"/>
  <c r="AE730" i="33"/>
  <c r="AE723" i="33"/>
  <c r="AE720" i="33"/>
  <c r="AE716" i="33"/>
  <c r="AE750" i="33"/>
  <c r="AE751" i="33"/>
  <c r="AE748" i="33"/>
  <c r="AE726" i="33"/>
  <c r="AE709" i="33"/>
  <c r="AE706" i="33"/>
  <c r="AE762" i="33"/>
  <c r="AE757" i="33"/>
  <c r="AE753" i="33"/>
  <c r="AE735" i="33"/>
  <c r="AE728" i="33"/>
  <c r="AE725" i="33"/>
  <c r="AE722" i="33"/>
  <c r="AE719" i="33"/>
  <c r="AE718" i="33"/>
  <c r="AE715" i="33"/>
  <c r="AE759" i="33"/>
  <c r="AE747" i="33"/>
  <c r="AE714" i="33"/>
  <c r="AE744" i="33"/>
  <c r="AE704" i="33"/>
  <c r="P802" i="33"/>
  <c r="P786" i="33" s="1"/>
  <c r="AE701" i="33"/>
  <c r="AE695" i="33"/>
  <c r="AE696" i="33"/>
  <c r="AE700" i="33"/>
  <c r="AE694" i="33"/>
  <c r="G1136" i="33"/>
  <c r="D66" i="33"/>
  <c r="AG66" i="33" s="1"/>
  <c r="AE1417" i="33"/>
  <c r="AE1421" i="33"/>
  <c r="AE1418" i="33"/>
  <c r="AE1420" i="33"/>
  <c r="AE1416" i="33"/>
  <c r="G1135" i="33"/>
  <c r="S854" i="33"/>
  <c r="I786" i="33"/>
  <c r="AE1072" i="33"/>
  <c r="AE873" i="33"/>
  <c r="AE874" i="33"/>
  <c r="AE881" i="33"/>
  <c r="AE875" i="33"/>
  <c r="R786" i="33"/>
  <c r="P854" i="33"/>
  <c r="I854" i="33"/>
  <c r="L850" i="33"/>
  <c r="L851" i="33" s="1"/>
  <c r="S850" i="33"/>
  <c r="S853" i="33" s="1"/>
  <c r="N854" i="33"/>
  <c r="T854" i="33"/>
  <c r="O850" i="33"/>
  <c r="O852" i="33" s="1"/>
  <c r="O854" i="33"/>
  <c r="AE804" i="33"/>
  <c r="AE1153" i="33"/>
  <c r="AE826" i="33"/>
  <c r="AE820" i="33"/>
  <c r="AE805" i="33"/>
  <c r="AE821" i="33"/>
  <c r="K854" i="33"/>
  <c r="R854" i="33"/>
  <c r="H854" i="33"/>
  <c r="N850" i="33"/>
  <c r="T850" i="33"/>
  <c r="J854" i="33"/>
  <c r="Q854" i="33"/>
  <c r="I850" i="33"/>
  <c r="P850" i="33"/>
  <c r="J850" i="33"/>
  <c r="Q850" i="33"/>
  <c r="K850" i="33"/>
  <c r="R850" i="33"/>
  <c r="AE422" i="33"/>
  <c r="D1162" i="33"/>
  <c r="AG1162" i="33" s="1"/>
  <c r="D92" i="33"/>
  <c r="AG92" i="33" s="1"/>
  <c r="D1597" i="33"/>
  <c r="D79" i="33"/>
  <c r="AG79" i="33" s="1"/>
  <c r="D1555" i="33"/>
  <c r="AG1555" i="33" s="1"/>
  <c r="D1590" i="33"/>
  <c r="AG1590" i="33" s="1"/>
  <c r="D1595" i="33"/>
  <c r="AG1595" i="33" s="1"/>
  <c r="D1912" i="33"/>
  <c r="AG1912" i="33" s="1"/>
  <c r="I109" i="33"/>
  <c r="D101" i="33"/>
  <c r="D611" i="33"/>
  <c r="AG611" i="33" s="1"/>
  <c r="D1913" i="33"/>
  <c r="AG1913" i="33" s="1"/>
  <c r="D239" i="33"/>
  <c r="AG239" i="33" s="1"/>
  <c r="D1436" i="33"/>
  <c r="AG1436" i="33" s="1"/>
  <c r="M33" i="33"/>
  <c r="M34" i="33" s="1"/>
  <c r="D1554" i="33"/>
  <c r="Q1013" i="33"/>
  <c r="D1013" i="33" s="1"/>
  <c r="AG1013" i="33" s="1"/>
  <c r="D1009" i="33"/>
  <c r="AE425" i="33"/>
  <c r="AE1502" i="33"/>
  <c r="AE1492" i="33"/>
  <c r="AE1685" i="33"/>
  <c r="AE1501" i="33"/>
  <c r="AE1546" i="33"/>
  <c r="AE1547" i="33"/>
  <c r="AE1496" i="33"/>
  <c r="AE1683" i="33"/>
  <c r="AE1892" i="33"/>
  <c r="I110" i="33"/>
  <c r="D102" i="33"/>
  <c r="AG102" i="33" s="1"/>
  <c r="D1596" i="33"/>
  <c r="AG1596" i="33" s="1"/>
  <c r="D1638" i="33"/>
  <c r="AG1638" i="33" s="1"/>
  <c r="D1709" i="33"/>
  <c r="AG1709" i="33" s="1"/>
  <c r="P1459" i="33"/>
  <c r="P1513" i="33" s="1"/>
  <c r="P1514" i="33" s="1"/>
  <c r="Q1915" i="33"/>
  <c r="Q1918" i="33" s="1"/>
  <c r="Q1025" i="33" s="1"/>
  <c r="I1915" i="33"/>
  <c r="I1918" i="33" s="1"/>
  <c r="I1025" i="33" s="1"/>
  <c r="H850" i="33"/>
  <c r="AD682" i="33"/>
  <c r="AG682" i="33"/>
  <c r="AD70" i="33"/>
  <c r="AG70" i="33"/>
  <c r="AD105" i="33"/>
  <c r="AG105" i="33"/>
  <c r="AD156" i="33"/>
  <c r="AG156" i="33"/>
  <c r="AD411" i="33"/>
  <c r="AG411" i="33"/>
  <c r="AD71" i="33"/>
  <c r="AG71" i="33"/>
  <c r="AD162" i="33"/>
  <c r="AG162" i="33"/>
  <c r="AD412" i="33"/>
  <c r="AG412" i="33"/>
  <c r="AD645" i="33"/>
  <c r="AG645" i="33"/>
  <c r="AD1045" i="33"/>
  <c r="AG1045" i="33"/>
  <c r="AD1530" i="33"/>
  <c r="AG1530" i="33"/>
  <c r="AD655" i="33"/>
  <c r="AG655" i="33"/>
  <c r="AD111" i="33"/>
  <c r="AG111" i="33"/>
  <c r="AD646" i="33"/>
  <c r="AG646" i="33"/>
  <c r="AD57" i="33"/>
  <c r="AG57" i="33"/>
  <c r="AD139" i="33"/>
  <c r="AG139" i="33"/>
  <c r="AD647" i="33"/>
  <c r="AG647" i="33"/>
  <c r="AD833" i="33"/>
  <c r="AG833" i="33"/>
  <c r="AD1464" i="33"/>
  <c r="AG1464" i="33"/>
  <c r="AD352" i="33"/>
  <c r="AG352" i="33"/>
  <c r="AD380" i="33"/>
  <c r="AG380" i="33"/>
  <c r="AD621" i="33"/>
  <c r="AG621" i="33"/>
  <c r="AD648" i="33"/>
  <c r="AG648" i="33"/>
  <c r="AD1451" i="33"/>
  <c r="AG1451" i="33"/>
  <c r="M1459" i="33"/>
  <c r="M1513" i="33" s="1"/>
  <c r="M1514" i="33" s="1"/>
  <c r="Q1459" i="33"/>
  <c r="Q1513" i="33" s="1"/>
  <c r="Q1514" i="33" s="1"/>
  <c r="O1459" i="33"/>
  <c r="O1513" i="33" s="1"/>
  <c r="O1514" i="33" s="1"/>
  <c r="R1459" i="33"/>
  <c r="R1513" i="33" s="1"/>
  <c r="R1514" i="33" s="1"/>
  <c r="H1712" i="33"/>
  <c r="H1459" i="33"/>
  <c r="L33" i="33"/>
  <c r="L34" i="33" s="1"/>
  <c r="D77" i="33"/>
  <c r="M830" i="33"/>
  <c r="M854" i="33" s="1"/>
  <c r="N33" i="33"/>
  <c r="N81" i="33" s="1"/>
  <c r="J33" i="33"/>
  <c r="J34" i="33" s="1"/>
  <c r="K33" i="33"/>
  <c r="K81" i="33" s="1"/>
  <c r="D1466" i="33"/>
  <c r="O1527" i="33"/>
  <c r="O1549" i="33" s="1"/>
  <c r="O1550" i="33" s="1"/>
  <c r="D417" i="33"/>
  <c r="AG417" i="33" s="1"/>
  <c r="AG1438" i="33"/>
  <c r="M1519" i="33"/>
  <c r="J11" i="33"/>
  <c r="P21" i="33"/>
  <c r="P26" i="33" s="1"/>
  <c r="J42" i="33"/>
  <c r="P42" i="33"/>
  <c r="L42" i="33"/>
  <c r="D353" i="33"/>
  <c r="D357" i="33"/>
  <c r="D401" i="33"/>
  <c r="D407" i="33"/>
  <c r="AG407" i="33" s="1"/>
  <c r="I33" i="33"/>
  <c r="I34" i="33" s="1"/>
  <c r="O33" i="33"/>
  <c r="O81" i="33" s="1"/>
  <c r="H1447" i="33"/>
  <c r="D1447" i="33" s="1"/>
  <c r="P1520" i="33"/>
  <c r="D17" i="33"/>
  <c r="D50" i="33"/>
  <c r="D55" i="33"/>
  <c r="D68" i="33"/>
  <c r="D80" i="33"/>
  <c r="I1519" i="33"/>
  <c r="D1518" i="33"/>
  <c r="AG1518" i="33" s="1"/>
  <c r="D1872" i="33"/>
  <c r="H1931" i="33"/>
  <c r="AG1914" i="33"/>
  <c r="D148" i="33"/>
  <c r="O254" i="33"/>
  <c r="D254" i="33" s="1"/>
  <c r="AG254" i="33" s="1"/>
  <c r="D247" i="33"/>
  <c r="R338" i="33"/>
  <c r="R339" i="33" s="1"/>
  <c r="D337" i="33"/>
  <c r="D381" i="33"/>
  <c r="D402" i="33"/>
  <c r="AG402" i="33" s="1"/>
  <c r="L799" i="33"/>
  <c r="L800" i="33" s="1"/>
  <c r="D797" i="33"/>
  <c r="D955" i="33"/>
  <c r="H985" i="33"/>
  <c r="D1110" i="33"/>
  <c r="Q1151" i="33"/>
  <c r="D1151" i="33" s="1"/>
  <c r="AG1151" i="33" s="1"/>
  <c r="D1145" i="33"/>
  <c r="I1168" i="33"/>
  <c r="D1168" i="33" s="1"/>
  <c r="AG1159" i="33"/>
  <c r="I1171" i="33"/>
  <c r="D1171" i="33" s="1"/>
  <c r="AG1171" i="33" s="1"/>
  <c r="L1275" i="33"/>
  <c r="D1275" i="33" s="1"/>
  <c r="AG1275" i="33" s="1"/>
  <c r="D1269" i="33"/>
  <c r="K1517" i="33"/>
  <c r="K1690" i="33"/>
  <c r="K1691" i="33" s="1"/>
  <c r="D1682" i="33"/>
  <c r="AG1682" i="33" s="1"/>
  <c r="D1781" i="33"/>
  <c r="T1802" i="33"/>
  <c r="D1802" i="33" s="1"/>
  <c r="AG1802" i="33" s="1"/>
  <c r="H136" i="33"/>
  <c r="H146" i="33" s="1"/>
  <c r="D135" i="33"/>
  <c r="D155" i="33"/>
  <c r="D368" i="33"/>
  <c r="D894" i="33"/>
  <c r="D19" i="33"/>
  <c r="D64" i="33"/>
  <c r="G41" i="33"/>
  <c r="H14" i="33"/>
  <c r="D14" i="33" s="1"/>
  <c r="AG14" i="33" s="1"/>
  <c r="D13" i="33"/>
  <c r="AG13" i="33" s="1"/>
  <c r="I21" i="33"/>
  <c r="I26" i="33" s="1"/>
  <c r="D29" i="33"/>
  <c r="AG29" i="33" s="1"/>
  <c r="D31" i="33"/>
  <c r="D54" i="33"/>
  <c r="D58" i="33"/>
  <c r="D74" i="33"/>
  <c r="AG74" i="33" s="1"/>
  <c r="H107" i="33"/>
  <c r="D103" i="33"/>
  <c r="H126" i="33"/>
  <c r="H130" i="33" s="1"/>
  <c r="D115" i="33"/>
  <c r="AG115" i="33" s="1"/>
  <c r="H141" i="33"/>
  <c r="D161" i="33"/>
  <c r="AG161" i="33" s="1"/>
  <c r="D168" i="33"/>
  <c r="R179" i="33"/>
  <c r="D400" i="33"/>
  <c r="H781" i="33"/>
  <c r="D781" i="33" s="1"/>
  <c r="AG781" i="33" s="1"/>
  <c r="D776" i="33"/>
  <c r="AG776" i="33" s="1"/>
  <c r="D819" i="33"/>
  <c r="D1042" i="33"/>
  <c r="G1262" i="33"/>
  <c r="D1262" i="33" s="1"/>
  <c r="AG1262" i="33" s="1"/>
  <c r="D1259" i="33"/>
  <c r="AG1259" i="33" s="1"/>
  <c r="D1429" i="33"/>
  <c r="K1681" i="33"/>
  <c r="D1681" i="33" s="1"/>
  <c r="AG1681" i="33" s="1"/>
  <c r="L1751" i="33"/>
  <c r="D1749" i="33"/>
  <c r="AG1749" i="33" s="1"/>
  <c r="D636" i="33"/>
  <c r="L11" i="33"/>
  <c r="R12" i="33"/>
  <c r="D10" i="33"/>
  <c r="AG10" i="33" s="1"/>
  <c r="D18" i="33"/>
  <c r="L21" i="33"/>
  <c r="L26" i="33" s="1"/>
  <c r="M28" i="33"/>
  <c r="M42" i="33"/>
  <c r="O42" i="33"/>
  <c r="D76" i="33"/>
  <c r="D78" i="33"/>
  <c r="L107" i="33"/>
  <c r="H110" i="33"/>
  <c r="D169" i="33"/>
  <c r="H193" i="33"/>
  <c r="H202" i="33" s="1"/>
  <c r="AG192" i="33"/>
  <c r="D213" i="33"/>
  <c r="O330" i="33"/>
  <c r="L330" i="33"/>
  <c r="O338" i="33"/>
  <c r="O339" i="33" s="1"/>
  <c r="D334" i="33"/>
  <c r="D847" i="33"/>
  <c r="AG847" i="33" s="1"/>
  <c r="D858" i="33"/>
  <c r="AG858" i="33" s="1"/>
  <c r="D859" i="33"/>
  <c r="G1247" i="33"/>
  <c r="D1247" i="33" s="1"/>
  <c r="AG1247" i="33" s="1"/>
  <c r="D1246" i="33"/>
  <c r="AG1246" i="33" s="1"/>
  <c r="AG1524" i="33"/>
  <c r="D414" i="33"/>
  <c r="I36" i="33"/>
  <c r="I37" i="33" s="1"/>
  <c r="G12" i="33"/>
  <c r="H20" i="33"/>
  <c r="H22" i="33" s="1"/>
  <c r="D15" i="33"/>
  <c r="AG15" i="33" s="1"/>
  <c r="N42" i="33"/>
  <c r="D93" i="33"/>
  <c r="D117" i="33"/>
  <c r="D170" i="33"/>
  <c r="I180" i="33"/>
  <c r="D180" i="33" s="1"/>
  <c r="D332" i="33"/>
  <c r="AG332" i="33" s="1"/>
  <c r="D355" i="33"/>
  <c r="D356" i="33"/>
  <c r="D366" i="33"/>
  <c r="D367" i="33"/>
  <c r="M829" i="33"/>
  <c r="D828" i="33"/>
  <c r="D990" i="33"/>
  <c r="Q1024" i="33"/>
  <c r="T1020" i="33"/>
  <c r="D1020" i="33" s="1"/>
  <c r="AG1020" i="33" s="1"/>
  <c r="D1019" i="33"/>
  <c r="I1169" i="33"/>
  <c r="D1169" i="33" s="1"/>
  <c r="AG1169" i="33" s="1"/>
  <c r="AG1160" i="33"/>
  <c r="R1278" i="33"/>
  <c r="D1278" i="33" s="1"/>
  <c r="AG1278" i="33" s="1"/>
  <c r="D1272" i="33"/>
  <c r="D140" i="33"/>
  <c r="D922" i="33"/>
  <c r="D1284" i="33"/>
  <c r="D9" i="33"/>
  <c r="AD9" i="33" s="1"/>
  <c r="H36" i="33"/>
  <c r="H37" i="33" s="1"/>
  <c r="D27" i="33"/>
  <c r="AG27" i="33" s="1"/>
  <c r="D30" i="33"/>
  <c r="D32" i="33"/>
  <c r="H49" i="33"/>
  <c r="D49" i="33" s="1"/>
  <c r="AG49" i="33" s="1"/>
  <c r="D48" i="33"/>
  <c r="AG48" i="33" s="1"/>
  <c r="D56" i="33"/>
  <c r="D63" i="33"/>
  <c r="D67" i="33"/>
  <c r="D69" i="33"/>
  <c r="D73" i="33"/>
  <c r="AG99" i="33"/>
  <c r="D118" i="33"/>
  <c r="D125" i="33"/>
  <c r="H154" i="33"/>
  <c r="D154" i="33" s="1"/>
  <c r="D153" i="33"/>
  <c r="D160" i="33"/>
  <c r="D375" i="33"/>
  <c r="D398" i="33"/>
  <c r="D408" i="33"/>
  <c r="J813" i="33"/>
  <c r="D801" i="33"/>
  <c r="AG801" i="33" s="1"/>
  <c r="T1024" i="33"/>
  <c r="H1173" i="33"/>
  <c r="D1173" i="33" s="1"/>
  <c r="H1274" i="33"/>
  <c r="D1274" i="33" s="1"/>
  <c r="AG1274" i="33" s="1"/>
  <c r="H1529" i="33"/>
  <c r="D1529" i="33" s="1"/>
  <c r="AG1529" i="33" s="1"/>
  <c r="AG1526" i="33"/>
  <c r="H1977" i="33"/>
  <c r="D1977" i="33" s="1"/>
  <c r="D1974" i="33"/>
  <c r="AG1974" i="33" s="1"/>
  <c r="D120" i="33"/>
  <c r="D181" i="33"/>
  <c r="D258" i="33"/>
  <c r="D343" i="33"/>
  <c r="D780" i="33"/>
  <c r="AG780" i="33" s="1"/>
  <c r="D840" i="33"/>
  <c r="D919" i="33"/>
  <c r="AG919" i="33" s="1"/>
  <c r="D1046" i="33"/>
  <c r="AG1046" i="33" s="1"/>
  <c r="D1127" i="33"/>
  <c r="AG1127" i="33" s="1"/>
  <c r="D1433" i="33"/>
  <c r="AG1433" i="33" s="1"/>
  <c r="D1558" i="33"/>
  <c r="D1584" i="33"/>
  <c r="D1599" i="33"/>
  <c r="D1627" i="33"/>
  <c r="D1708" i="33"/>
  <c r="D1710" i="33"/>
  <c r="D1758" i="33"/>
  <c r="D1767" i="33"/>
  <c r="AG1767" i="33" s="1"/>
  <c r="D1800" i="33"/>
  <c r="D1807" i="33"/>
  <c r="D1862" i="33"/>
  <c r="AG1862" i="33" s="1"/>
  <c r="D1867" i="33"/>
  <c r="AG1867" i="33" s="1"/>
  <c r="D1975" i="33"/>
  <c r="G26" i="33"/>
  <c r="G130" i="33"/>
  <c r="G131" i="33" s="1"/>
  <c r="G146" i="33"/>
  <c r="G201" i="33"/>
  <c r="D274" i="33"/>
  <c r="G786" i="33"/>
  <c r="G984" i="33"/>
  <c r="D983" i="33"/>
  <c r="D305" i="33"/>
  <c r="G339" i="33"/>
  <c r="D782" i="33"/>
  <c r="D809" i="33"/>
  <c r="D928" i="33"/>
  <c r="D931" i="33"/>
  <c r="D989" i="33"/>
  <c r="AG989" i="33" s="1"/>
  <c r="D1017" i="33"/>
  <c r="AG1017" i="33" s="1"/>
  <c r="D1107" i="33"/>
  <c r="AG1107" i="33" s="1"/>
  <c r="D1124" i="33"/>
  <c r="G1155" i="33"/>
  <c r="D1155" i="33" s="1"/>
  <c r="D1167" i="33"/>
  <c r="D1174" i="33"/>
  <c r="AG1174" i="33" s="1"/>
  <c r="D1276" i="33"/>
  <c r="D1316" i="33"/>
  <c r="D1319" i="33"/>
  <c r="D1440" i="33"/>
  <c r="AG1440" i="33" s="1"/>
  <c r="D1448" i="33"/>
  <c r="AG1448" i="33" s="1"/>
  <c r="D1511" i="33"/>
  <c r="AG1511" i="33" s="1"/>
  <c r="D1528" i="33"/>
  <c r="D1563" i="33"/>
  <c r="AG1563" i="33" s="1"/>
  <c r="D1619" i="33"/>
  <c r="AG1619" i="33" s="1"/>
  <c r="D1661" i="33"/>
  <c r="AG1661" i="33" s="1"/>
  <c r="D1663" i="33"/>
  <c r="D1665" i="33"/>
  <c r="D1722" i="33"/>
  <c r="D1804" i="33"/>
  <c r="AG1804" i="33" s="1"/>
  <c r="D1863" i="33"/>
  <c r="AG1863" i="33" s="1"/>
  <c r="D1886" i="33"/>
  <c r="D1906" i="33"/>
  <c r="AG1906" i="33" s="1"/>
  <c r="D1928" i="33"/>
  <c r="H1924" i="33"/>
  <c r="D1947" i="33"/>
  <c r="H1405" i="33"/>
  <c r="D1404" i="33"/>
  <c r="AG1404" i="33" s="1"/>
  <c r="G81" i="33"/>
  <c r="G129" i="33"/>
  <c r="G143" i="33"/>
  <c r="D207" i="33"/>
  <c r="D314" i="33"/>
  <c r="G917" i="33"/>
  <c r="D915" i="33"/>
  <c r="D974" i="33"/>
  <c r="D1047" i="33"/>
  <c r="AG1047" i="33" s="1"/>
  <c r="D1170" i="33"/>
  <c r="D1585" i="33"/>
  <c r="D1600" i="33"/>
  <c r="AG1600" i="33" s="1"/>
  <c r="D1628" i="33"/>
  <c r="AG1628" i="33" s="1"/>
  <c r="D1659" i="33"/>
  <c r="AG1659" i="33" s="1"/>
  <c r="D1672" i="33"/>
  <c r="D1759" i="33"/>
  <c r="AG1759" i="33" s="1"/>
  <c r="D1801" i="33"/>
  <c r="D1864" i="33"/>
  <c r="AG1864" i="33" s="1"/>
  <c r="G1918" i="33"/>
  <c r="G1025" i="33" s="1"/>
  <c r="D1976" i="33"/>
  <c r="D1602" i="33"/>
  <c r="G1677" i="33"/>
  <c r="D184" i="33"/>
  <c r="D271" i="33"/>
  <c r="D301" i="33"/>
  <c r="D306" i="33"/>
  <c r="G329" i="33"/>
  <c r="D328" i="33"/>
  <c r="AG328" i="33" s="1"/>
  <c r="D384" i="33"/>
  <c r="D671" i="33"/>
  <c r="AG671" i="33" s="1"/>
  <c r="D783" i="33"/>
  <c r="AG783" i="33" s="1"/>
  <c r="G923" i="33"/>
  <c r="G926" i="33" s="1"/>
  <c r="D921" i="33"/>
  <c r="D929" i="33"/>
  <c r="D970" i="33"/>
  <c r="D1108" i="33"/>
  <c r="AG1108" i="33" s="1"/>
  <c r="D1125" i="33"/>
  <c r="D1149" i="33"/>
  <c r="D1277" i="33"/>
  <c r="D1317" i="33"/>
  <c r="D1334" i="33"/>
  <c r="D1426" i="33"/>
  <c r="D1441" i="33"/>
  <c r="D1449" i="33"/>
  <c r="D1508" i="33"/>
  <c r="AG1508" i="33" s="1"/>
  <c r="D1561" i="33"/>
  <c r="AG1561" i="33" s="1"/>
  <c r="D1675" i="33"/>
  <c r="G1691" i="33"/>
  <c r="G1712" i="33"/>
  <c r="D1707" i="33"/>
  <c r="AG1707" i="33" s="1"/>
  <c r="D1805" i="33"/>
  <c r="AG1805" i="33" s="1"/>
  <c r="G1876" i="33"/>
  <c r="D1875" i="33"/>
  <c r="AG1875" i="33" s="1"/>
  <c r="D1887" i="33"/>
  <c r="D1919" i="33"/>
  <c r="AG1919" i="33" s="1"/>
  <c r="G1696" i="33"/>
  <c r="G1697" i="33" s="1"/>
  <c r="D1697" i="33" s="1"/>
  <c r="AG1697" i="33" s="1"/>
  <c r="D1692" i="33"/>
  <c r="AG1692" i="33" s="1"/>
  <c r="D257" i="33"/>
  <c r="AG257" i="33" s="1"/>
  <c r="D796" i="33"/>
  <c r="D839" i="33"/>
  <c r="D855" i="33"/>
  <c r="D1015" i="33"/>
  <c r="G1021" i="33"/>
  <c r="D1172" i="33"/>
  <c r="D1557" i="33"/>
  <c r="AG1557" i="33" s="1"/>
  <c r="D1586" i="33"/>
  <c r="D1598" i="33"/>
  <c r="AG1598" i="33" s="1"/>
  <c r="D1601" i="33"/>
  <c r="D1626" i="33"/>
  <c r="AG1626" i="33" s="1"/>
  <c r="D1660" i="33"/>
  <c r="D1662" i="33"/>
  <c r="AG1662" i="33" s="1"/>
  <c r="D1664" i="33"/>
  <c r="AG1664" i="33" s="1"/>
  <c r="D1666" i="33"/>
  <c r="D1713" i="33"/>
  <c r="G1760" i="33"/>
  <c r="D1757" i="33"/>
  <c r="AG1757" i="33" s="1"/>
  <c r="D1761" i="33"/>
  <c r="D1766" i="33"/>
  <c r="AG1766" i="33" s="1"/>
  <c r="D1861" i="33"/>
  <c r="AG1861" i="33" s="1"/>
  <c r="D1865" i="33"/>
  <c r="H1990" i="33"/>
  <c r="D1990" i="33" s="1"/>
  <c r="AG1990" i="33" s="1"/>
  <c r="D1989" i="33"/>
  <c r="AG1989" i="33" s="1"/>
  <c r="G25" i="33"/>
  <c r="G39" i="33"/>
  <c r="D108" i="33"/>
  <c r="G202" i="33"/>
  <c r="D210" i="33"/>
  <c r="D214" i="33"/>
  <c r="D289" i="33"/>
  <c r="AG289" i="33" s="1"/>
  <c r="D307" i="33"/>
  <c r="D784" i="33"/>
  <c r="AG784" i="33" s="1"/>
  <c r="D930" i="33"/>
  <c r="AG930" i="33" s="1"/>
  <c r="D972" i="33"/>
  <c r="AG972" i="33" s="1"/>
  <c r="D1123" i="33"/>
  <c r="AG1123" i="33" s="1"/>
  <c r="D1144" i="33"/>
  <c r="AG1144" i="33" s="1"/>
  <c r="D1150" i="33"/>
  <c r="AG1150" i="33" s="1"/>
  <c r="D1315" i="33"/>
  <c r="AG1315" i="33" s="1"/>
  <c r="D1318" i="33"/>
  <c r="AG1318" i="33" s="1"/>
  <c r="D1427" i="33"/>
  <c r="AG1427" i="33" s="1"/>
  <c r="D1439" i="33"/>
  <c r="D1442" i="33"/>
  <c r="D1450" i="33"/>
  <c r="D1510" i="33"/>
  <c r="AG1510" i="33" s="1"/>
  <c r="D1562" i="33"/>
  <c r="D1618" i="33"/>
  <c r="D1658" i="33"/>
  <c r="AG1658" i="33" s="1"/>
  <c r="D1688" i="33"/>
  <c r="D1699" i="33"/>
  <c r="AG1699" i="33" s="1"/>
  <c r="D1721" i="33"/>
  <c r="D1803" i="33"/>
  <c r="D1806" i="33"/>
  <c r="AG1806" i="33" s="1"/>
  <c r="D1866" i="33"/>
  <c r="D1888" i="33"/>
  <c r="AG1888" i="33" s="1"/>
  <c r="D1920" i="33"/>
  <c r="G1936" i="33"/>
  <c r="D1933" i="33"/>
  <c r="AG1933" i="33" s="1"/>
  <c r="D1951" i="33"/>
  <c r="K1459" i="33"/>
  <c r="K1513" i="33" s="1"/>
  <c r="K1514" i="33" s="1"/>
  <c r="I1459" i="33"/>
  <c r="I1513" i="33" s="1"/>
  <c r="I1514" i="33" s="1"/>
  <c r="M1924" i="33"/>
  <c r="M1925" i="33" s="1"/>
  <c r="I312" i="33"/>
  <c r="O312" i="33"/>
  <c r="J1459" i="33"/>
  <c r="J1513" i="33" s="1"/>
  <c r="J1514" i="33" s="1"/>
  <c r="L1459" i="33"/>
  <c r="L1513" i="33" s="1"/>
  <c r="L1514" i="33" s="1"/>
  <c r="H1244" i="33"/>
  <c r="G1459" i="33"/>
  <c r="G1513" i="33" s="1"/>
  <c r="M1135" i="33"/>
  <c r="S1459" i="33"/>
  <c r="S1513" i="33" s="1"/>
  <c r="L1135" i="33"/>
  <c r="L312" i="33"/>
  <c r="R312" i="33"/>
  <c r="I1135" i="33"/>
  <c r="O1135" i="33"/>
  <c r="N312" i="33"/>
  <c r="P1135" i="33"/>
  <c r="N1459" i="33"/>
  <c r="N1513" i="33" s="1"/>
  <c r="N1514" i="33" s="1"/>
  <c r="T1459" i="33"/>
  <c r="T1513" i="33" s="1"/>
  <c r="T1514" i="33" s="1"/>
  <c r="K127" i="33"/>
  <c r="R1022" i="33"/>
  <c r="R1135" i="33"/>
  <c r="L1882" i="33"/>
  <c r="L1883" i="33" s="1"/>
  <c r="L1884" i="33" s="1"/>
  <c r="R1882" i="33"/>
  <c r="R1883" i="33" s="1"/>
  <c r="R1884" i="33" s="1"/>
  <c r="O1915" i="33"/>
  <c r="O1918" i="33" s="1"/>
  <c r="O1025" i="33" s="1"/>
  <c r="AD1972" i="33"/>
  <c r="N127" i="33"/>
  <c r="G1620" i="33"/>
  <c r="AD1973" i="33"/>
  <c r="AD1968" i="33"/>
  <c r="T129" i="33"/>
  <c r="R40" i="33"/>
  <c r="Q1022" i="33"/>
  <c r="AD658" i="33"/>
  <c r="H33" i="33"/>
  <c r="H81" i="33" s="1"/>
  <c r="J918" i="33"/>
  <c r="D918" i="33" s="1"/>
  <c r="AG918" i="33" s="1"/>
  <c r="AD914" i="33"/>
  <c r="J330" i="33"/>
  <c r="AD241" i="33"/>
  <c r="H11" i="33"/>
  <c r="J20" i="33"/>
  <c r="J22" i="33" s="1"/>
  <c r="J23" i="33" s="1"/>
  <c r="J21" i="33"/>
  <c r="J26" i="33" s="1"/>
  <c r="J16" i="33"/>
  <c r="Q34" i="33"/>
  <c r="L35" i="33"/>
  <c r="L36" i="33"/>
  <c r="L39" i="33" s="1"/>
  <c r="M1245" i="33"/>
  <c r="N1924" i="33"/>
  <c r="N1925" i="33" s="1"/>
  <c r="N1915" i="33"/>
  <c r="N1918" i="33" s="1"/>
  <c r="N1025" i="33" s="1"/>
  <c r="G11" i="33"/>
  <c r="P20" i="33"/>
  <c r="P22" i="33" s="1"/>
  <c r="P23" i="33" s="1"/>
  <c r="H42" i="33"/>
  <c r="K107" i="33"/>
  <c r="J193" i="33"/>
  <c r="J202" i="33" s="1"/>
  <c r="AD268" i="33"/>
  <c r="J786" i="33"/>
  <c r="AD943" i="33"/>
  <c r="Q1126" i="33"/>
  <c r="Q1135" i="33" s="1"/>
  <c r="G1260" i="33"/>
  <c r="J1517" i="33"/>
  <c r="P1519" i="33"/>
  <c r="K1527" i="33"/>
  <c r="K1549" i="33" s="1"/>
  <c r="K1550" i="33" s="1"/>
  <c r="T1931" i="33"/>
  <c r="K42" i="33"/>
  <c r="H109" i="33"/>
  <c r="AD236" i="33"/>
  <c r="Q312" i="33"/>
  <c r="J1136" i="33"/>
  <c r="J1137" i="33" s="1"/>
  <c r="P1136" i="33"/>
  <c r="P1140" i="33" s="1"/>
  <c r="H1273" i="33"/>
  <c r="D1273" i="33" s="1"/>
  <c r="AD1348" i="33"/>
  <c r="M1517" i="33"/>
  <c r="L1521" i="33"/>
  <c r="I11" i="33"/>
  <c r="P35" i="33"/>
  <c r="Q42" i="33"/>
  <c r="P28" i="33"/>
  <c r="Q40" i="33"/>
  <c r="H142" i="33"/>
  <c r="H144" i="33" s="1"/>
  <c r="AD269" i="33"/>
  <c r="I811" i="33"/>
  <c r="L822" i="33"/>
  <c r="I1022" i="33"/>
  <c r="AD1033" i="33"/>
  <c r="AD1415" i="33"/>
  <c r="L1520" i="33"/>
  <c r="O1521" i="33"/>
  <c r="J197" i="33"/>
  <c r="AD406" i="33"/>
  <c r="G1263" i="33"/>
  <c r="D1263" i="33" s="1"/>
  <c r="AG1263" i="33" s="1"/>
  <c r="O1520" i="33"/>
  <c r="M1620" i="33"/>
  <c r="M1622" i="33" s="1"/>
  <c r="M1623" i="33" s="1"/>
  <c r="I1924" i="33"/>
  <c r="I1925" i="33" s="1"/>
  <c r="AD1684" i="33"/>
  <c r="G1882" i="33"/>
  <c r="G1883" i="33" s="1"/>
  <c r="M1882" i="33"/>
  <c r="M1883" i="33" s="1"/>
  <c r="M1884" i="33" s="1"/>
  <c r="S1882" i="33"/>
  <c r="S1883" i="33" s="1"/>
  <c r="S1884" i="33" s="1"/>
  <c r="AD1966" i="33"/>
  <c r="L1750" i="33"/>
  <c r="D1750" i="33" s="1"/>
  <c r="AG1750" i="33" s="1"/>
  <c r="AD633" i="33"/>
  <c r="J132" i="33"/>
  <c r="J131" i="33"/>
  <c r="J133" i="33"/>
  <c r="P40" i="33"/>
  <c r="P133" i="33"/>
  <c r="S200" i="33"/>
  <c r="M312" i="33"/>
  <c r="S312" i="33"/>
  <c r="I1021" i="33"/>
  <c r="K1135" i="33"/>
  <c r="R1244" i="33"/>
  <c r="H1581" i="33"/>
  <c r="H1582" i="33" s="1"/>
  <c r="T1581" i="33"/>
  <c r="T1582" i="33" s="1"/>
  <c r="L1581" i="33"/>
  <c r="L1582" i="33" s="1"/>
  <c r="R1581" i="33"/>
  <c r="R1582" i="33" s="1"/>
  <c r="J1924" i="33"/>
  <c r="J1925" i="33" s="1"/>
  <c r="O1021" i="33"/>
  <c r="K130" i="33"/>
  <c r="K131" i="33" s="1"/>
  <c r="M199" i="33"/>
  <c r="N310" i="33"/>
  <c r="J312" i="33"/>
  <c r="P312" i="33"/>
  <c r="K1022" i="33"/>
  <c r="N1135" i="33"/>
  <c r="T1135" i="33"/>
  <c r="L1549" i="33"/>
  <c r="L1550" i="33" s="1"/>
  <c r="R1549" i="33"/>
  <c r="R1550" i="33" s="1"/>
  <c r="P1549" i="33"/>
  <c r="P1550" i="33" s="1"/>
  <c r="P1915" i="33"/>
  <c r="P1918" i="33" s="1"/>
  <c r="P1025" i="33" s="1"/>
  <c r="P199" i="33"/>
  <c r="N812" i="33"/>
  <c r="K1620" i="33"/>
  <c r="K1621" i="33" s="1"/>
  <c r="M200" i="33"/>
  <c r="D1752" i="33"/>
  <c r="S132" i="33"/>
  <c r="S131" i="33"/>
  <c r="L1924" i="33"/>
  <c r="L1925" i="33" s="1"/>
  <c r="L1915" i="33"/>
  <c r="L1918" i="33" s="1"/>
  <c r="L1025" i="33" s="1"/>
  <c r="R1924" i="33"/>
  <c r="R1925" i="33" s="1"/>
  <c r="R1915" i="33"/>
  <c r="R1918" i="33" s="1"/>
  <c r="R1025" i="33" s="1"/>
  <c r="N38" i="33"/>
  <c r="G127" i="33"/>
  <c r="Q129" i="33"/>
  <c r="M130" i="33"/>
  <c r="M132" i="33" s="1"/>
  <c r="Q133" i="33"/>
  <c r="L143" i="33"/>
  <c r="S199" i="33"/>
  <c r="AD235" i="33"/>
  <c r="K312" i="33"/>
  <c r="AD404" i="33"/>
  <c r="O811" i="33"/>
  <c r="J1135" i="33"/>
  <c r="I143" i="33"/>
  <c r="N1023" i="33"/>
  <c r="N1022" i="33"/>
  <c r="R129" i="33"/>
  <c r="G133" i="33"/>
  <c r="S133" i="33"/>
  <c r="O143" i="33"/>
  <c r="L144" i="33"/>
  <c r="G200" i="33"/>
  <c r="AD226" i="33"/>
  <c r="R811" i="33"/>
  <c r="Q812" i="33"/>
  <c r="I1549" i="33"/>
  <c r="I1550" i="33" s="1"/>
  <c r="T40" i="33"/>
  <c r="I129" i="33"/>
  <c r="O144" i="33"/>
  <c r="H812" i="33"/>
  <c r="H1023" i="33"/>
  <c r="H1022" i="33"/>
  <c r="T34" i="33"/>
  <c r="R143" i="33"/>
  <c r="G199" i="33"/>
  <c r="P200" i="33"/>
  <c r="L309" i="33"/>
  <c r="T312" i="33"/>
  <c r="AD415" i="33"/>
  <c r="T812" i="33"/>
  <c r="G854" i="33"/>
  <c r="S1241" i="33"/>
  <c r="S1243" i="33" s="1"/>
  <c r="S1244" i="33" s="1"/>
  <c r="S1581" i="33"/>
  <c r="S1582" i="33" s="1"/>
  <c r="I144" i="33"/>
  <c r="G1808" i="33"/>
  <c r="L129" i="33"/>
  <c r="T130" i="33"/>
  <c r="T131" i="33" s="1"/>
  <c r="N133" i="33"/>
  <c r="R144" i="33"/>
  <c r="G208" i="33"/>
  <c r="D208" i="33" s="1"/>
  <c r="AG208" i="33" s="1"/>
  <c r="AD267" i="33"/>
  <c r="AD270" i="33"/>
  <c r="G800" i="33"/>
  <c r="K812" i="33"/>
  <c r="L1021" i="33"/>
  <c r="L1022" i="33"/>
  <c r="I1136" i="33"/>
  <c r="I1137" i="33" s="1"/>
  <c r="O1136" i="33"/>
  <c r="O1137" i="33" s="1"/>
  <c r="T1241" i="33"/>
  <c r="T1242" i="33" s="1"/>
  <c r="K1244" i="33"/>
  <c r="N1245" i="33"/>
  <c r="J1549" i="33"/>
  <c r="J1550" i="33" s="1"/>
  <c r="G1934" i="33"/>
  <c r="K1581" i="33"/>
  <c r="K1582" i="33" s="1"/>
  <c r="Q1581" i="33"/>
  <c r="Q1582" i="33" s="1"/>
  <c r="O1581" i="33"/>
  <c r="O1582" i="33" s="1"/>
  <c r="T1620" i="33"/>
  <c r="T1621" i="33" s="1"/>
  <c r="J1934" i="33"/>
  <c r="J1935" i="33" s="1"/>
  <c r="R1021" i="33"/>
  <c r="O1022" i="33"/>
  <c r="S1135" i="33"/>
  <c r="G1549" i="33"/>
  <c r="I1882" i="33"/>
  <c r="I1883" i="33" s="1"/>
  <c r="I1884" i="33" s="1"/>
  <c r="O1882" i="33"/>
  <c r="O1883" i="33" s="1"/>
  <c r="O1884" i="33" s="1"/>
  <c r="M1934" i="33"/>
  <c r="M1935" i="33" s="1"/>
  <c r="R1136" i="33"/>
  <c r="R1140" i="33" s="1"/>
  <c r="L1136" i="33"/>
  <c r="L1140" i="33" s="1"/>
  <c r="Q1241" i="33"/>
  <c r="Q1243" i="33" s="1"/>
  <c r="M1549" i="33"/>
  <c r="M1550" i="33" s="1"/>
  <c r="S1549" i="33"/>
  <c r="S1550" i="33" s="1"/>
  <c r="N1620" i="33"/>
  <c r="N1621" i="33" s="1"/>
  <c r="AD1686" i="33"/>
  <c r="AD1689" i="33"/>
  <c r="J1882" i="33"/>
  <c r="J1883" i="33" s="1"/>
  <c r="J1884" i="33" s="1"/>
  <c r="P1882" i="33"/>
  <c r="P1883" i="33" s="1"/>
  <c r="P1884" i="33" s="1"/>
  <c r="P1934" i="33"/>
  <c r="P1935" i="33" s="1"/>
  <c r="M1136" i="33"/>
  <c r="M1140" i="33" s="1"/>
  <c r="S1136" i="33"/>
  <c r="S1137" i="33" s="1"/>
  <c r="H1620" i="33"/>
  <c r="AD1668" i="33"/>
  <c r="S1934" i="33"/>
  <c r="S1935" i="33" s="1"/>
  <c r="N22" i="33"/>
  <c r="N24" i="33" s="1"/>
  <c r="P38" i="33"/>
  <c r="O22" i="33"/>
  <c r="S38" i="33"/>
  <c r="R22" i="33"/>
  <c r="N37" i="33"/>
  <c r="T38" i="33"/>
  <c r="T22" i="33"/>
  <c r="T24" i="33" s="1"/>
  <c r="T37" i="33"/>
  <c r="G38" i="33"/>
  <c r="M39" i="33"/>
  <c r="M38" i="33"/>
  <c r="M37" i="33"/>
  <c r="O37" i="33"/>
  <c r="O39" i="33"/>
  <c r="O38" i="33"/>
  <c r="AD94" i="33"/>
  <c r="J39" i="33"/>
  <c r="J38" i="33"/>
  <c r="J37" i="33"/>
  <c r="AD47" i="33"/>
  <c r="AD59" i="33"/>
  <c r="N131" i="33"/>
  <c r="N132" i="33"/>
  <c r="L25" i="33"/>
  <c r="L22" i="33"/>
  <c r="AE1995" i="33"/>
  <c r="AE1987" i="33"/>
  <c r="AE1981" i="33"/>
  <c r="AE1955" i="33"/>
  <c r="AE1926" i="33"/>
  <c r="AE1922" i="33"/>
  <c r="AE1916" i="33"/>
  <c r="AE1988" i="33"/>
  <c r="AE1982" i="33"/>
  <c r="AE1949" i="33"/>
  <c r="AE1929" i="33"/>
  <c r="AE1927" i="33"/>
  <c r="AE1923" i="33"/>
  <c r="AE1991" i="33"/>
  <c r="AE1983" i="33"/>
  <c r="AE1930" i="33"/>
  <c r="AE1905" i="33"/>
  <c r="AE1899" i="33"/>
  <c r="AE1992" i="33"/>
  <c r="AE1984" i="33"/>
  <c r="AE1978" i="33"/>
  <c r="AE1948" i="33"/>
  <c r="AE1932" i="33"/>
  <c r="AE1993" i="33"/>
  <c r="AE1985" i="33"/>
  <c r="AE1979" i="33"/>
  <c r="AE1954" i="33"/>
  <c r="AE1945" i="33"/>
  <c r="AE1994" i="33"/>
  <c r="AE1986" i="33"/>
  <c r="AE1980" i="33"/>
  <c r="AE1946" i="33"/>
  <c r="AE1921" i="33"/>
  <c r="AE1902" i="33"/>
  <c r="AE1901" i="33"/>
  <c r="AE1893" i="33"/>
  <c r="AE1885" i="33"/>
  <c r="AE1873" i="33"/>
  <c r="AE1856" i="33"/>
  <c r="AE1844" i="33"/>
  <c r="AE1838" i="33"/>
  <c r="AE1917" i="33"/>
  <c r="AE1903" i="33"/>
  <c r="AE1898" i="33"/>
  <c r="AE1869" i="33"/>
  <c r="AE1859" i="33"/>
  <c r="AE1853" i="33"/>
  <c r="AE1847" i="33"/>
  <c r="AE1841" i="33"/>
  <c r="AE1835" i="33"/>
  <c r="AE1868" i="33"/>
  <c r="AE1860" i="33"/>
  <c r="AE1855" i="33"/>
  <c r="AE1842" i="33"/>
  <c r="AE1837" i="33"/>
  <c r="AE1834" i="33"/>
  <c r="AE1828" i="33"/>
  <c r="AE1822" i="33"/>
  <c r="AE1816" i="33"/>
  <c r="AE1810" i="33"/>
  <c r="AE1799" i="33"/>
  <c r="AE1784" i="33"/>
  <c r="AE1900" i="33"/>
  <c r="AE1881" i="33"/>
  <c r="AE1871" i="33"/>
  <c r="AE1858" i="33"/>
  <c r="AE1845" i="33"/>
  <c r="AE1840" i="33"/>
  <c r="AE1829" i="33"/>
  <c r="AE1823" i="33"/>
  <c r="AE1817" i="33"/>
  <c r="AE1811" i="33"/>
  <c r="AE1785" i="33"/>
  <c r="AE1874" i="33"/>
  <c r="AE1848" i="33"/>
  <c r="AE1843" i="33"/>
  <c r="AE1830" i="33"/>
  <c r="AE1824" i="33"/>
  <c r="AE1818" i="33"/>
  <c r="AE1812" i="33"/>
  <c r="AE1794" i="33"/>
  <c r="AE1786" i="33"/>
  <c r="AE1779" i="33"/>
  <c r="AE1770" i="33"/>
  <c r="AE1747" i="33"/>
  <c r="AE1741" i="33"/>
  <c r="AE1734" i="33"/>
  <c r="AE1728" i="33"/>
  <c r="AE1846" i="33"/>
  <c r="AE1831" i="33"/>
  <c r="AE1825" i="33"/>
  <c r="AE1819" i="33"/>
  <c r="AE1813" i="33"/>
  <c r="AE1796" i="33"/>
  <c r="AE1787" i="33"/>
  <c r="AE1780" i="33"/>
  <c r="AE1904" i="33"/>
  <c r="AE1854" i="33"/>
  <c r="AE1849" i="33"/>
  <c r="AE1836" i="33"/>
  <c r="AE1832" i="33"/>
  <c r="AE1826" i="33"/>
  <c r="AE1820" i="33"/>
  <c r="AE1814" i="33"/>
  <c r="AE1797" i="33"/>
  <c r="AE1789" i="33"/>
  <c r="AE1895" i="33"/>
  <c r="AE1870" i="33"/>
  <c r="AE1857" i="33"/>
  <c r="AE1852" i="33"/>
  <c r="AE1839" i="33"/>
  <c r="AE1833" i="33"/>
  <c r="AE1827" i="33"/>
  <c r="AE1821" i="33"/>
  <c r="AE1815" i="33"/>
  <c r="AE1809" i="33"/>
  <c r="AE1798" i="33"/>
  <c r="AE1783" i="33"/>
  <c r="AE1773" i="33"/>
  <c r="AE1763" i="33"/>
  <c r="AE1744" i="33"/>
  <c r="AE1731" i="33"/>
  <c r="AE1725" i="33"/>
  <c r="AE1778" i="33"/>
  <c r="AE1768" i="33"/>
  <c r="AE1753" i="33"/>
  <c r="AE1748" i="33"/>
  <c r="AE1743" i="33"/>
  <c r="AE1729" i="33"/>
  <c r="AE1724" i="33"/>
  <c r="AE1711" i="33"/>
  <c r="AE1680" i="33"/>
  <c r="AE1782" i="33"/>
  <c r="AE1771" i="33"/>
  <c r="AE1764" i="33"/>
  <c r="AE1746" i="33"/>
  <c r="AE1732" i="33"/>
  <c r="AE1727" i="33"/>
  <c r="AE1720" i="33"/>
  <c r="AE1769" i="33"/>
  <c r="AE1762" i="33"/>
  <c r="AE1736" i="33"/>
  <c r="AE1730" i="33"/>
  <c r="AE1694" i="33"/>
  <c r="AE1652" i="33"/>
  <c r="AE1646" i="33"/>
  <c r="AE1636" i="33"/>
  <c r="AE1613" i="33"/>
  <c r="AE1772" i="33"/>
  <c r="AE1765" i="33"/>
  <c r="AE1733" i="33"/>
  <c r="AE1695" i="33"/>
  <c r="AE1742" i="33"/>
  <c r="AE1737" i="33"/>
  <c r="AE1723" i="33"/>
  <c r="AE1745" i="33"/>
  <c r="AE1740" i="33"/>
  <c r="AE1726" i="33"/>
  <c r="AE1687" i="33"/>
  <c r="AE1649" i="33"/>
  <c r="AE1643" i="33"/>
  <c r="AE1633" i="33"/>
  <c r="AE1625" i="33"/>
  <c r="AE1610" i="33"/>
  <c r="AE1604" i="33"/>
  <c r="AE1594" i="33"/>
  <c r="AE1647" i="33"/>
  <c r="AE1642" i="33"/>
  <c r="AE1612" i="33"/>
  <c r="AE1576" i="33"/>
  <c r="AE1650" i="33"/>
  <c r="AE1645" i="33"/>
  <c r="AE1634" i="33"/>
  <c r="AE1615" i="33"/>
  <c r="AE1587" i="33"/>
  <c r="AE1648" i="33"/>
  <c r="AE1637" i="33"/>
  <c r="AE1632" i="33"/>
  <c r="AE1605" i="33"/>
  <c r="AE1578" i="33"/>
  <c r="AE1572" i="33"/>
  <c r="AE1566" i="33"/>
  <c r="AE1541" i="33"/>
  <c r="AE1535" i="33"/>
  <c r="AE1494" i="33"/>
  <c r="AE1487" i="33"/>
  <c r="AE1475" i="33"/>
  <c r="AE1469" i="33"/>
  <c r="AE1651" i="33"/>
  <c r="AE1635" i="33"/>
  <c r="AE1603" i="33"/>
  <c r="AE1583" i="33"/>
  <c r="AE1573" i="33"/>
  <c r="AE1567" i="33"/>
  <c r="AE1611" i="33"/>
  <c r="AE1606" i="33"/>
  <c r="AE1644" i="33"/>
  <c r="AE1614" i="33"/>
  <c r="AE1609" i="33"/>
  <c r="AE1593" i="33"/>
  <c r="AE1575" i="33"/>
  <c r="AE1569" i="33"/>
  <c r="AE1544" i="33"/>
  <c r="AE1532" i="33"/>
  <c r="AE1506" i="33"/>
  <c r="AE1498" i="33"/>
  <c r="AE1490" i="33"/>
  <c r="AE1484" i="33"/>
  <c r="AE1478" i="33"/>
  <c r="AE1472" i="33"/>
  <c r="AE1565" i="33"/>
  <c r="AE1543" i="33"/>
  <c r="AE1491" i="33"/>
  <c r="AE1486" i="33"/>
  <c r="AE1473" i="33"/>
  <c r="AE1467" i="33"/>
  <c r="AE1465" i="33"/>
  <c r="AE1456" i="33"/>
  <c r="AE1548" i="33"/>
  <c r="AE1533" i="33"/>
  <c r="AE1495" i="33"/>
  <c r="AE1489" i="33"/>
  <c r="AE1476" i="33"/>
  <c r="AE1471" i="33"/>
  <c r="AE1468" i="33"/>
  <c r="AE1457" i="33"/>
  <c r="AE1580" i="33"/>
  <c r="AE1577" i="33"/>
  <c r="AE1536" i="33"/>
  <c r="AE1531" i="33"/>
  <c r="AE1525" i="33"/>
  <c r="AE1509" i="33"/>
  <c r="AE1499" i="33"/>
  <c r="AE1493" i="33"/>
  <c r="AE1479" i="33"/>
  <c r="AE1474" i="33"/>
  <c r="AE1460" i="33"/>
  <c r="AE1458" i="33"/>
  <c r="AE1452" i="33"/>
  <c r="AE1443" i="33"/>
  <c r="AE1431" i="33"/>
  <c r="AE1414" i="33"/>
  <c r="AE1408" i="33"/>
  <c r="AE1396" i="33"/>
  <c r="AE1384" i="33"/>
  <c r="AE1368" i="33"/>
  <c r="AE1364" i="33"/>
  <c r="AE1355" i="33"/>
  <c r="AE1347" i="33"/>
  <c r="AE1341" i="33"/>
  <c r="AE1333" i="33"/>
  <c r="AE1327" i="33"/>
  <c r="AE1574" i="33"/>
  <c r="AE1534" i="33"/>
  <c r="AE1497" i="33"/>
  <c r="AE1477" i="33"/>
  <c r="AE1461" i="33"/>
  <c r="AE1453" i="33"/>
  <c r="AE1444" i="33"/>
  <c r="AE1571" i="33"/>
  <c r="AE1559" i="33"/>
  <c r="AE1542" i="33"/>
  <c r="AE1537" i="33"/>
  <c r="AE1500" i="33"/>
  <c r="AE1485" i="33"/>
  <c r="AE1480" i="33"/>
  <c r="AE1462" i="33"/>
  <c r="AE1454" i="33"/>
  <c r="AE1568" i="33"/>
  <c r="AE1545" i="33"/>
  <c r="AE1540" i="33"/>
  <c r="AE1505" i="33"/>
  <c r="AE1488" i="33"/>
  <c r="AE1483" i="33"/>
  <c r="AE1470" i="33"/>
  <c r="AE1463" i="33"/>
  <c r="AE1455" i="33"/>
  <c r="AE1446" i="33"/>
  <c r="AE1411" i="33"/>
  <c r="AE1399" i="33"/>
  <c r="AE1352" i="33"/>
  <c r="AE1344" i="33"/>
  <c r="AE1337" i="33"/>
  <c r="AE1330" i="33"/>
  <c r="AE1324" i="33"/>
  <c r="AE1430" i="33"/>
  <c r="AE1409" i="33"/>
  <c r="AE1387" i="33"/>
  <c r="AE1342" i="33"/>
  <c r="AE1336" i="33"/>
  <c r="AE1328" i="33"/>
  <c r="AE1314" i="33"/>
  <c r="AE1308" i="33"/>
  <c r="AE1302" i="33"/>
  <c r="AE1296" i="33"/>
  <c r="AE1290" i="33"/>
  <c r="AE1282" i="33"/>
  <c r="AE1435" i="33"/>
  <c r="AE1412" i="33"/>
  <c r="AE1397" i="33"/>
  <c r="AE1353" i="33"/>
  <c r="AE1345" i="33"/>
  <c r="AE1340" i="33"/>
  <c r="AE1331" i="33"/>
  <c r="AE1326" i="33"/>
  <c r="AE1309" i="33"/>
  <c r="AE1303" i="33"/>
  <c r="AE1297" i="33"/>
  <c r="AE1291" i="33"/>
  <c r="AE1283" i="33"/>
  <c r="AE1410" i="33"/>
  <c r="AE1400" i="33"/>
  <c r="AE1365" i="33"/>
  <c r="AE1356" i="33"/>
  <c r="AE1343" i="33"/>
  <c r="AE1329" i="33"/>
  <c r="AE1310" i="33"/>
  <c r="AE1304" i="33"/>
  <c r="AE1298" i="33"/>
  <c r="AE1292" i="33"/>
  <c r="AE1285" i="33"/>
  <c r="AE1271" i="33"/>
  <c r="AE1255" i="33"/>
  <c r="AE1240" i="33"/>
  <c r="AE1234" i="33"/>
  <c r="AE1228" i="33"/>
  <c r="AE1222" i="33"/>
  <c r="AE1216" i="33"/>
  <c r="AE1210" i="33"/>
  <c r="AE1204" i="33"/>
  <c r="AE1198" i="33"/>
  <c r="AE1192" i="33"/>
  <c r="AE1186" i="33"/>
  <c r="AE1180" i="33"/>
  <c r="AE1445" i="33"/>
  <c r="AE1413" i="33"/>
  <c r="AE1398" i="33"/>
  <c r="AE1354" i="33"/>
  <c r="AE1346" i="33"/>
  <c r="AE1332" i="33"/>
  <c r="AE1311" i="33"/>
  <c r="AE1305" i="33"/>
  <c r="AE1299" i="33"/>
  <c r="AE1293" i="33"/>
  <c r="AE1286" i="33"/>
  <c r="AE1279" i="33"/>
  <c r="AE1428" i="33"/>
  <c r="AE1419" i="33"/>
  <c r="AE1401" i="33"/>
  <c r="AE1385" i="33"/>
  <c r="AE1369" i="33"/>
  <c r="AE1366" i="33"/>
  <c r="AE1357" i="33"/>
  <c r="AE1335" i="33"/>
  <c r="AE1312" i="33"/>
  <c r="AE1306" i="33"/>
  <c r="AE1300" i="33"/>
  <c r="AE1294" i="33"/>
  <c r="AE1287" i="33"/>
  <c r="AE1432" i="33"/>
  <c r="AE1406" i="33"/>
  <c r="AE1360" i="33"/>
  <c r="AE1338" i="33"/>
  <c r="AE1325" i="33"/>
  <c r="AE1313" i="33"/>
  <c r="AE1307" i="33"/>
  <c r="AE1301" i="33"/>
  <c r="AE1295" i="33"/>
  <c r="AE1288" i="33"/>
  <c r="AE1281" i="33"/>
  <c r="AE1258" i="33"/>
  <c r="AE1252" i="33"/>
  <c r="AE1237" i="33"/>
  <c r="AE1225" i="33"/>
  <c r="AE1219" i="33"/>
  <c r="AE1207" i="33"/>
  <c r="AE1201" i="33"/>
  <c r="AE1189" i="33"/>
  <c r="AE1183" i="33"/>
  <c r="AE1254" i="33"/>
  <c r="AE1236" i="33"/>
  <c r="AE1223" i="33"/>
  <c r="AE1218" i="33"/>
  <c r="AE1205" i="33"/>
  <c r="AE1200" i="33"/>
  <c r="AE1187" i="33"/>
  <c r="AE1182" i="33"/>
  <c r="AE1129" i="33"/>
  <c r="AE1270" i="33"/>
  <c r="AE1257" i="33"/>
  <c r="AE1239" i="33"/>
  <c r="AE1226" i="33"/>
  <c r="AE1221" i="33"/>
  <c r="AE1208" i="33"/>
  <c r="AE1203" i="33"/>
  <c r="AE1190" i="33"/>
  <c r="AE1185" i="33"/>
  <c r="AE1152" i="33"/>
  <c r="AE1280" i="33"/>
  <c r="AE1229" i="33"/>
  <c r="AE1224" i="33"/>
  <c r="AE1211" i="33"/>
  <c r="AE1206" i="33"/>
  <c r="AE1193" i="33"/>
  <c r="AE1188" i="33"/>
  <c r="AE1154" i="33"/>
  <c r="AE1147" i="33"/>
  <c r="AE1131" i="33"/>
  <c r="AE1121" i="33"/>
  <c r="AE1070" i="33"/>
  <c r="AE1227" i="33"/>
  <c r="AE1209" i="33"/>
  <c r="AE1191" i="33"/>
  <c r="AE1163" i="33"/>
  <c r="AE1161" i="33"/>
  <c r="AE1132" i="33"/>
  <c r="AE1253" i="33"/>
  <c r="AE1248" i="33"/>
  <c r="AE1235" i="33"/>
  <c r="AE1230" i="33"/>
  <c r="AE1217" i="33"/>
  <c r="AE1212" i="33"/>
  <c r="AE1199" i="33"/>
  <c r="AE1194" i="33"/>
  <c r="AE1181" i="33"/>
  <c r="AE1165" i="33"/>
  <c r="AE1256" i="33"/>
  <c r="AE1251" i="33"/>
  <c r="AE1238" i="33"/>
  <c r="AE1233" i="33"/>
  <c r="AE1220" i="33"/>
  <c r="AE1215" i="33"/>
  <c r="AE1202" i="33"/>
  <c r="AE1197" i="33"/>
  <c r="AE1184" i="33"/>
  <c r="AE1179" i="33"/>
  <c r="AE1176" i="33"/>
  <c r="AE1166" i="33"/>
  <c r="AE1134" i="33"/>
  <c r="AE1128" i="33"/>
  <c r="AE1118" i="33"/>
  <c r="AE1112" i="33"/>
  <c r="AE1067" i="33"/>
  <c r="AE1048" i="33"/>
  <c r="AE1043" i="33"/>
  <c r="AE1120" i="33"/>
  <c r="AE1109" i="33"/>
  <c r="AE1071" i="33"/>
  <c r="AE1066" i="33"/>
  <c r="AE1012" i="33"/>
  <c r="AE1003" i="33"/>
  <c r="AE982" i="33"/>
  <c r="AE976" i="33"/>
  <c r="AE957" i="33"/>
  <c r="AE949" i="33"/>
  <c r="AE942" i="33"/>
  <c r="AE893" i="33"/>
  <c r="AE1069" i="33"/>
  <c r="AE1004" i="33"/>
  <c r="AE977" i="33"/>
  <c r="AE958" i="33"/>
  <c r="AE950" i="33"/>
  <c r="AE944" i="33"/>
  <c r="AE932" i="33"/>
  <c r="AE1133" i="33"/>
  <c r="AE1113" i="33"/>
  <c r="AE1105" i="33"/>
  <c r="AE1065" i="33"/>
  <c r="AE1055" i="33"/>
  <c r="AE1005" i="33"/>
  <c r="AE978" i="33"/>
  <c r="AE959" i="33"/>
  <c r="AE951" i="33"/>
  <c r="AE945" i="33"/>
  <c r="AE933" i="33"/>
  <c r="AE920" i="33"/>
  <c r="AE896" i="33"/>
  <c r="AE888" i="33"/>
  <c r="AE842" i="33"/>
  <c r="AE1146" i="33"/>
  <c r="AE1130" i="33"/>
  <c r="AE1111" i="33"/>
  <c r="AE1026" i="33"/>
  <c r="AE995" i="33"/>
  <c r="AE987" i="33"/>
  <c r="AE979" i="33"/>
  <c r="AE952" i="33"/>
  <c r="AE946" i="33"/>
  <c r="AE939" i="33"/>
  <c r="AE934" i="33"/>
  <c r="AE1119" i="33"/>
  <c r="AE1114" i="33"/>
  <c r="AE1054" i="33"/>
  <c r="AE1038" i="33"/>
  <c r="AE1027" i="33"/>
  <c r="AE1016" i="33"/>
  <c r="AE998" i="33"/>
  <c r="AE988" i="33"/>
  <c r="AE980" i="33"/>
  <c r="AE947" i="33"/>
  <c r="AE940" i="33"/>
  <c r="AE927" i="33"/>
  <c r="AE1122" i="33"/>
  <c r="AE1117" i="33"/>
  <c r="AE1068" i="33"/>
  <c r="AE1044" i="33"/>
  <c r="AE1041" i="33"/>
  <c r="AE1034" i="33"/>
  <c r="AE1028" i="33"/>
  <c r="AE1011" i="33"/>
  <c r="AE1000" i="33"/>
  <c r="AE981" i="33"/>
  <c r="AE975" i="33"/>
  <c r="AE973" i="33"/>
  <c r="AE971" i="33"/>
  <c r="AE966" i="33"/>
  <c r="AE956" i="33"/>
  <c r="AE948" i="33"/>
  <c r="AE941" i="33"/>
  <c r="AE891" i="33"/>
  <c r="AE883" i="33"/>
  <c r="AE845" i="33"/>
  <c r="AE900" i="33"/>
  <c r="AE890" i="33"/>
  <c r="AE844" i="33"/>
  <c r="AE838" i="33"/>
  <c r="AE836" i="33"/>
  <c r="AE798" i="33"/>
  <c r="AE795" i="33"/>
  <c r="AE779" i="33"/>
  <c r="AE772" i="33"/>
  <c r="AE449" i="33"/>
  <c r="AE444" i="33"/>
  <c r="AE438" i="33"/>
  <c r="AE686" i="33"/>
  <c r="AE673" i="33"/>
  <c r="AE662" i="33"/>
  <c r="AE887" i="33"/>
  <c r="AE787" i="33"/>
  <c r="AE773" i="33"/>
  <c r="AE450" i="33"/>
  <c r="AE439" i="33"/>
  <c r="AE691" i="33"/>
  <c r="AE663" i="33"/>
  <c r="AE895" i="33"/>
  <c r="AE831" i="33"/>
  <c r="AE814" i="33"/>
  <c r="AE803" i="33"/>
  <c r="AE788" i="33"/>
  <c r="AE774" i="33"/>
  <c r="AE451" i="33"/>
  <c r="AE440" i="33"/>
  <c r="AE679" i="33"/>
  <c r="AE664" i="33"/>
  <c r="AE639" i="33"/>
  <c r="AE627" i="33"/>
  <c r="AE623" i="33"/>
  <c r="AE612" i="33"/>
  <c r="AE602" i="33"/>
  <c r="AE591" i="33"/>
  <c r="AE524" i="33"/>
  <c r="AE484" i="33"/>
  <c r="AE579" i="33"/>
  <c r="AE549" i="33"/>
  <c r="AE515" i="33"/>
  <c r="AE564" i="33"/>
  <c r="AE546" i="33"/>
  <c r="AE509" i="33"/>
  <c r="AE832" i="33"/>
  <c r="AE824" i="33"/>
  <c r="AE815" i="33"/>
  <c r="AE806" i="33"/>
  <c r="AE789" i="33"/>
  <c r="AE775" i="33"/>
  <c r="AE452" i="33"/>
  <c r="AE445" i="33"/>
  <c r="AE441" i="33"/>
  <c r="AE435" i="33"/>
  <c r="AE683" i="33"/>
  <c r="AE665" i="33"/>
  <c r="AE659" i="33"/>
  <c r="AE880" i="33"/>
  <c r="AE843" i="33"/>
  <c r="AE834" i="33"/>
  <c r="AE825" i="33"/>
  <c r="AE816" i="33"/>
  <c r="AE807" i="33"/>
  <c r="AE792" i="33"/>
  <c r="AE790" i="33"/>
  <c r="AE777" i="33"/>
  <c r="AE446" i="33"/>
  <c r="AE442" i="33"/>
  <c r="AE436" i="33"/>
  <c r="AE684" i="33"/>
  <c r="AE666" i="33"/>
  <c r="AE660" i="33"/>
  <c r="AE916" i="33"/>
  <c r="AE846" i="33"/>
  <c r="AE841" i="33"/>
  <c r="AE835" i="33"/>
  <c r="AE808" i="33"/>
  <c r="AE794" i="33"/>
  <c r="AE793" i="33"/>
  <c r="AE778" i="33"/>
  <c r="AE447" i="33"/>
  <c r="AE443" i="33"/>
  <c r="AE437" i="33"/>
  <c r="AE685" i="33"/>
  <c r="AE672" i="33"/>
  <c r="AE670" i="33"/>
  <c r="AE661" i="33"/>
  <c r="AE634" i="33"/>
  <c r="AE622" i="33"/>
  <c r="AE607" i="33"/>
  <c r="AE605" i="33"/>
  <c r="AE599" i="33"/>
  <c r="AE485" i="33"/>
  <c r="AE522" i="33"/>
  <c r="AE576" i="33"/>
  <c r="AE570" i="33"/>
  <c r="AE512" i="33"/>
  <c r="AE638" i="33"/>
  <c r="AE626" i="33"/>
  <c r="AE609" i="33"/>
  <c r="AE601" i="33"/>
  <c r="AE598" i="33"/>
  <c r="AE529" i="33"/>
  <c r="AE521" i="33"/>
  <c r="AE517" i="33"/>
  <c r="AE569" i="33"/>
  <c r="AE586" i="33"/>
  <c r="AE559" i="33"/>
  <c r="AE507" i="33"/>
  <c r="AE472" i="33"/>
  <c r="AE540" i="33"/>
  <c r="AE496" i="33"/>
  <c r="AE584" i="33"/>
  <c r="AE534" i="33"/>
  <c r="AE530" i="33"/>
  <c r="AE487" i="33"/>
  <c r="AE423" i="33"/>
  <c r="AE416" i="33"/>
  <c r="AE409" i="33"/>
  <c r="AE393" i="33"/>
  <c r="AE387" i="33"/>
  <c r="AE364" i="33"/>
  <c r="AE358" i="33"/>
  <c r="AE346" i="33"/>
  <c r="AE613" i="33"/>
  <c r="AE604" i="33"/>
  <c r="AE587" i="33"/>
  <c r="AE523" i="33"/>
  <c r="AE577" i="33"/>
  <c r="AE481" i="33"/>
  <c r="AE562" i="33"/>
  <c r="AE545" i="33"/>
  <c r="AE475" i="33"/>
  <c r="AE474" i="33"/>
  <c r="AE497" i="33"/>
  <c r="AE462" i="33"/>
  <c r="AE585" i="33"/>
  <c r="AE581" i="33"/>
  <c r="AE537" i="33"/>
  <c r="AE458" i="33"/>
  <c r="AE488" i="33"/>
  <c r="AE394" i="33"/>
  <c r="AE388" i="33"/>
  <c r="AE379" i="33"/>
  <c r="AE374" i="33"/>
  <c r="AE372" i="33"/>
  <c r="AE365" i="33"/>
  <c r="AE359" i="33"/>
  <c r="AE347" i="33"/>
  <c r="AE615" i="33"/>
  <c r="AE554" i="33"/>
  <c r="AE580" i="33"/>
  <c r="AE518" i="33"/>
  <c r="AE565" i="33"/>
  <c r="AE511" i="33"/>
  <c r="AE541" i="33"/>
  <c r="AE498" i="33"/>
  <c r="AE463" i="33"/>
  <c r="AE588" i="33"/>
  <c r="AE456" i="33"/>
  <c r="AE532" i="33"/>
  <c r="AE459" i="33"/>
  <c r="AE489" i="33"/>
  <c r="AE399" i="33"/>
  <c r="AE395" i="33"/>
  <c r="AE389" i="33"/>
  <c r="AE370" i="33"/>
  <c r="AE360" i="33"/>
  <c r="AE348" i="33"/>
  <c r="AE340" i="33"/>
  <c r="AE324" i="33"/>
  <c r="AE320" i="33"/>
  <c r="AE277" i="33"/>
  <c r="AE590" i="33"/>
  <c r="AE578" i="33"/>
  <c r="AE563" i="33"/>
  <c r="AE543" i="33"/>
  <c r="AE542" i="33"/>
  <c r="AE500" i="33"/>
  <c r="AE589" i="33"/>
  <c r="AE457" i="33"/>
  <c r="AE533" i="33"/>
  <c r="AE461" i="33"/>
  <c r="AE490" i="33"/>
  <c r="AE390" i="33"/>
  <c r="AE361" i="33"/>
  <c r="AE349" i="33"/>
  <c r="AE341" i="33"/>
  <c r="AE632" i="33"/>
  <c r="AE616" i="33"/>
  <c r="AE608" i="33"/>
  <c r="AE600" i="33"/>
  <c r="AE597" i="33"/>
  <c r="AE552" i="33"/>
  <c r="AE483" i="33"/>
  <c r="AE568" i="33"/>
  <c r="AE479" i="33"/>
  <c r="AE510" i="33"/>
  <c r="AE504" i="33"/>
  <c r="AE501" i="33"/>
  <c r="AE471" i="33"/>
  <c r="AE491" i="33"/>
  <c r="AE582" i="33"/>
  <c r="AE535" i="33"/>
  <c r="AE527" i="33"/>
  <c r="AE418" i="33"/>
  <c r="AE413" i="33"/>
  <c r="AE391" i="33"/>
  <c r="AE382" i="33"/>
  <c r="AE373" i="33"/>
  <c r="AE362" i="33"/>
  <c r="AE344" i="33"/>
  <c r="AE342" i="33"/>
  <c r="AE610" i="33"/>
  <c r="AE606" i="33"/>
  <c r="AE603" i="33"/>
  <c r="AE553" i="33"/>
  <c r="AE520" i="33"/>
  <c r="AE571" i="33"/>
  <c r="AE514" i="33"/>
  <c r="AE561" i="33"/>
  <c r="AE508" i="33"/>
  <c r="AE505" i="33"/>
  <c r="AE503" i="33"/>
  <c r="AE538" i="33"/>
  <c r="AE494" i="33"/>
  <c r="AE583" i="33"/>
  <c r="AE531" i="33"/>
  <c r="AE528" i="33"/>
  <c r="AE421" i="33"/>
  <c r="AE420" i="33"/>
  <c r="AE419" i="33"/>
  <c r="AE392" i="33"/>
  <c r="AE386" i="33"/>
  <c r="AE383" i="33"/>
  <c r="AE376" i="33"/>
  <c r="AE369" i="33"/>
  <c r="AE363" i="33"/>
  <c r="AE345" i="33"/>
  <c r="AE336" i="33"/>
  <c r="AE335" i="33"/>
  <c r="AE331" i="33"/>
  <c r="AE327" i="33"/>
  <c r="AE321" i="33"/>
  <c r="AE317" i="33"/>
  <c r="AE313" i="33"/>
  <c r="AE302" i="33"/>
  <c r="AE266" i="33"/>
  <c r="AE276" i="33"/>
  <c r="AE248" i="33"/>
  <c r="AE243" i="33"/>
  <c r="AE230" i="33"/>
  <c r="AE221" i="33"/>
  <c r="AE195" i="33"/>
  <c r="AE186" i="33"/>
  <c r="AE178" i="33"/>
  <c r="AE163" i="33"/>
  <c r="AE318" i="33"/>
  <c r="AE303" i="33"/>
  <c r="AE249" i="33"/>
  <c r="AE244" i="33"/>
  <c r="AE231" i="33"/>
  <c r="AE204" i="33"/>
  <c r="AE196" i="33"/>
  <c r="AE187" i="33"/>
  <c r="AE164" i="33"/>
  <c r="AE290" i="33"/>
  <c r="AE250" i="33"/>
  <c r="AE232" i="33"/>
  <c r="AE225" i="33"/>
  <c r="AE215" i="33"/>
  <c r="AE209" i="33"/>
  <c r="AE205" i="33"/>
  <c r="AE165" i="33"/>
  <c r="AE112" i="33"/>
  <c r="AE319" i="33"/>
  <c r="AE251" i="33"/>
  <c r="AE233" i="33"/>
  <c r="AE227" i="33"/>
  <c r="AE211" i="33"/>
  <c r="AE206" i="33"/>
  <c r="AE166" i="33"/>
  <c r="AE292" i="33"/>
  <c r="AE275" i="33"/>
  <c r="AE260" i="33"/>
  <c r="AE252" i="33"/>
  <c r="AE234" i="33"/>
  <c r="AE228" i="33"/>
  <c r="AE219" i="33"/>
  <c r="AE212" i="33"/>
  <c r="AE182" i="33"/>
  <c r="AE176" i="33"/>
  <c r="AE167" i="33"/>
  <c r="AE326" i="33"/>
  <c r="AE323" i="33"/>
  <c r="AE288" i="33"/>
  <c r="AE265" i="33"/>
  <c r="AE262" i="33"/>
  <c r="AE246" i="33"/>
  <c r="AE240" i="33"/>
  <c r="AE229" i="33"/>
  <c r="AE220" i="33"/>
  <c r="AE194" i="33"/>
  <c r="AE185" i="33"/>
  <c r="AE183" i="33"/>
  <c r="AE177" i="33"/>
  <c r="AE175" i="33"/>
  <c r="AE157" i="33"/>
  <c r="I12" i="33"/>
  <c r="K16" i="33"/>
  <c r="Q16" i="33"/>
  <c r="L16" i="33"/>
  <c r="I20" i="33"/>
  <c r="H21" i="33"/>
  <c r="H26" i="33" s="1"/>
  <c r="G22" i="33"/>
  <c r="M22" i="33"/>
  <c r="S22" i="33"/>
  <c r="L28" i="33"/>
  <c r="G34" i="33"/>
  <c r="S34" i="33"/>
  <c r="K36" i="33"/>
  <c r="Q36" i="33"/>
  <c r="P37" i="33"/>
  <c r="G40" i="33"/>
  <c r="S40" i="33"/>
  <c r="AE43" i="33"/>
  <c r="AE45" i="33"/>
  <c r="AE72" i="33"/>
  <c r="AE75" i="33"/>
  <c r="P81" i="33"/>
  <c r="AE84" i="33"/>
  <c r="AD87" i="33"/>
  <c r="AE87" i="33" s="1"/>
  <c r="AD88" i="33"/>
  <c r="AE88" i="33" s="1"/>
  <c r="AE95" i="33"/>
  <c r="H147" i="33"/>
  <c r="J107" i="33"/>
  <c r="AE113" i="33"/>
  <c r="AD122" i="33"/>
  <c r="AE124" i="33"/>
  <c r="J127" i="33"/>
  <c r="S127" i="33"/>
  <c r="Q132" i="33"/>
  <c r="K145" i="33"/>
  <c r="K143" i="33"/>
  <c r="Q145" i="33"/>
  <c r="Q143" i="33"/>
  <c r="AD261" i="33"/>
  <c r="M35" i="33"/>
  <c r="AE62" i="33"/>
  <c r="AE83" i="33"/>
  <c r="H128" i="33"/>
  <c r="H134" i="33" s="1"/>
  <c r="H116" i="33"/>
  <c r="D116" i="33" s="1"/>
  <c r="AG116" i="33" s="1"/>
  <c r="AE121" i="33"/>
  <c r="I133" i="33"/>
  <c r="I130" i="33"/>
  <c r="O133" i="33"/>
  <c r="O130" i="33"/>
  <c r="G134" i="33"/>
  <c r="H16" i="33"/>
  <c r="Q20" i="33"/>
  <c r="H35" i="33"/>
  <c r="R37" i="33"/>
  <c r="T41" i="33"/>
  <c r="AE61" i="33"/>
  <c r="AE65" i="33"/>
  <c r="R81" i="33"/>
  <c r="AE82" i="33"/>
  <c r="AE106" i="33"/>
  <c r="M127" i="33"/>
  <c r="G145" i="33"/>
  <c r="G144" i="33"/>
  <c r="M145" i="33"/>
  <c r="M144" i="33"/>
  <c r="S145" i="33"/>
  <c r="S144" i="33"/>
  <c r="AD149" i="33"/>
  <c r="AD272" i="33"/>
  <c r="K20" i="33"/>
  <c r="H28" i="33"/>
  <c r="I28" i="33"/>
  <c r="O28" i="33"/>
  <c r="O35" i="33"/>
  <c r="G37" i="33"/>
  <c r="S37" i="33"/>
  <c r="R38" i="33"/>
  <c r="I44" i="33"/>
  <c r="D44" i="33" s="1"/>
  <c r="AG44" i="33" s="1"/>
  <c r="AE60" i="33"/>
  <c r="AE89" i="33"/>
  <c r="I147" i="33"/>
  <c r="AE104" i="33"/>
  <c r="AE119" i="33"/>
  <c r="AD123" i="33"/>
  <c r="O129" i="33"/>
  <c r="N145" i="33"/>
  <c r="N144" i="33"/>
  <c r="N143" i="33"/>
  <c r="T145" i="33"/>
  <c r="T144" i="33"/>
  <c r="T143" i="33"/>
  <c r="S143" i="33"/>
  <c r="AD150" i="33"/>
  <c r="J200" i="33"/>
  <c r="J199" i="33"/>
  <c r="J201" i="33"/>
  <c r="J28" i="33"/>
  <c r="J35" i="33"/>
  <c r="AE86" i="33"/>
  <c r="AE114" i="33"/>
  <c r="L130" i="33"/>
  <c r="L133" i="33"/>
  <c r="R130" i="33"/>
  <c r="R133" i="33"/>
  <c r="P127" i="33"/>
  <c r="AE138" i="33"/>
  <c r="AD273" i="33"/>
  <c r="K28" i="33"/>
  <c r="Q28" i="33"/>
  <c r="AE46" i="33"/>
  <c r="D53" i="33"/>
  <c r="AG53" i="33" s="1"/>
  <c r="AE85" i="33"/>
  <c r="AE96" i="33"/>
  <c r="P131" i="33"/>
  <c r="J145" i="33"/>
  <c r="J144" i="33"/>
  <c r="P145" i="33"/>
  <c r="P144" i="33"/>
  <c r="M143" i="33"/>
  <c r="H151" i="33"/>
  <c r="H152" i="33" s="1"/>
  <c r="G152" i="33"/>
  <c r="H197" i="33"/>
  <c r="L199" i="33"/>
  <c r="R199" i="33"/>
  <c r="Q200" i="33"/>
  <c r="Q253" i="33"/>
  <c r="D253" i="33" s="1"/>
  <c r="AG253" i="33" s="1"/>
  <c r="AD263" i="33"/>
  <c r="AD300" i="33"/>
  <c r="L311" i="33"/>
  <c r="AD315" i="33"/>
  <c r="AD333" i="33"/>
  <c r="AD410" i="33"/>
  <c r="H198" i="33"/>
  <c r="L200" i="33"/>
  <c r="R200" i="33"/>
  <c r="Q201" i="33"/>
  <c r="I203" i="33"/>
  <c r="J255" i="33"/>
  <c r="D255" i="33" s="1"/>
  <c r="AG255" i="33" s="1"/>
  <c r="O256" i="33"/>
  <c r="L259" i="33"/>
  <c r="D259" i="33" s="1"/>
  <c r="AG259" i="33" s="1"/>
  <c r="N311" i="33"/>
  <c r="N199" i="33"/>
  <c r="T199" i="33"/>
  <c r="Q330" i="33"/>
  <c r="M338" i="33"/>
  <c r="M339" i="33" s="1"/>
  <c r="AD378" i="33"/>
  <c r="AE378" i="33" s="1"/>
  <c r="K197" i="33"/>
  <c r="I199" i="33"/>
  <c r="O199" i="33"/>
  <c r="N200" i="33"/>
  <c r="T200" i="33"/>
  <c r="AD264" i="33"/>
  <c r="G308" i="33"/>
  <c r="H311" i="33"/>
  <c r="G312" i="33"/>
  <c r="AD322" i="33"/>
  <c r="AE322" i="33" s="1"/>
  <c r="AD325" i="33"/>
  <c r="AD371" i="33"/>
  <c r="AD403" i="33"/>
  <c r="AD642" i="33"/>
  <c r="K198" i="33"/>
  <c r="I200" i="33"/>
  <c r="O200" i="33"/>
  <c r="R203" i="33"/>
  <c r="AD424" i="33"/>
  <c r="G311" i="33"/>
  <c r="M311" i="33"/>
  <c r="S311" i="33"/>
  <c r="AD354" i="33"/>
  <c r="AD405" i="33"/>
  <c r="AD525" i="33"/>
  <c r="AD551" i="33"/>
  <c r="AD617" i="33"/>
  <c r="AE617" i="33" s="1"/>
  <c r="G385" i="33"/>
  <c r="D385" i="33" s="1"/>
  <c r="AG385" i="33" s="1"/>
  <c r="AD428" i="33"/>
  <c r="AD429" i="33"/>
  <c r="AD430" i="33"/>
  <c r="AD618" i="33"/>
  <c r="AE618" i="33" s="1"/>
  <c r="AD635" i="33"/>
  <c r="AD644" i="33"/>
  <c r="AE644" i="33" s="1"/>
  <c r="AD785" i="33"/>
  <c r="AD547" i="33"/>
  <c r="AD519" i="33"/>
  <c r="AD614" i="33"/>
  <c r="AD637" i="33"/>
  <c r="AD641" i="33"/>
  <c r="AD628" i="33"/>
  <c r="H786" i="33"/>
  <c r="L810" i="33"/>
  <c r="D810" i="33" s="1"/>
  <c r="AG810" i="33" s="1"/>
  <c r="J812" i="33"/>
  <c r="P812" i="33"/>
  <c r="G850" i="33"/>
  <c r="M837" i="33"/>
  <c r="M850" i="33" s="1"/>
  <c r="H926" i="33"/>
  <c r="H925" i="33"/>
  <c r="N926" i="33"/>
  <c r="N925" i="33"/>
  <c r="T926" i="33"/>
  <c r="T925" i="33"/>
  <c r="AD862" i="33"/>
  <c r="AD865" i="33"/>
  <c r="I926" i="33"/>
  <c r="I925" i="33"/>
  <c r="I924" i="33"/>
  <c r="G811" i="33"/>
  <c r="M811" i="33"/>
  <c r="S811" i="33"/>
  <c r="K813" i="33"/>
  <c r="L823" i="33"/>
  <c r="L854" i="33" s="1"/>
  <c r="AD886" i="33"/>
  <c r="AD897" i="33"/>
  <c r="J926" i="33"/>
  <c r="J925" i="33"/>
  <c r="J924" i="33"/>
  <c r="P926" i="33"/>
  <c r="P925" i="33"/>
  <c r="P924" i="33"/>
  <c r="L924" i="33"/>
  <c r="L926" i="33"/>
  <c r="L925" i="33"/>
  <c r="K786" i="33"/>
  <c r="G812" i="33"/>
  <c r="AD860" i="33"/>
  <c r="AD863" i="33"/>
  <c r="AD866" i="33"/>
  <c r="AD889" i="33"/>
  <c r="AD899" i="33"/>
  <c r="I917" i="33"/>
  <c r="K925" i="33"/>
  <c r="K926" i="33"/>
  <c r="Q925" i="33"/>
  <c r="Q926" i="33"/>
  <c r="O926" i="33"/>
  <c r="O925" i="33"/>
  <c r="O924" i="33"/>
  <c r="N924" i="33"/>
  <c r="R924" i="33"/>
  <c r="R926" i="33"/>
  <c r="R925" i="33"/>
  <c r="AD861" i="33"/>
  <c r="AD864" i="33"/>
  <c r="AD879" i="33"/>
  <c r="M926" i="33"/>
  <c r="M925" i="33"/>
  <c r="M924" i="33"/>
  <c r="S926" i="33"/>
  <c r="S925" i="33"/>
  <c r="S924" i="33"/>
  <c r="H1021" i="33"/>
  <c r="N1021" i="33"/>
  <c r="G1022" i="33"/>
  <c r="M1022" i="33"/>
  <c r="S1022" i="33"/>
  <c r="AD1039" i="33"/>
  <c r="AD1073" i="33"/>
  <c r="AD1115" i="33"/>
  <c r="G1023" i="33"/>
  <c r="M1023" i="33"/>
  <c r="S1023" i="33"/>
  <c r="D968" i="33"/>
  <c r="AG968" i="33" s="1"/>
  <c r="H984" i="33"/>
  <c r="T1014" i="33"/>
  <c r="D1014" i="33" s="1"/>
  <c r="AG1014" i="33" s="1"/>
  <c r="J1021" i="33"/>
  <c r="P1021" i="33"/>
  <c r="N1136" i="33"/>
  <c r="T1136" i="33"/>
  <c r="G1018" i="33"/>
  <c r="K1021" i="33"/>
  <c r="Q1021" i="33"/>
  <c r="J1022" i="33"/>
  <c r="P1022" i="33"/>
  <c r="AD1040" i="33"/>
  <c r="H1136" i="33"/>
  <c r="AD1116" i="33"/>
  <c r="H1135" i="33"/>
  <c r="K1136" i="33"/>
  <c r="AD1143" i="33"/>
  <c r="AD1148" i="33"/>
  <c r="AD1177" i="33"/>
  <c r="AD1195" i="33"/>
  <c r="AD1213" i="33"/>
  <c r="AD1231" i="33"/>
  <c r="AE1231" i="33" s="1"/>
  <c r="G1241" i="33"/>
  <c r="L1244" i="33"/>
  <c r="AD1249" i="33"/>
  <c r="G1264" i="33"/>
  <c r="D1264" i="33" s="1"/>
  <c r="AG1264" i="33" s="1"/>
  <c r="O1244" i="33"/>
  <c r="AD1175" i="33"/>
  <c r="AD1178" i="33"/>
  <c r="AD1196" i="33"/>
  <c r="AD1214" i="33"/>
  <c r="AD1232" i="33"/>
  <c r="P1245" i="33"/>
  <c r="AD1250" i="33"/>
  <c r="AE1250" i="33" s="1"/>
  <c r="G1261" i="33"/>
  <c r="D1261" i="33" s="1"/>
  <c r="AG1261" i="33" s="1"/>
  <c r="I1244" i="33"/>
  <c r="J1245" i="33"/>
  <c r="AD1358" i="33"/>
  <c r="AD1367" i="33"/>
  <c r="AE1367" i="33" s="1"/>
  <c r="AD1402" i="33"/>
  <c r="AE1402" i="33" s="1"/>
  <c r="G1405" i="33"/>
  <c r="AD1507" i="33"/>
  <c r="AE1507" i="33" s="1"/>
  <c r="AD1553" i="33"/>
  <c r="AD1434" i="33"/>
  <c r="AE1434" i="33" s="1"/>
  <c r="AD1359" i="33"/>
  <c r="AD1362" i="33"/>
  <c r="AD1403" i="33"/>
  <c r="AD1361" i="33"/>
  <c r="AD1407" i="33"/>
  <c r="AD1481" i="33"/>
  <c r="AD1503" i="33"/>
  <c r="AE1503" i="33" s="1"/>
  <c r="AD1512" i="33"/>
  <c r="M1520" i="33"/>
  <c r="AD1538" i="33"/>
  <c r="AD1556" i="33"/>
  <c r="P1581" i="33"/>
  <c r="P1582" i="33" s="1"/>
  <c r="AD1560" i="33"/>
  <c r="L1516" i="33"/>
  <c r="I1521" i="33"/>
  <c r="AD1579" i="33"/>
  <c r="I1520" i="33"/>
  <c r="N1549" i="33"/>
  <c r="N1550" i="33" s="1"/>
  <c r="T1549" i="33"/>
  <c r="T1550" i="33" s="1"/>
  <c r="I1581" i="33"/>
  <c r="I1582" i="33" s="1"/>
  <c r="AD1482" i="33"/>
  <c r="AD1504" i="33"/>
  <c r="AE1504" i="33" s="1"/>
  <c r="O1516" i="33"/>
  <c r="N1519" i="33"/>
  <c r="AD1539" i="33"/>
  <c r="J1581" i="33"/>
  <c r="J1582" i="33" s="1"/>
  <c r="N1581" i="33"/>
  <c r="N1582" i="33" s="1"/>
  <c r="G1581" i="33"/>
  <c r="M1581" i="33"/>
  <c r="M1582" i="33" s="1"/>
  <c r="AD1564" i="33"/>
  <c r="P1517" i="33"/>
  <c r="N1521" i="33"/>
  <c r="Q1549" i="33"/>
  <c r="Q1550" i="33" s="1"/>
  <c r="AD1570" i="33"/>
  <c r="P1591" i="33"/>
  <c r="P1617" i="33" s="1"/>
  <c r="AD1607" i="33"/>
  <c r="P1616" i="33"/>
  <c r="D1616" i="33" s="1"/>
  <c r="AG1616" i="33" s="1"/>
  <c r="Q1620" i="33"/>
  <c r="T1617" i="33"/>
  <c r="I1620" i="33"/>
  <c r="R1620" i="33"/>
  <c r="J1620" i="33"/>
  <c r="L1714" i="33"/>
  <c r="D1714" i="33" s="1"/>
  <c r="AG1714" i="33" s="1"/>
  <c r="L1678" i="33"/>
  <c r="L1679" i="33" s="1"/>
  <c r="L1674" i="33"/>
  <c r="D1674" i="33" s="1"/>
  <c r="AG1674" i="33" s="1"/>
  <c r="L1671" i="33"/>
  <c r="D1671" i="33" s="1"/>
  <c r="AG1671" i="33" s="1"/>
  <c r="L1670" i="33"/>
  <c r="D1670" i="33" s="1"/>
  <c r="AG1670" i="33" s="1"/>
  <c r="L1676" i="33"/>
  <c r="D1676" i="33" s="1"/>
  <c r="AG1676" i="33" s="1"/>
  <c r="L1673" i="33"/>
  <c r="L1669" i="33"/>
  <c r="D1669" i="33" s="1"/>
  <c r="AG1669" i="33" s="1"/>
  <c r="S1620" i="33"/>
  <c r="S1621" i="33" s="1"/>
  <c r="AD1592" i="33"/>
  <c r="AD1608" i="33"/>
  <c r="L1620" i="33"/>
  <c r="AD1657" i="33"/>
  <c r="G1617" i="33"/>
  <c r="O1620" i="33"/>
  <c r="AD1656" i="33"/>
  <c r="G1679" i="33"/>
  <c r="H1691" i="33"/>
  <c r="AD1693" i="33"/>
  <c r="AD1738" i="33"/>
  <c r="M1880" i="33"/>
  <c r="M1879" i="33"/>
  <c r="AD1700" i="33"/>
  <c r="AD1703" i="33"/>
  <c r="AD1706" i="33"/>
  <c r="N1880" i="33"/>
  <c r="N1879" i="33"/>
  <c r="P1880" i="33"/>
  <c r="P1879" i="33"/>
  <c r="I1879" i="33"/>
  <c r="I1880" i="33"/>
  <c r="O1879" i="33"/>
  <c r="O1880" i="33"/>
  <c r="Q1880" i="33"/>
  <c r="Q1879" i="33"/>
  <c r="AD1702" i="33"/>
  <c r="AD1705" i="33"/>
  <c r="AD1739" i="33"/>
  <c r="AE1739" i="33" s="1"/>
  <c r="AD1777" i="33"/>
  <c r="AE1777" i="33" s="1"/>
  <c r="H1880" i="33"/>
  <c r="H1879" i="33"/>
  <c r="T1880" i="33"/>
  <c r="T1879" i="33"/>
  <c r="AD1701" i="33"/>
  <c r="AD1704" i="33"/>
  <c r="AD1776" i="33"/>
  <c r="L1879" i="33"/>
  <c r="L1880" i="33"/>
  <c r="R1879" i="33"/>
  <c r="R1880" i="33"/>
  <c r="K1880" i="33"/>
  <c r="K1879" i="33"/>
  <c r="H1882" i="33"/>
  <c r="H1883" i="33" s="1"/>
  <c r="H1884" i="33" s="1"/>
  <c r="N1882" i="33"/>
  <c r="N1883" i="33" s="1"/>
  <c r="N1884" i="33" s="1"/>
  <c r="T1882" i="33"/>
  <c r="T1883" i="33" s="1"/>
  <c r="T1884" i="33" s="1"/>
  <c r="AD1850" i="33"/>
  <c r="AE1850" i="33" s="1"/>
  <c r="J1880" i="33"/>
  <c r="S1880" i="33"/>
  <c r="AD1896" i="33"/>
  <c r="AD1897" i="33"/>
  <c r="AD1907" i="33"/>
  <c r="K1882" i="33"/>
  <c r="K1883" i="33" s="1"/>
  <c r="K1884" i="33" s="1"/>
  <c r="Q1882" i="33"/>
  <c r="Q1883" i="33" s="1"/>
  <c r="Q1884" i="33" s="1"/>
  <c r="AD1851" i="33"/>
  <c r="H1935" i="33"/>
  <c r="AD1908" i="33"/>
  <c r="I1934" i="33"/>
  <c r="I1935" i="33" s="1"/>
  <c r="O1934" i="33"/>
  <c r="O1935" i="33" s="1"/>
  <c r="H1936" i="33"/>
  <c r="N1936" i="33"/>
  <c r="T1936" i="33"/>
  <c r="K1934" i="33"/>
  <c r="K1935" i="33" s="1"/>
  <c r="Q1934" i="33"/>
  <c r="Q1935" i="33" s="1"/>
  <c r="L1934" i="33"/>
  <c r="L1935" i="33" s="1"/>
  <c r="R1934" i="33"/>
  <c r="R1935" i="33" s="1"/>
  <c r="AE899" i="33" l="1"/>
  <c r="AE1064" i="33"/>
  <c r="AE1060" i="33"/>
  <c r="AE869" i="33"/>
  <c r="Q871" i="33"/>
  <c r="O876" i="33"/>
  <c r="O882" i="33"/>
  <c r="N876" i="33"/>
  <c r="N882" i="33"/>
  <c r="R876" i="33"/>
  <c r="R882" i="33"/>
  <c r="I876" i="33"/>
  <c r="I882" i="33"/>
  <c r="P876" i="33"/>
  <c r="P882" i="33"/>
  <c r="M876" i="33"/>
  <c r="M882" i="33"/>
  <c r="Q870" i="33"/>
  <c r="Q876" i="33"/>
  <c r="O870" i="33"/>
  <c r="O871" i="33"/>
  <c r="N870" i="33"/>
  <c r="N871" i="33"/>
  <c r="R870" i="33"/>
  <c r="R871" i="33"/>
  <c r="I870" i="33"/>
  <c r="I871" i="33"/>
  <c r="M870" i="33"/>
  <c r="M871" i="33"/>
  <c r="P870" i="33"/>
  <c r="P871" i="33"/>
  <c r="AE1738" i="33"/>
  <c r="AE1359" i="33"/>
  <c r="D986" i="33"/>
  <c r="D1025" i="33"/>
  <c r="AG1025" i="33" s="1"/>
  <c r="AE100" i="33"/>
  <c r="AE1592" i="33"/>
  <c r="AE1403" i="33"/>
  <c r="AE1039" i="33"/>
  <c r="AE149" i="33"/>
  <c r="AE1148" i="33"/>
  <c r="AE1073" i="33"/>
  <c r="AE1214" i="33"/>
  <c r="AE1249" i="33"/>
  <c r="AE300" i="33"/>
  <c r="AE1896" i="33"/>
  <c r="AE325" i="33"/>
  <c r="AE1538" i="33"/>
  <c r="AE1040" i="33"/>
  <c r="AE264" i="33"/>
  <c r="AE1851" i="33"/>
  <c r="AE1482" i="33"/>
  <c r="AE525" i="33"/>
  <c r="AE410" i="33"/>
  <c r="AE273" i="33"/>
  <c r="AE403" i="33"/>
  <c r="AE1564" i="33"/>
  <c r="AE1177" i="33"/>
  <c r="AE150" i="33"/>
  <c r="AE1556" i="33"/>
  <c r="AE263" i="33"/>
  <c r="AE1175" i="33"/>
  <c r="AE1607" i="33"/>
  <c r="AE1897" i="33"/>
  <c r="AE1213" i="33"/>
  <c r="AE424" i="33"/>
  <c r="AE430" i="33"/>
  <c r="AE1579" i="33"/>
  <c r="AE429" i="33"/>
  <c r="AE1608" i="33"/>
  <c r="AE1358" i="33"/>
  <c r="AE1178" i="33"/>
  <c r="AE551" i="33"/>
  <c r="AE1570" i="33"/>
  <c r="AE1143" i="33"/>
  <c r="AE547" i="33"/>
  <c r="AE1693" i="33"/>
  <c r="AE785" i="33"/>
  <c r="AE628" i="33"/>
  <c r="AE879" i="33"/>
  <c r="AE1232" i="33"/>
  <c r="AE354" i="33"/>
  <c r="AE555" i="33"/>
  <c r="AE635" i="33"/>
  <c r="AE1560" i="33"/>
  <c r="AE1195" i="33"/>
  <c r="AE1116" i="33"/>
  <c r="AE886" i="33"/>
  <c r="AE1481" i="33"/>
  <c r="AE1553" i="33"/>
  <c r="AE1907" i="33"/>
  <c r="AE1196" i="33"/>
  <c r="AE897" i="33"/>
  <c r="AE637" i="33"/>
  <c r="AE642" i="33"/>
  <c r="AE519" i="33"/>
  <c r="AE371" i="33"/>
  <c r="AE122" i="33"/>
  <c r="AE614" i="33"/>
  <c r="AE123" i="33"/>
  <c r="AE1657" i="33"/>
  <c r="AE434" i="33"/>
  <c r="AE1037" i="33"/>
  <c r="AE1425" i="33"/>
  <c r="AE1793" i="33"/>
  <c r="AE224" i="33"/>
  <c r="AE455" i="33"/>
  <c r="AE771" i="33"/>
  <c r="AE1719" i="33"/>
  <c r="AE1756" i="33"/>
  <c r="AE218" i="33"/>
  <c r="AE913" i="33"/>
  <c r="AE994" i="33"/>
  <c r="AE1052" i="33"/>
  <c r="AE938" i="33"/>
  <c r="AE1891" i="33"/>
  <c r="AE1944" i="33"/>
  <c r="AE1032" i="33"/>
  <c r="AE1631" i="33"/>
  <c r="AE1104" i="33"/>
  <c r="AE1158" i="33"/>
  <c r="AE1323" i="33"/>
  <c r="AE1351" i="33"/>
  <c r="AE1376" i="33"/>
  <c r="AE1395" i="33"/>
  <c r="AE1776" i="33"/>
  <c r="AE1705" i="33"/>
  <c r="AE1700" i="33"/>
  <c r="AE1361" i="33"/>
  <c r="AE860" i="33"/>
  <c r="AE865" i="33"/>
  <c r="AE641" i="33"/>
  <c r="AE428" i="33"/>
  <c r="AE333" i="33"/>
  <c r="AE261" i="33"/>
  <c r="AE1512" i="33"/>
  <c r="AE315" i="33"/>
  <c r="AE272" i="33"/>
  <c r="AE1539" i="33"/>
  <c r="AE889" i="33"/>
  <c r="AE1115" i="33"/>
  <c r="AE866" i="33"/>
  <c r="AE1908" i="33"/>
  <c r="AE1701" i="33"/>
  <c r="AE1703" i="33"/>
  <c r="AE1656" i="33"/>
  <c r="AE1407" i="33"/>
  <c r="AE1362" i="33"/>
  <c r="AE861" i="33"/>
  <c r="AE863" i="33"/>
  <c r="AE1968" i="33"/>
  <c r="AE1451" i="33"/>
  <c r="AE380" i="33"/>
  <c r="AE833" i="33"/>
  <c r="AE57" i="33"/>
  <c r="AE655" i="33"/>
  <c r="AE645" i="33"/>
  <c r="AE71" i="33"/>
  <c r="AE105" i="33"/>
  <c r="AE1966" i="33"/>
  <c r="AE269" i="33"/>
  <c r="AE943" i="33"/>
  <c r="AE1973" i="33"/>
  <c r="AE94" i="33"/>
  <c r="AE1668" i="33"/>
  <c r="AE1415" i="33"/>
  <c r="AE658" i="33"/>
  <c r="AE648" i="33"/>
  <c r="AE352" i="33"/>
  <c r="AE647" i="33"/>
  <c r="AE646" i="33"/>
  <c r="AE1530" i="33"/>
  <c r="AE412" i="33"/>
  <c r="AE411" i="33"/>
  <c r="AE70" i="33"/>
  <c r="AE59" i="33"/>
  <c r="AE1689" i="33"/>
  <c r="AE226" i="33"/>
  <c r="AE404" i="33"/>
  <c r="AE1033" i="33"/>
  <c r="AE268" i="33"/>
  <c r="AE1704" i="33"/>
  <c r="AE1702" i="33"/>
  <c r="AE1706" i="33"/>
  <c r="AE864" i="33"/>
  <c r="AE862" i="33"/>
  <c r="AE405" i="33"/>
  <c r="AE47" i="33"/>
  <c r="AE1686" i="33"/>
  <c r="AE270" i="33"/>
  <c r="AE406" i="33"/>
  <c r="AE236" i="33"/>
  <c r="AE1972" i="33"/>
  <c r="AE621" i="33"/>
  <c r="AE1464" i="33"/>
  <c r="AE139" i="33"/>
  <c r="AE111" i="33"/>
  <c r="AE1045" i="33"/>
  <c r="AE162" i="33"/>
  <c r="AE156" i="33"/>
  <c r="AE682" i="33"/>
  <c r="AE267" i="33"/>
  <c r="AE415" i="33"/>
  <c r="AE235" i="33"/>
  <c r="AE633" i="33"/>
  <c r="AE1684" i="33"/>
  <c r="AE1348" i="33"/>
  <c r="AE1939" i="33"/>
  <c r="AE8" i="33"/>
  <c r="AD1555" i="33"/>
  <c r="AD611" i="33"/>
  <c r="AD66" i="33"/>
  <c r="AD1913" i="33"/>
  <c r="AD1590" i="33"/>
  <c r="AD239" i="33"/>
  <c r="AD1595" i="33"/>
  <c r="D41" i="33"/>
  <c r="AG41" i="33" s="1"/>
  <c r="S852" i="33"/>
  <c r="AD1047" i="33"/>
  <c r="L853" i="33"/>
  <c r="L852" i="33"/>
  <c r="O853" i="33"/>
  <c r="S851" i="33"/>
  <c r="O851" i="33"/>
  <c r="Q851" i="33"/>
  <c r="Q853" i="33"/>
  <c r="Q852" i="33"/>
  <c r="J852" i="33"/>
  <c r="J851" i="33"/>
  <c r="J853" i="33"/>
  <c r="P852" i="33"/>
  <c r="P851" i="33"/>
  <c r="P853" i="33"/>
  <c r="M851" i="33"/>
  <c r="M853" i="33"/>
  <c r="M852" i="33"/>
  <c r="D830" i="33"/>
  <c r="AG830" i="33" s="1"/>
  <c r="R851" i="33"/>
  <c r="R853" i="33"/>
  <c r="R852" i="33"/>
  <c r="I852" i="33"/>
  <c r="I853" i="33"/>
  <c r="I851" i="33"/>
  <c r="T852" i="33"/>
  <c r="T851" i="33"/>
  <c r="T853" i="33"/>
  <c r="K851" i="33"/>
  <c r="K853" i="33"/>
  <c r="K852" i="33"/>
  <c r="N852" i="33"/>
  <c r="N851" i="33"/>
  <c r="N853" i="33"/>
  <c r="H852" i="33"/>
  <c r="H851" i="33"/>
  <c r="AD1436" i="33"/>
  <c r="D110" i="33"/>
  <c r="AG110" i="33" s="1"/>
  <c r="AD79" i="33"/>
  <c r="AE79" i="33" s="1"/>
  <c r="M40" i="33"/>
  <c r="M81" i="33"/>
  <c r="AD1682" i="33"/>
  <c r="D1591" i="33"/>
  <c r="AD1315" i="33"/>
  <c r="H143" i="33"/>
  <c r="D143" i="33" s="1"/>
  <c r="AD1990" i="33"/>
  <c r="AD783" i="33"/>
  <c r="D799" i="33"/>
  <c r="T1243" i="33"/>
  <c r="T1244" i="33" s="1"/>
  <c r="M1137" i="33"/>
  <c r="M1139" i="33" s="1"/>
  <c r="AD1805" i="33"/>
  <c r="D800" i="33"/>
  <c r="AG800" i="33" s="1"/>
  <c r="H145" i="33"/>
  <c r="D145" i="33" s="1"/>
  <c r="AG145" i="33" s="1"/>
  <c r="AD1864" i="33"/>
  <c r="M1624" i="33"/>
  <c r="AD989" i="33"/>
  <c r="AD407" i="33"/>
  <c r="AD1508" i="33"/>
  <c r="AD1861" i="33"/>
  <c r="AD671" i="33"/>
  <c r="AD1511" i="33"/>
  <c r="AD1174" i="33"/>
  <c r="AD1318" i="33"/>
  <c r="AD1438" i="33"/>
  <c r="T1023" i="33"/>
  <c r="D1023" i="33" s="1"/>
  <c r="AG1023" i="33" s="1"/>
  <c r="AD1127" i="33"/>
  <c r="AD161" i="33"/>
  <c r="O34" i="33"/>
  <c r="L38" i="33"/>
  <c r="AD1863" i="33"/>
  <c r="L37" i="33"/>
  <c r="AD1557" i="33"/>
  <c r="AD1862" i="33"/>
  <c r="AD1247" i="33"/>
  <c r="O1140" i="33"/>
  <c r="AD1662" i="33"/>
  <c r="AD801" i="33"/>
  <c r="M131" i="33"/>
  <c r="AD1688" i="33"/>
  <c r="AG1688" i="33"/>
  <c r="AD1442" i="33"/>
  <c r="AG1442" i="33"/>
  <c r="AD210" i="33"/>
  <c r="AG210" i="33"/>
  <c r="AD1660" i="33"/>
  <c r="AG1660" i="33"/>
  <c r="AD1172" i="33"/>
  <c r="AG1172" i="33"/>
  <c r="AD1887" i="33"/>
  <c r="AG1887" i="33"/>
  <c r="AD1441" i="33"/>
  <c r="AG1441" i="33"/>
  <c r="AD1149" i="33"/>
  <c r="AG1149" i="33"/>
  <c r="AD921" i="33"/>
  <c r="AG921" i="33"/>
  <c r="AD1602" i="33"/>
  <c r="AG1602" i="33"/>
  <c r="AD1170" i="33"/>
  <c r="AG1170" i="33"/>
  <c r="AD314" i="33"/>
  <c r="AG314" i="33"/>
  <c r="AD1319" i="33"/>
  <c r="AG1319" i="33"/>
  <c r="AD1124" i="33"/>
  <c r="AG1124" i="33"/>
  <c r="AD928" i="33"/>
  <c r="AG928" i="33"/>
  <c r="AD305" i="33"/>
  <c r="AG305" i="33"/>
  <c r="AD1807" i="33"/>
  <c r="AG1807" i="33"/>
  <c r="AD343" i="33"/>
  <c r="AG343" i="33"/>
  <c r="AD1597" i="33"/>
  <c r="AG1597" i="33"/>
  <c r="AD154" i="33"/>
  <c r="AG154" i="33"/>
  <c r="AD67" i="33"/>
  <c r="AG67" i="33"/>
  <c r="AD30" i="33"/>
  <c r="AG30" i="33"/>
  <c r="AD140" i="33"/>
  <c r="AG140" i="33"/>
  <c r="AD93" i="33"/>
  <c r="AG93" i="33"/>
  <c r="AD92" i="33"/>
  <c r="AD245" i="33"/>
  <c r="AG245" i="33"/>
  <c r="AD1641" i="33"/>
  <c r="AG1641" i="33"/>
  <c r="AD168" i="33"/>
  <c r="AG168" i="33"/>
  <c r="AD19" i="33"/>
  <c r="AG19" i="33"/>
  <c r="AD135" i="33"/>
  <c r="AG135" i="33"/>
  <c r="AD963" i="33"/>
  <c r="AG963" i="33"/>
  <c r="AD148" i="33"/>
  <c r="AG148" i="33"/>
  <c r="AD80" i="33"/>
  <c r="AG80" i="33"/>
  <c r="AD1447" i="33"/>
  <c r="AG1447" i="33"/>
  <c r="AD353" i="33"/>
  <c r="AG353" i="33"/>
  <c r="AD1866" i="33"/>
  <c r="AG1866" i="33"/>
  <c r="AD1439" i="33"/>
  <c r="AG1439" i="33"/>
  <c r="AD1865" i="33"/>
  <c r="AG1865" i="33"/>
  <c r="AD1426" i="33"/>
  <c r="AG1426" i="33"/>
  <c r="AD1125" i="33"/>
  <c r="AG1125" i="33"/>
  <c r="AD306" i="33"/>
  <c r="AG306" i="33"/>
  <c r="AD1672" i="33"/>
  <c r="AG1672" i="33"/>
  <c r="AD207" i="33"/>
  <c r="AG207" i="33"/>
  <c r="AD1947" i="33"/>
  <c r="AG1947" i="33"/>
  <c r="AD1316" i="33"/>
  <c r="AG1316" i="33"/>
  <c r="AD809" i="33"/>
  <c r="AG809" i="33"/>
  <c r="AD983" i="33"/>
  <c r="AG983" i="33"/>
  <c r="AD1800" i="33"/>
  <c r="AG1800" i="33"/>
  <c r="AD1627" i="33"/>
  <c r="AG1627" i="33"/>
  <c r="AD258" i="33"/>
  <c r="AG258" i="33"/>
  <c r="AD1554" i="33"/>
  <c r="AG1554" i="33"/>
  <c r="AD1164" i="33"/>
  <c r="AG1164" i="33"/>
  <c r="AD408" i="33"/>
  <c r="AG408" i="33"/>
  <c r="AD125" i="33"/>
  <c r="AG125" i="33"/>
  <c r="AD63" i="33"/>
  <c r="AG63" i="33"/>
  <c r="AD1272" i="33"/>
  <c r="AG1272" i="33"/>
  <c r="AD1009" i="33"/>
  <c r="AG1009" i="33"/>
  <c r="AD174" i="33"/>
  <c r="AG174" i="33"/>
  <c r="AD859" i="33"/>
  <c r="AG859" i="33"/>
  <c r="AD169" i="33"/>
  <c r="AG169" i="33"/>
  <c r="AD1429" i="33"/>
  <c r="AG1429" i="33"/>
  <c r="AD1437" i="33"/>
  <c r="AG1437" i="33"/>
  <c r="AD381" i="33"/>
  <c r="AG381" i="33"/>
  <c r="AD68" i="33"/>
  <c r="AG68" i="33"/>
  <c r="AD1273" i="33"/>
  <c r="AG1273" i="33"/>
  <c r="AD1951" i="33"/>
  <c r="AG1951" i="33"/>
  <c r="AD1618" i="33"/>
  <c r="AG1618" i="33"/>
  <c r="AD108" i="33"/>
  <c r="AG108" i="33"/>
  <c r="AD1713" i="33"/>
  <c r="AG1713" i="33"/>
  <c r="AD1601" i="33"/>
  <c r="AG1601" i="33"/>
  <c r="AD1015" i="33"/>
  <c r="AG1015" i="33"/>
  <c r="AD1675" i="33"/>
  <c r="AG1675" i="33"/>
  <c r="AD1334" i="33"/>
  <c r="AG1334" i="33"/>
  <c r="AD301" i="33"/>
  <c r="AG301" i="33"/>
  <c r="AD1976" i="33"/>
  <c r="AG1976" i="33"/>
  <c r="AD974" i="33"/>
  <c r="AG974" i="33"/>
  <c r="AD1722" i="33"/>
  <c r="AG1722" i="33"/>
  <c r="AD1528" i="33"/>
  <c r="AG1528" i="33"/>
  <c r="AD1276" i="33"/>
  <c r="AG1276" i="33"/>
  <c r="AD782" i="33"/>
  <c r="AG782" i="33"/>
  <c r="AD1599" i="33"/>
  <c r="AG1599" i="33"/>
  <c r="AD181" i="33"/>
  <c r="AG181" i="33"/>
  <c r="AD1173" i="33"/>
  <c r="AG1173" i="33"/>
  <c r="AD398" i="33"/>
  <c r="AG398" i="33"/>
  <c r="AD118" i="33"/>
  <c r="AG118" i="33"/>
  <c r="AD56" i="33"/>
  <c r="AG56" i="33"/>
  <c r="AD367" i="33"/>
  <c r="AG367" i="33"/>
  <c r="AD180" i="33"/>
  <c r="AG180" i="33"/>
  <c r="AD414" i="33"/>
  <c r="AG414" i="33"/>
  <c r="AD242" i="33"/>
  <c r="AG242" i="33"/>
  <c r="AD636" i="33"/>
  <c r="AG636" i="33"/>
  <c r="AD58" i="33"/>
  <c r="AG58" i="33"/>
  <c r="AD894" i="33"/>
  <c r="AG894" i="33"/>
  <c r="AD1795" i="33"/>
  <c r="AG1795" i="33"/>
  <c r="AD1269" i="33"/>
  <c r="AG1269" i="33"/>
  <c r="AD1145" i="33"/>
  <c r="AG1145" i="33"/>
  <c r="AD955" i="33"/>
  <c r="AG955" i="33"/>
  <c r="AD337" i="33"/>
  <c r="AG337" i="33"/>
  <c r="AD55" i="33"/>
  <c r="AG55" i="33"/>
  <c r="AD1803" i="33"/>
  <c r="AG1803" i="33"/>
  <c r="AD1562" i="33"/>
  <c r="AG1562" i="33"/>
  <c r="AD307" i="33"/>
  <c r="AG307" i="33"/>
  <c r="AD1666" i="33"/>
  <c r="AG1666" i="33"/>
  <c r="AD855" i="33"/>
  <c r="AG855" i="33"/>
  <c r="AD1317" i="33"/>
  <c r="AG1317" i="33"/>
  <c r="AD271" i="33"/>
  <c r="AG271" i="33"/>
  <c r="AD915" i="33"/>
  <c r="AG915" i="33"/>
  <c r="AD1928" i="33"/>
  <c r="AG1928" i="33"/>
  <c r="AD1665" i="33"/>
  <c r="AG1665" i="33"/>
  <c r="AD1975" i="33"/>
  <c r="AG1975" i="33"/>
  <c r="AD1758" i="33"/>
  <c r="AG1758" i="33"/>
  <c r="AD1584" i="33"/>
  <c r="AG1584" i="33"/>
  <c r="AD840" i="33"/>
  <c r="AG840" i="33"/>
  <c r="AD120" i="33"/>
  <c r="AG120" i="33"/>
  <c r="AD1010" i="33"/>
  <c r="AG1010" i="33"/>
  <c r="AD375" i="33"/>
  <c r="AG375" i="33"/>
  <c r="AG9" i="33"/>
  <c r="AD990" i="33"/>
  <c r="AG990" i="33"/>
  <c r="AD366" i="33"/>
  <c r="AG366" i="33"/>
  <c r="AD170" i="33"/>
  <c r="AG170" i="33"/>
  <c r="AD400" i="33"/>
  <c r="AG400" i="33"/>
  <c r="AD54" i="33"/>
  <c r="AG54" i="33"/>
  <c r="AD791" i="33"/>
  <c r="AG791" i="33"/>
  <c r="AD797" i="33"/>
  <c r="AG797" i="33"/>
  <c r="AD1872" i="33"/>
  <c r="AG1872" i="33"/>
  <c r="AD50" i="33"/>
  <c r="AG50" i="33"/>
  <c r="AD77" i="33"/>
  <c r="AG77" i="33"/>
  <c r="AD1721" i="33"/>
  <c r="AG1721" i="33"/>
  <c r="AD1586" i="33"/>
  <c r="AG1586" i="33"/>
  <c r="AD839" i="33"/>
  <c r="AG839" i="33"/>
  <c r="AD1277" i="33"/>
  <c r="AG1277" i="33"/>
  <c r="AD970" i="33"/>
  <c r="AG970" i="33"/>
  <c r="AD384" i="33"/>
  <c r="AG384" i="33"/>
  <c r="AD184" i="33"/>
  <c r="AG184" i="33"/>
  <c r="AD1663" i="33"/>
  <c r="AG1663" i="33"/>
  <c r="AD1167" i="33"/>
  <c r="AG1167" i="33"/>
  <c r="AD274" i="33"/>
  <c r="AG274" i="33"/>
  <c r="AD1710" i="33"/>
  <c r="AG1710" i="33"/>
  <c r="AD1558" i="33"/>
  <c r="AG1558" i="33"/>
  <c r="AD160" i="33"/>
  <c r="AG160" i="33"/>
  <c r="AD73" i="33"/>
  <c r="AG73" i="33"/>
  <c r="AD1284" i="33"/>
  <c r="AG1284" i="33"/>
  <c r="AD356" i="33"/>
  <c r="AG356" i="33"/>
  <c r="AD117" i="33"/>
  <c r="AG117" i="33"/>
  <c r="AG8" i="33"/>
  <c r="AD1267" i="33"/>
  <c r="AG1267" i="33"/>
  <c r="AD334" i="33"/>
  <c r="AG334" i="33"/>
  <c r="AD213" i="33"/>
  <c r="AG213" i="33"/>
  <c r="AD78" i="33"/>
  <c r="AG78" i="33"/>
  <c r="AD18" i="33"/>
  <c r="AG18" i="33"/>
  <c r="AD1042" i="33"/>
  <c r="AG1042" i="33"/>
  <c r="AD173" i="33"/>
  <c r="AG173" i="33"/>
  <c r="AD31" i="33"/>
  <c r="AG31" i="33"/>
  <c r="AD368" i="33"/>
  <c r="AG368" i="33"/>
  <c r="AD1781" i="33"/>
  <c r="AG1781" i="33"/>
  <c r="AD1110" i="33"/>
  <c r="AG1110" i="33"/>
  <c r="AD247" i="33"/>
  <c r="AG247" i="33"/>
  <c r="AD17" i="33"/>
  <c r="AG17" i="33"/>
  <c r="AD401" i="33"/>
  <c r="AG401" i="33"/>
  <c r="AD1466" i="33"/>
  <c r="AG1466" i="33"/>
  <c r="AD1752" i="33"/>
  <c r="AG1752" i="33"/>
  <c r="AD1920" i="33"/>
  <c r="AG1920" i="33"/>
  <c r="AD1450" i="33"/>
  <c r="AG1450" i="33"/>
  <c r="AD214" i="33"/>
  <c r="AG214" i="33"/>
  <c r="AD1761" i="33"/>
  <c r="AG1761" i="33"/>
  <c r="AD796" i="33"/>
  <c r="AG796" i="33"/>
  <c r="AD1449" i="33"/>
  <c r="AG1449" i="33"/>
  <c r="AD1168" i="33"/>
  <c r="AG1168" i="33"/>
  <c r="AD929" i="33"/>
  <c r="AG929" i="33"/>
  <c r="AD1801" i="33"/>
  <c r="AG1801" i="33"/>
  <c r="AD1585" i="33"/>
  <c r="AG1585" i="33"/>
  <c r="AD1886" i="33"/>
  <c r="AG1886" i="33"/>
  <c r="AD1155" i="33"/>
  <c r="AG1155" i="33"/>
  <c r="AD931" i="33"/>
  <c r="AG931" i="33"/>
  <c r="AD1708" i="33"/>
  <c r="AG1708" i="33"/>
  <c r="AD1977" i="33"/>
  <c r="AG1977" i="33"/>
  <c r="AD1268" i="33"/>
  <c r="AG1268" i="33"/>
  <c r="AD153" i="33"/>
  <c r="AG153" i="33"/>
  <c r="AD69" i="33"/>
  <c r="AG69" i="33"/>
  <c r="AD32" i="33"/>
  <c r="AG32" i="33"/>
  <c r="AD922" i="33"/>
  <c r="AG922" i="33"/>
  <c r="AD1019" i="33"/>
  <c r="AG1019" i="33"/>
  <c r="AD828" i="33"/>
  <c r="AG828" i="33"/>
  <c r="AD355" i="33"/>
  <c r="AG355" i="33"/>
  <c r="AD101" i="33"/>
  <c r="AG101" i="33"/>
  <c r="AD76" i="33"/>
  <c r="AG76" i="33"/>
  <c r="AD819" i="33"/>
  <c r="AG819" i="33"/>
  <c r="AD103" i="33"/>
  <c r="AG103" i="33"/>
  <c r="AD64" i="33"/>
  <c r="AG64" i="33"/>
  <c r="AD155" i="33"/>
  <c r="AG155" i="33"/>
  <c r="AD1106" i="33"/>
  <c r="AG1106" i="33"/>
  <c r="AD357" i="33"/>
  <c r="AG357" i="33"/>
  <c r="AG7" i="33"/>
  <c r="T1021" i="33"/>
  <c r="D1021" i="33" s="1"/>
  <c r="T1022" i="33"/>
  <c r="D1022" i="33" s="1"/>
  <c r="AG1022" i="33" s="1"/>
  <c r="D813" i="33"/>
  <c r="D854" i="33"/>
  <c r="AG854" i="33" s="1"/>
  <c r="I40" i="33"/>
  <c r="N40" i="33"/>
  <c r="J1140" i="33"/>
  <c r="L81" i="33"/>
  <c r="D1024" i="33"/>
  <c r="D1405" i="33"/>
  <c r="AD1405" i="33" s="1"/>
  <c r="AD1013" i="33"/>
  <c r="D802" i="33"/>
  <c r="H133" i="33"/>
  <c r="D133" i="33" s="1"/>
  <c r="AG133" i="33" s="1"/>
  <c r="T23" i="33"/>
  <c r="N34" i="33"/>
  <c r="L40" i="33"/>
  <c r="I81" i="33"/>
  <c r="D126" i="33"/>
  <c r="H25" i="33"/>
  <c r="D1931" i="33"/>
  <c r="AD1681" i="33"/>
  <c r="H1621" i="33"/>
  <c r="H1622" i="33"/>
  <c r="K34" i="33"/>
  <c r="K40" i="33"/>
  <c r="O40" i="33"/>
  <c r="H38" i="33"/>
  <c r="I38" i="33"/>
  <c r="I39" i="33"/>
  <c r="P24" i="33"/>
  <c r="H34" i="33"/>
  <c r="H40" i="33"/>
  <c r="J40" i="33"/>
  <c r="D107" i="33"/>
  <c r="AE1390" i="33"/>
  <c r="J81" i="33"/>
  <c r="D12" i="33"/>
  <c r="H39" i="33"/>
  <c r="H1513" i="33"/>
  <c r="H1514" i="33" s="1"/>
  <c r="D329" i="33"/>
  <c r="D1521" i="33"/>
  <c r="AD1529" i="33"/>
  <c r="H1549" i="33"/>
  <c r="H1550" i="33" s="1"/>
  <c r="N1622" i="33"/>
  <c r="N1623" i="33" s="1"/>
  <c r="G924" i="33"/>
  <c r="D924" i="33" s="1"/>
  <c r="AG924" i="33" s="1"/>
  <c r="D109" i="33"/>
  <c r="AD1524" i="33"/>
  <c r="G925" i="33"/>
  <c r="D925" i="33" s="1"/>
  <c r="AG925" i="33" s="1"/>
  <c r="D256" i="33"/>
  <c r="D198" i="33"/>
  <c r="D16" i="33"/>
  <c r="AD1259" i="33"/>
  <c r="AD1867" i="33"/>
  <c r="M1621" i="33"/>
  <c r="D1018" i="33"/>
  <c r="D1519" i="33"/>
  <c r="D203" i="33"/>
  <c r="Q1136" i="33"/>
  <c r="D1136" i="33" s="1"/>
  <c r="AG1136" i="33" s="1"/>
  <c r="T132" i="33"/>
  <c r="D193" i="33"/>
  <c r="D28" i="33"/>
  <c r="D1808" i="33"/>
  <c r="D330" i="33"/>
  <c r="D829" i="33"/>
  <c r="D850" i="33"/>
  <c r="AG850" i="33" s="1"/>
  <c r="D147" i="33"/>
  <c r="D1520" i="33"/>
  <c r="D36" i="33"/>
  <c r="D20" i="33"/>
  <c r="AG20" i="33" s="1"/>
  <c r="D1679" i="33"/>
  <c r="D35" i="33"/>
  <c r="D822" i="33"/>
  <c r="D1696" i="33"/>
  <c r="D338" i="33"/>
  <c r="D197" i="33"/>
  <c r="AG197" i="33" s="1"/>
  <c r="D1527" i="33"/>
  <c r="AD918" i="33"/>
  <c r="G1621" i="33"/>
  <c r="D128" i="33"/>
  <c r="AG128" i="33" s="1"/>
  <c r="D984" i="33"/>
  <c r="D1617" i="33"/>
  <c r="AG1617" i="33" s="1"/>
  <c r="D312" i="33"/>
  <c r="G1550" i="33"/>
  <c r="D26" i="33"/>
  <c r="AG26" i="33" s="1"/>
  <c r="D1459" i="33"/>
  <c r="AG1459" i="33" s="1"/>
  <c r="D202" i="33"/>
  <c r="D179" i="33"/>
  <c r="D1712" i="33"/>
  <c r="D1678" i="33"/>
  <c r="AG1678" i="33" s="1"/>
  <c r="D848" i="33"/>
  <c r="D339" i="33"/>
  <c r="D827" i="33"/>
  <c r="D311" i="33"/>
  <c r="AG311" i="33" s="1"/>
  <c r="D144" i="33"/>
  <c r="AG144" i="33" s="1"/>
  <c r="D134" i="33"/>
  <c r="D1260" i="33"/>
  <c r="D1135" i="33"/>
  <c r="D1126" i="33"/>
  <c r="D1760" i="33"/>
  <c r="G1877" i="33"/>
  <c r="D1876" i="33"/>
  <c r="D1690" i="33"/>
  <c r="D1915" i="33"/>
  <c r="AG1915" i="33" s="1"/>
  <c r="D917" i="33"/>
  <c r="D129" i="33"/>
  <c r="G132" i="33"/>
  <c r="D130" i="33"/>
  <c r="AG130" i="33" s="1"/>
  <c r="G1137" i="33"/>
  <c r="G1139" i="33" s="1"/>
  <c r="D127" i="33"/>
  <c r="D1673" i="33"/>
  <c r="D1751" i="33"/>
  <c r="AG1751" i="33" s="1"/>
  <c r="D151" i="33"/>
  <c r="D1691" i="33"/>
  <c r="D923" i="33"/>
  <c r="D1918" i="33"/>
  <c r="D837" i="33"/>
  <c r="AG837" i="33" s="1"/>
  <c r="D33" i="33"/>
  <c r="D786" i="33"/>
  <c r="D21" i="33"/>
  <c r="AG21" i="33" s="1"/>
  <c r="D1581" i="33"/>
  <c r="AG1581" i="33" s="1"/>
  <c r="D1241" i="33"/>
  <c r="AG1241" i="33" s="1"/>
  <c r="D152" i="33"/>
  <c r="G1935" i="33"/>
  <c r="D1934" i="33"/>
  <c r="AG1934" i="33" s="1"/>
  <c r="D1882" i="33"/>
  <c r="AG1882" i="33" s="1"/>
  <c r="D849" i="33"/>
  <c r="D985" i="33"/>
  <c r="D142" i="33"/>
  <c r="H1925" i="33"/>
  <c r="D1925" i="33" s="1"/>
  <c r="D1924" i="33"/>
  <c r="D141" i="33"/>
  <c r="D11" i="33"/>
  <c r="D1936" i="33"/>
  <c r="D823" i="33"/>
  <c r="AG823" i="33" s="1"/>
  <c r="D136" i="33"/>
  <c r="Q1242" i="33"/>
  <c r="AD1699" i="33"/>
  <c r="S1140" i="33"/>
  <c r="AE914" i="33"/>
  <c r="AD1759" i="33"/>
  <c r="R1137" i="33"/>
  <c r="R1138" i="33" s="1"/>
  <c r="AD1804" i="33"/>
  <c r="AD1561" i="33"/>
  <c r="AD930" i="33"/>
  <c r="AE9" i="33"/>
  <c r="K1622" i="33"/>
  <c r="K1624" i="33" s="1"/>
  <c r="AD402" i="33"/>
  <c r="AE241" i="33"/>
  <c r="AD1658" i="33"/>
  <c r="I1140" i="33"/>
  <c r="L1137" i="33"/>
  <c r="L1138" i="33" s="1"/>
  <c r="AD1919" i="33"/>
  <c r="K132" i="33"/>
  <c r="AD1596" i="33"/>
  <c r="AD1404" i="33"/>
  <c r="AD1263" i="33"/>
  <c r="S1245" i="33"/>
  <c r="S1242" i="33"/>
  <c r="P25" i="33"/>
  <c r="AD1888" i="33"/>
  <c r="AD1806" i="33"/>
  <c r="AD1598" i="33"/>
  <c r="AD784" i="33"/>
  <c r="P1137" i="33"/>
  <c r="P1139" i="33" s="1"/>
  <c r="AD919" i="33"/>
  <c r="AD417" i="33"/>
  <c r="AD1144" i="33"/>
  <c r="AD1150" i="33"/>
  <c r="G1140" i="33"/>
  <c r="N309" i="33"/>
  <c r="L310" i="33"/>
  <c r="J24" i="33"/>
  <c r="J25" i="33"/>
  <c r="N23" i="33"/>
  <c r="AD208" i="33"/>
  <c r="AD1108" i="33"/>
  <c r="AD972" i="33"/>
  <c r="AD858" i="33"/>
  <c r="AD1626" i="33"/>
  <c r="AD1017" i="33"/>
  <c r="AD257" i="33"/>
  <c r="AD1661" i="33"/>
  <c r="AD780" i="33"/>
  <c r="R23" i="33"/>
  <c r="R24" i="33"/>
  <c r="O23" i="33"/>
  <c r="O24" i="33"/>
  <c r="AD259" i="33"/>
  <c r="AD255" i="33"/>
  <c r="AD1669" i="33"/>
  <c r="AD1674" i="33"/>
  <c r="AD1014" i="33"/>
  <c r="AD44" i="33"/>
  <c r="AD1914" i="33"/>
  <c r="AD1912" i="33"/>
  <c r="AD1714" i="33"/>
  <c r="AD1766" i="33"/>
  <c r="AD1757" i="33"/>
  <c r="AD1600" i="33"/>
  <c r="AD1667" i="33"/>
  <c r="AD1664" i="33"/>
  <c r="G1514" i="33"/>
  <c r="AD1123" i="33"/>
  <c r="H1140" i="33"/>
  <c r="H1137" i="33"/>
  <c r="I1138" i="33"/>
  <c r="I1139" i="33"/>
  <c r="L812" i="33"/>
  <c r="D812" i="33" s="1"/>
  <c r="AG812" i="33" s="1"/>
  <c r="L811" i="33"/>
  <c r="D811" i="33" s="1"/>
  <c r="AG811" i="33" s="1"/>
  <c r="J310" i="33"/>
  <c r="J309" i="33"/>
  <c r="S310" i="33"/>
  <c r="S309" i="33"/>
  <c r="K22" i="33"/>
  <c r="K25" i="33"/>
  <c r="AD27" i="33"/>
  <c r="AD254" i="33"/>
  <c r="S24" i="33"/>
  <c r="S23" i="33"/>
  <c r="H24" i="33"/>
  <c r="H23" i="33"/>
  <c r="AD1974" i="33"/>
  <c r="AD1750" i="33"/>
  <c r="AD1709" i="33"/>
  <c r="O1621" i="33"/>
  <c r="O1622" i="33"/>
  <c r="R1621" i="33"/>
  <c r="R1622" i="33"/>
  <c r="AD1510" i="33"/>
  <c r="AD1433" i="33"/>
  <c r="AD1261" i="33"/>
  <c r="AD1275" i="33"/>
  <c r="J1139" i="33"/>
  <c r="J1138" i="33"/>
  <c r="T1140" i="33"/>
  <c r="T1137" i="33"/>
  <c r="S1139" i="33"/>
  <c r="S1138" i="33"/>
  <c r="O1138" i="33"/>
  <c r="O1139" i="33"/>
  <c r="H853" i="33"/>
  <c r="G853" i="33"/>
  <c r="G852" i="33"/>
  <c r="G851" i="33"/>
  <c r="M309" i="33"/>
  <c r="M310" i="33"/>
  <c r="O309" i="33"/>
  <c r="O310" i="33"/>
  <c r="AD115" i="33"/>
  <c r="AD253" i="33"/>
  <c r="AD116" i="33"/>
  <c r="AD99" i="33"/>
  <c r="I132" i="33"/>
  <c r="I131" i="33"/>
  <c r="Q39" i="33"/>
  <c r="Q38" i="33"/>
  <c r="Q37" i="33"/>
  <c r="M24" i="33"/>
  <c r="M23" i="33"/>
  <c r="AD13" i="33"/>
  <c r="AD10" i="33"/>
  <c r="AD1619" i="33"/>
  <c r="AD1671" i="33"/>
  <c r="AD1638" i="33"/>
  <c r="I1621" i="33"/>
  <c r="I1622" i="33"/>
  <c r="AD1518" i="33"/>
  <c r="AD1448" i="33"/>
  <c r="AD1159" i="33"/>
  <c r="AE1375" i="33"/>
  <c r="AD1171" i="33"/>
  <c r="N1137" i="33"/>
  <c r="N1140" i="33"/>
  <c r="AD968" i="33"/>
  <c r="AD810" i="33"/>
  <c r="AD431" i="33"/>
  <c r="G310" i="33"/>
  <c r="G309" i="33"/>
  <c r="AD137" i="33"/>
  <c r="R132" i="33"/>
  <c r="R131" i="33"/>
  <c r="AD15" i="33"/>
  <c r="K39" i="33"/>
  <c r="K38" i="33"/>
  <c r="K37" i="33"/>
  <c r="G24" i="33"/>
  <c r="G23" i="33"/>
  <c r="AD14" i="33"/>
  <c r="AD1933" i="33"/>
  <c r="AD1875" i="33"/>
  <c r="AD1989" i="33"/>
  <c r="AD1692" i="33"/>
  <c r="P1620" i="33"/>
  <c r="AD1659" i="33"/>
  <c r="Q1621" i="33"/>
  <c r="Q1622" i="33"/>
  <c r="G1582" i="33"/>
  <c r="D1582" i="33" s="1"/>
  <c r="AG1582" i="33" s="1"/>
  <c r="AD1440" i="33"/>
  <c r="AD1274" i="33"/>
  <c r="AD1162" i="33"/>
  <c r="AD1169" i="33"/>
  <c r="AD1151" i="33"/>
  <c r="AD847" i="33"/>
  <c r="AD385" i="33"/>
  <c r="K199" i="33"/>
  <c r="K201" i="33"/>
  <c r="K200" i="33"/>
  <c r="Q310" i="33"/>
  <c r="Q309" i="33"/>
  <c r="H201" i="33"/>
  <c r="H200" i="33"/>
  <c r="H199" i="33"/>
  <c r="AD328" i="33"/>
  <c r="AD289" i="33"/>
  <c r="Q22" i="33"/>
  <c r="Q25" i="33"/>
  <c r="AD102" i="33"/>
  <c r="AD74" i="33"/>
  <c r="L24" i="33"/>
  <c r="L23" i="33"/>
  <c r="AD49" i="33"/>
  <c r="AD1749" i="33"/>
  <c r="AD1802" i="33"/>
  <c r="AD1707" i="33"/>
  <c r="AD1628" i="33"/>
  <c r="L1621" i="33"/>
  <c r="L1622" i="33"/>
  <c r="L1677" i="33"/>
  <c r="D1677" i="33" s="1"/>
  <c r="AG1677" i="33" s="1"/>
  <c r="J1622" i="33"/>
  <c r="J1621" i="33"/>
  <c r="G1698" i="33"/>
  <c r="D1698" i="33" s="1"/>
  <c r="AG1698" i="33" s="1"/>
  <c r="AD1616" i="33"/>
  <c r="AD1427" i="33"/>
  <c r="S1515" i="33"/>
  <c r="D1515" i="33" s="1"/>
  <c r="AG1515" i="33" s="1"/>
  <c r="S1514" i="33"/>
  <c r="AD1246" i="33"/>
  <c r="AD1264" i="33"/>
  <c r="G1243" i="33"/>
  <c r="G1242" i="33"/>
  <c r="AD1160" i="33"/>
  <c r="K1140" i="33"/>
  <c r="K1137" i="33"/>
  <c r="AD1020" i="33"/>
  <c r="R309" i="33"/>
  <c r="R310" i="33"/>
  <c r="AD192" i="33"/>
  <c r="H310" i="33"/>
  <c r="H309" i="33"/>
  <c r="I42" i="33"/>
  <c r="D42" i="33" s="1"/>
  <c r="AG42" i="33" s="1"/>
  <c r="L132" i="33"/>
  <c r="L131" i="33"/>
  <c r="I25" i="33"/>
  <c r="I22" i="33"/>
  <c r="AD1906" i="33"/>
  <c r="AD1767" i="33"/>
  <c r="G1884" i="33"/>
  <c r="AD1526" i="33"/>
  <c r="AD1670" i="33"/>
  <c r="AD1563" i="33"/>
  <c r="AD1278" i="33"/>
  <c r="AD1262" i="33"/>
  <c r="AD1107" i="33"/>
  <c r="Q1245" i="33"/>
  <c r="Q1244" i="33"/>
  <c r="AD1046" i="33"/>
  <c r="AD776" i="33"/>
  <c r="AD781" i="33"/>
  <c r="P310" i="33"/>
  <c r="P309" i="33"/>
  <c r="K310" i="33"/>
  <c r="K309" i="33"/>
  <c r="AD332" i="33"/>
  <c r="I309" i="33"/>
  <c r="I310" i="33"/>
  <c r="AD48" i="33"/>
  <c r="O132" i="33"/>
  <c r="O131" i="33"/>
  <c r="AD29" i="33"/>
  <c r="H131" i="33"/>
  <c r="H132" i="33"/>
  <c r="G31" i="31"/>
  <c r="G30" i="31"/>
  <c r="G29" i="31" s="1"/>
  <c r="G27" i="31"/>
  <c r="G26" i="31"/>
  <c r="G25" i="31"/>
  <c r="G24" i="31"/>
  <c r="G23" i="31"/>
  <c r="G22" i="31" s="1"/>
  <c r="G20" i="31"/>
  <c r="G19" i="31"/>
  <c r="G18" i="31"/>
  <c r="G17" i="31"/>
  <c r="G16" i="31"/>
  <c r="G15" i="31"/>
  <c r="G14" i="31"/>
  <c r="G13" i="31"/>
  <c r="G12" i="31"/>
  <c r="G11" i="31"/>
  <c r="G10" i="31"/>
  <c r="G9" i="31"/>
  <c r="G8" i="31"/>
  <c r="G7" i="31"/>
  <c r="G6" i="31"/>
  <c r="G5" i="31"/>
  <c r="G4" i="31"/>
  <c r="G83" i="30"/>
  <c r="F84" i="30" s="1"/>
  <c r="G84" i="30" s="1"/>
  <c r="G79" i="30"/>
  <c r="G78" i="30"/>
  <c r="G77" i="30"/>
  <c r="G76" i="30"/>
  <c r="G75" i="30"/>
  <c r="G74" i="30"/>
  <c r="G73" i="30"/>
  <c r="G72" i="30"/>
  <c r="G71" i="30"/>
  <c r="F80" i="30" s="1"/>
  <c r="G80" i="30" s="1"/>
  <c r="G68" i="30"/>
  <c r="G67" i="30"/>
  <c r="G66" i="30"/>
  <c r="G65" i="30"/>
  <c r="G64" i="30"/>
  <c r="G63" i="30"/>
  <c r="G62" i="30"/>
  <c r="G61" i="30"/>
  <c r="G60" i="30"/>
  <c r="G59" i="30"/>
  <c r="G58" i="30"/>
  <c r="G57" i="30" s="1"/>
  <c r="G55" i="30"/>
  <c r="G54" i="30"/>
  <c r="G53" i="30"/>
  <c r="G52" i="30"/>
  <c r="G51" i="30"/>
  <c r="G50" i="30"/>
  <c r="G49" i="30"/>
  <c r="G48" i="30"/>
  <c r="G47" i="30"/>
  <c r="G46" i="30"/>
  <c r="G45" i="30"/>
  <c r="G44" i="30"/>
  <c r="G43" i="30"/>
  <c r="G42" i="30" s="1"/>
  <c r="G40" i="30"/>
  <c r="G39" i="30"/>
  <c r="G38" i="30"/>
  <c r="G37" i="30"/>
  <c r="G36" i="30"/>
  <c r="G35" i="30"/>
  <c r="G34" i="30"/>
  <c r="G33" i="30"/>
  <c r="G32" i="30"/>
  <c r="G31" i="30"/>
  <c r="G30" i="30"/>
  <c r="G29" i="30"/>
  <c r="G28" i="30"/>
  <c r="G27" i="30"/>
  <c r="G26" i="30"/>
  <c r="G25" i="30"/>
  <c r="G24" i="30"/>
  <c r="G23" i="30"/>
  <c r="G22" i="30"/>
  <c r="G21" i="30"/>
  <c r="G20" i="30"/>
  <c r="G19" i="30"/>
  <c r="G18" i="30"/>
  <c r="G17" i="30"/>
  <c r="G16" i="30"/>
  <c r="G15" i="30"/>
  <c r="G14" i="30"/>
  <c r="G13" i="30"/>
  <c r="G12" i="30"/>
  <c r="G11" i="30"/>
  <c r="G10" i="30"/>
  <c r="G9" i="30"/>
  <c r="G8" i="30"/>
  <c r="G7" i="30"/>
  <c r="G6" i="30"/>
  <c r="G4" i="30" s="1"/>
  <c r="G5" i="30"/>
  <c r="E27" i="29"/>
  <c r="E26" i="29"/>
  <c r="E25" i="29"/>
  <c r="E24" i="29"/>
  <c r="E23" i="29"/>
  <c r="E22" i="29"/>
  <c r="E21" i="29"/>
  <c r="E20" i="29"/>
  <c r="E28" i="29" s="1"/>
  <c r="H21" i="29" s="1"/>
  <c r="E19" i="29"/>
  <c r="E14" i="29"/>
  <c r="G14" i="29" s="1"/>
  <c r="H14" i="29" s="1"/>
  <c r="C14" i="29"/>
  <c r="C13" i="29"/>
  <c r="E13" i="29" s="1"/>
  <c r="G13" i="29" s="1"/>
  <c r="H13" i="29" s="1"/>
  <c r="C12" i="29"/>
  <c r="E12" i="29" s="1"/>
  <c r="G12" i="29" s="1"/>
  <c r="H12" i="29" s="1"/>
  <c r="C11" i="29"/>
  <c r="E11" i="29" s="1"/>
  <c r="G11" i="29" s="1"/>
  <c r="H11" i="29" s="1"/>
  <c r="C10" i="29"/>
  <c r="E10" i="29" s="1"/>
  <c r="G10" i="29" s="1"/>
  <c r="H10" i="29" s="1"/>
  <c r="E9" i="29"/>
  <c r="G9" i="29" s="1"/>
  <c r="H9" i="29" s="1"/>
  <c r="C9" i="29"/>
  <c r="E8" i="29"/>
  <c r="G8" i="29" s="1"/>
  <c r="H8" i="29" s="1"/>
  <c r="C8" i="29"/>
  <c r="E7" i="29"/>
  <c r="G6" i="29"/>
  <c r="H6" i="29" s="1"/>
  <c r="E6" i="29"/>
  <c r="E5" i="29"/>
  <c r="G5" i="29" s="1"/>
  <c r="H5" i="29" s="1"/>
  <c r="C5" i="29"/>
  <c r="G4" i="29"/>
  <c r="H4" i="29" s="1"/>
  <c r="E4" i="29"/>
  <c r="F35" i="18"/>
  <c r="F31" i="18"/>
  <c r="F30" i="18"/>
  <c r="F29" i="18"/>
  <c r="F28" i="18"/>
  <c r="F27" i="18"/>
  <c r="D27" i="18"/>
  <c r="F26" i="18"/>
  <c r="F25" i="18"/>
  <c r="F24" i="18"/>
  <c r="F23" i="18"/>
  <c r="F22" i="18"/>
  <c r="D22" i="18"/>
  <c r="F21" i="18"/>
  <c r="D21" i="18"/>
  <c r="F20" i="18"/>
  <c r="F17" i="18"/>
  <c r="F16" i="18"/>
  <c r="F15" i="18"/>
  <c r="F14" i="18"/>
  <c r="F13" i="18"/>
  <c r="D12" i="18"/>
  <c r="F12" i="18" s="1"/>
  <c r="D11" i="18"/>
  <c r="F11" i="18" s="1"/>
  <c r="F10" i="18"/>
  <c r="F9" i="18"/>
  <c r="F8" i="18"/>
  <c r="F7" i="18"/>
  <c r="G2" i="31" l="1"/>
  <c r="G70" i="30"/>
  <c r="G82" i="30"/>
  <c r="G2" i="30" s="1"/>
  <c r="AE1692" i="33"/>
  <c r="AG986" i="33"/>
  <c r="AD986" i="33"/>
  <c r="D876" i="33"/>
  <c r="AD876" i="33" s="1"/>
  <c r="D870" i="33"/>
  <c r="D882" i="33"/>
  <c r="D871" i="33"/>
  <c r="AD871" i="33" s="1"/>
  <c r="AE1659" i="33"/>
  <c r="AD1025" i="33"/>
  <c r="AE1025" i="33" s="1"/>
  <c r="AE1106" i="33"/>
  <c r="AE1872" i="33"/>
  <c r="AE858" i="33"/>
  <c r="AE31" i="33"/>
  <c r="AE170" i="33"/>
  <c r="AE780" i="33"/>
  <c r="AE1919" i="33"/>
  <c r="AE636" i="33"/>
  <c r="AE1145" i="33"/>
  <c r="AE1664" i="33"/>
  <c r="AE1436" i="33"/>
  <c r="AE1928" i="33"/>
  <c r="AE356" i="33"/>
  <c r="AE1269" i="33"/>
  <c r="AE990" i="33"/>
  <c r="AE1563" i="33"/>
  <c r="AE1628" i="33"/>
  <c r="AE328" i="33"/>
  <c r="AE810" i="33"/>
  <c r="AE1518" i="33"/>
  <c r="AE1014" i="33"/>
  <c r="AE27" i="33"/>
  <c r="AE257" i="33"/>
  <c r="AE1108" i="33"/>
  <c r="AE417" i="33"/>
  <c r="AE1806" i="33"/>
  <c r="AE1263" i="33"/>
  <c r="AE408" i="33"/>
  <c r="AE258" i="33"/>
  <c r="AE1662" i="33"/>
  <c r="AE239" i="33"/>
  <c r="AE115" i="33"/>
  <c r="AE1510" i="33"/>
  <c r="AE1160" i="33"/>
  <c r="AE1246" i="33"/>
  <c r="AE1616" i="33"/>
  <c r="AE289" i="33"/>
  <c r="AE1440" i="33"/>
  <c r="AE930" i="33"/>
  <c r="AE17" i="33"/>
  <c r="AE366" i="33"/>
  <c r="AE1150" i="33"/>
  <c r="AE7" i="33"/>
  <c r="AE13" i="33"/>
  <c r="AE1974" i="33"/>
  <c r="AE972" i="33"/>
  <c r="AE1699" i="33"/>
  <c r="AE1989" i="33"/>
  <c r="AE1586" i="33"/>
  <c r="AE1667" i="33"/>
  <c r="AE1766" i="33"/>
  <c r="AE1914" i="33"/>
  <c r="AE259" i="33"/>
  <c r="AE1638" i="33"/>
  <c r="AE1261" i="33"/>
  <c r="AE192" i="33"/>
  <c r="AE1264" i="33"/>
  <c r="AE1619" i="33"/>
  <c r="AE1123" i="33"/>
  <c r="AE1600" i="33"/>
  <c r="AE1714" i="33"/>
  <c r="AE1404" i="33"/>
  <c r="AE1658" i="33"/>
  <c r="AE1867" i="33"/>
  <c r="AE1013" i="33"/>
  <c r="AE357" i="33"/>
  <c r="AE140" i="33"/>
  <c r="AE894" i="33"/>
  <c r="AE29" i="33"/>
  <c r="AE1262" i="33"/>
  <c r="AE1802" i="33"/>
  <c r="AE1274" i="33"/>
  <c r="AE1875" i="33"/>
  <c r="AE1709" i="33"/>
  <c r="AE254" i="33"/>
  <c r="AE1017" i="33"/>
  <c r="AE1598" i="33"/>
  <c r="AE101" i="33"/>
  <c r="AE1977" i="33"/>
  <c r="AE1781" i="33"/>
  <c r="AE173" i="33"/>
  <c r="AE1682" i="33"/>
  <c r="AE1555" i="33"/>
  <c r="AE1558" i="33"/>
  <c r="AE1167" i="33"/>
  <c r="AE384" i="33"/>
  <c r="AE1010" i="33"/>
  <c r="AE1584" i="33"/>
  <c r="AE271" i="33"/>
  <c r="AE855" i="33"/>
  <c r="AE1562" i="33"/>
  <c r="AE58" i="33"/>
  <c r="AE414" i="33"/>
  <c r="AE56" i="33"/>
  <c r="AE1173" i="33"/>
  <c r="AE782" i="33"/>
  <c r="AE301" i="33"/>
  <c r="AE1015" i="33"/>
  <c r="AE108" i="33"/>
  <c r="AE381" i="33"/>
  <c r="AE169" i="33"/>
  <c r="AE1009" i="33"/>
  <c r="AE125" i="33"/>
  <c r="AE1800" i="33"/>
  <c r="AE1316" i="33"/>
  <c r="AE1672" i="33"/>
  <c r="AE1426" i="33"/>
  <c r="AE1439" i="33"/>
  <c r="AE1447" i="33"/>
  <c r="AE168" i="33"/>
  <c r="AE1862" i="33"/>
  <c r="AE1127" i="33"/>
  <c r="AE1861" i="33"/>
  <c r="AE407" i="33"/>
  <c r="AE783" i="33"/>
  <c r="AE66" i="33"/>
  <c r="AE155" i="33"/>
  <c r="AE819" i="33"/>
  <c r="AE1951" i="33"/>
  <c r="AE1284" i="33"/>
  <c r="AE337" i="33"/>
  <c r="AE332" i="33"/>
  <c r="AE781" i="33"/>
  <c r="AE1278" i="33"/>
  <c r="AE1526" i="33"/>
  <c r="AE1020" i="33"/>
  <c r="AE1749" i="33"/>
  <c r="AE74" i="33"/>
  <c r="AE385" i="33"/>
  <c r="AE1169" i="33"/>
  <c r="AE1933" i="33"/>
  <c r="AE137" i="33"/>
  <c r="AE1171" i="33"/>
  <c r="AE1671" i="33"/>
  <c r="AE10" i="33"/>
  <c r="AE116" i="33"/>
  <c r="AE1750" i="33"/>
  <c r="AE1674" i="33"/>
  <c r="AE1626" i="33"/>
  <c r="AE1144" i="33"/>
  <c r="AE1561" i="33"/>
  <c r="AE1759" i="33"/>
  <c r="AE1524" i="33"/>
  <c r="AE355" i="33"/>
  <c r="AE922" i="33"/>
  <c r="AE153" i="33"/>
  <c r="AE1708" i="33"/>
  <c r="AE1886" i="33"/>
  <c r="AE929" i="33"/>
  <c r="AE796" i="33"/>
  <c r="AE1450" i="33"/>
  <c r="AE1466" i="33"/>
  <c r="AE247" i="33"/>
  <c r="AE368" i="33"/>
  <c r="AE1042" i="33"/>
  <c r="AE213" i="33"/>
  <c r="AE77" i="33"/>
  <c r="AE797" i="33"/>
  <c r="AE400" i="33"/>
  <c r="AE93" i="33"/>
  <c r="AE67" i="33"/>
  <c r="AE343" i="33"/>
  <c r="AE928" i="33"/>
  <c r="AE314" i="33"/>
  <c r="AE921" i="33"/>
  <c r="AE1887" i="33"/>
  <c r="AE210" i="33"/>
  <c r="AE801" i="33"/>
  <c r="AE1557" i="33"/>
  <c r="AE1174" i="33"/>
  <c r="AE1864" i="33"/>
  <c r="AE1990" i="33"/>
  <c r="AE1595" i="33"/>
  <c r="AE1665" i="33"/>
  <c r="AE963" i="33"/>
  <c r="AE117" i="33"/>
  <c r="AE73" i="33"/>
  <c r="AE1710" i="33"/>
  <c r="AE1663" i="33"/>
  <c r="AE970" i="33"/>
  <c r="AE120" i="33"/>
  <c r="AE1758" i="33"/>
  <c r="AE986" i="33"/>
  <c r="AE1666" i="33"/>
  <c r="AE1803" i="33"/>
  <c r="AE955" i="33"/>
  <c r="AE1795" i="33"/>
  <c r="AE180" i="33"/>
  <c r="AE118" i="33"/>
  <c r="AE181" i="33"/>
  <c r="AE1276" i="33"/>
  <c r="AE974" i="33"/>
  <c r="AE1334" i="33"/>
  <c r="AE1601" i="33"/>
  <c r="AE1273" i="33"/>
  <c r="AE1437" i="33"/>
  <c r="AE859" i="33"/>
  <c r="AE1272" i="33"/>
  <c r="AE983" i="33"/>
  <c r="AE1947" i="33"/>
  <c r="AE306" i="33"/>
  <c r="AE1866" i="33"/>
  <c r="AE80" i="33"/>
  <c r="AE135" i="33"/>
  <c r="AE1641" i="33"/>
  <c r="AE1863" i="33"/>
  <c r="AE1438" i="33"/>
  <c r="AE989" i="33"/>
  <c r="AE1805" i="33"/>
  <c r="AE48" i="33"/>
  <c r="AE1107" i="33"/>
  <c r="AE1707" i="33"/>
  <c r="AE49" i="33"/>
  <c r="AE102" i="33"/>
  <c r="AE847" i="33"/>
  <c r="AE1162" i="33"/>
  <c r="AE14" i="33"/>
  <c r="AE784" i="33"/>
  <c r="AE1888" i="33"/>
  <c r="AE402" i="33"/>
  <c r="AE1804" i="33"/>
  <c r="AE64" i="33"/>
  <c r="AE76" i="33"/>
  <c r="AE828" i="33"/>
  <c r="AE32" i="33"/>
  <c r="AE1268" i="33"/>
  <c r="AE931" i="33"/>
  <c r="AE1585" i="33"/>
  <c r="AE1168" i="33"/>
  <c r="AE1761" i="33"/>
  <c r="AE1920" i="33"/>
  <c r="AE401" i="33"/>
  <c r="AE1110" i="33"/>
  <c r="AE18" i="33"/>
  <c r="AE334" i="33"/>
  <c r="AE50" i="33"/>
  <c r="AE791" i="33"/>
  <c r="AE154" i="33"/>
  <c r="AE1807" i="33"/>
  <c r="AE1124" i="33"/>
  <c r="AE1170" i="33"/>
  <c r="AE1149" i="33"/>
  <c r="AE1172" i="33"/>
  <c r="AE1442" i="33"/>
  <c r="AE1318" i="33"/>
  <c r="AE1047" i="33"/>
  <c r="AE839" i="33"/>
  <c r="AE1722" i="33"/>
  <c r="AE1554" i="33"/>
  <c r="AE776" i="33"/>
  <c r="AE1046" i="33"/>
  <c r="AE1670" i="33"/>
  <c r="AE1767" i="33"/>
  <c r="AE1427" i="33"/>
  <c r="AE1151" i="33"/>
  <c r="AE15" i="33"/>
  <c r="AE968" i="33"/>
  <c r="AE1159" i="33"/>
  <c r="AE253" i="33"/>
  <c r="AE1433" i="33"/>
  <c r="AE44" i="33"/>
  <c r="AE1669" i="33"/>
  <c r="AE1661" i="33"/>
  <c r="AE208" i="33"/>
  <c r="AE919" i="33"/>
  <c r="AE1596" i="33"/>
  <c r="AE918" i="33"/>
  <c r="AE1259" i="33"/>
  <c r="AE160" i="33"/>
  <c r="AE274" i="33"/>
  <c r="AE184" i="33"/>
  <c r="AE1277" i="33"/>
  <c r="AE1721" i="33"/>
  <c r="AE375" i="33"/>
  <c r="AE840" i="33"/>
  <c r="AE1975" i="33"/>
  <c r="AE915" i="33"/>
  <c r="AE1317" i="33"/>
  <c r="AE307" i="33"/>
  <c r="AE55" i="33"/>
  <c r="AE242" i="33"/>
  <c r="AE367" i="33"/>
  <c r="AE398" i="33"/>
  <c r="AE1599" i="33"/>
  <c r="AE1528" i="33"/>
  <c r="AE1976" i="33"/>
  <c r="AE1675" i="33"/>
  <c r="AE1713" i="33"/>
  <c r="AE1618" i="33"/>
  <c r="AE68" i="33"/>
  <c r="AE1429" i="33"/>
  <c r="AE174" i="33"/>
  <c r="AE63" i="33"/>
  <c r="AE1164" i="33"/>
  <c r="AE1627" i="33"/>
  <c r="AE809" i="33"/>
  <c r="AE207" i="33"/>
  <c r="AE1125" i="33"/>
  <c r="AE1865" i="33"/>
  <c r="AE353" i="33"/>
  <c r="AE148" i="33"/>
  <c r="AE19" i="33"/>
  <c r="AE245" i="33"/>
  <c r="AE1511" i="33"/>
  <c r="AE1315" i="33"/>
  <c r="AE1590" i="33"/>
  <c r="AE611" i="33"/>
  <c r="AE1906" i="33"/>
  <c r="AE431" i="33"/>
  <c r="AE1448" i="33"/>
  <c r="AE99" i="33"/>
  <c r="AE1275" i="33"/>
  <c r="AE1757" i="33"/>
  <c r="AE1912" i="33"/>
  <c r="AE255" i="33"/>
  <c r="AE1529" i="33"/>
  <c r="AE1681" i="33"/>
  <c r="AE103" i="33"/>
  <c r="AE1019" i="33"/>
  <c r="AE69" i="33"/>
  <c r="AE1155" i="33"/>
  <c r="AE1801" i="33"/>
  <c r="AE1449" i="33"/>
  <c r="AE214" i="33"/>
  <c r="AE1752" i="33"/>
  <c r="AE78" i="33"/>
  <c r="AE1267" i="33"/>
  <c r="AE54" i="33"/>
  <c r="AE92" i="33"/>
  <c r="AE30" i="33"/>
  <c r="AE1597" i="33"/>
  <c r="AE305" i="33"/>
  <c r="AE1319" i="33"/>
  <c r="AE1602" i="33"/>
  <c r="AE1441" i="33"/>
  <c r="AE1660" i="33"/>
  <c r="AE1688" i="33"/>
  <c r="AE1247" i="33"/>
  <c r="AE161" i="33"/>
  <c r="AE671" i="33"/>
  <c r="AE1508" i="33"/>
  <c r="AE1913" i="33"/>
  <c r="E15" i="29"/>
  <c r="G7" i="29"/>
  <c r="AD41" i="33"/>
  <c r="AG882" i="33"/>
  <c r="AD882" i="33"/>
  <c r="AD830" i="33"/>
  <c r="AD110" i="33"/>
  <c r="M1138" i="33"/>
  <c r="AD800" i="33"/>
  <c r="AG799" i="33"/>
  <c r="AD799" i="33"/>
  <c r="AE799" i="33" s="1"/>
  <c r="T1245" i="33"/>
  <c r="D1243" i="33"/>
  <c r="AG1243" i="33" s="1"/>
  <c r="AD11" i="33"/>
  <c r="AG11" i="33"/>
  <c r="AD985" i="33"/>
  <c r="AG985" i="33"/>
  <c r="AG33" i="33"/>
  <c r="AG129" i="33"/>
  <c r="AD1760" i="33"/>
  <c r="AG1760" i="33"/>
  <c r="AD1712" i="33"/>
  <c r="AG1712" i="33"/>
  <c r="AD984" i="33"/>
  <c r="AG984" i="33"/>
  <c r="AD1527" i="33"/>
  <c r="AG1527" i="33"/>
  <c r="AD822" i="33"/>
  <c r="AG822" i="33"/>
  <c r="AD36" i="33"/>
  <c r="AG36" i="33"/>
  <c r="AD829" i="33"/>
  <c r="AG829" i="33"/>
  <c r="AD256" i="33"/>
  <c r="AG256" i="33"/>
  <c r="AD329" i="33"/>
  <c r="AG329" i="33"/>
  <c r="AG126" i="33"/>
  <c r="AG1405" i="33"/>
  <c r="AD136" i="33"/>
  <c r="AG136" i="33"/>
  <c r="AG849" i="33"/>
  <c r="AD1673" i="33"/>
  <c r="AG1673" i="33"/>
  <c r="AG917" i="33"/>
  <c r="AG1126" i="33"/>
  <c r="AD179" i="33"/>
  <c r="AG179" i="33"/>
  <c r="AG35" i="33"/>
  <c r="AG330" i="33"/>
  <c r="AD1018" i="33"/>
  <c r="AG1018" i="33"/>
  <c r="AG12" i="33"/>
  <c r="AD802" i="33"/>
  <c r="AG802" i="33"/>
  <c r="AD1021" i="33"/>
  <c r="AG1021" i="33"/>
  <c r="AD141" i="33"/>
  <c r="AG141" i="33"/>
  <c r="AD1918" i="33"/>
  <c r="AG1918" i="33"/>
  <c r="AD127" i="33"/>
  <c r="AG127" i="33"/>
  <c r="AD1135" i="33"/>
  <c r="AG1135" i="33"/>
  <c r="AD827" i="33"/>
  <c r="AG827" i="33"/>
  <c r="AG202" i="33"/>
  <c r="AG312" i="33"/>
  <c r="AG1679" i="33"/>
  <c r="AG1520" i="33"/>
  <c r="AD1808" i="33"/>
  <c r="AG1808" i="33"/>
  <c r="AG203" i="33"/>
  <c r="AD16" i="33"/>
  <c r="AG16" i="33"/>
  <c r="AG107" i="33"/>
  <c r="AD143" i="33"/>
  <c r="AG143" i="33"/>
  <c r="AD1924" i="33"/>
  <c r="AG1924" i="33"/>
  <c r="AD923" i="33"/>
  <c r="AG923" i="33"/>
  <c r="AD1690" i="33"/>
  <c r="AG1690" i="33"/>
  <c r="AG1260" i="33"/>
  <c r="AG339" i="33"/>
  <c r="AD1591" i="33"/>
  <c r="AG1591" i="33"/>
  <c r="AG28" i="33"/>
  <c r="AD1931" i="33"/>
  <c r="AG1931" i="33"/>
  <c r="AG1925" i="33"/>
  <c r="AD1691" i="33"/>
  <c r="AG1691" i="33"/>
  <c r="AG1876" i="33"/>
  <c r="AD134" i="33"/>
  <c r="AG134" i="33"/>
  <c r="AD848" i="33"/>
  <c r="AG848" i="33"/>
  <c r="AD338" i="33"/>
  <c r="AG338" i="33"/>
  <c r="AD147" i="33"/>
  <c r="AG147" i="33"/>
  <c r="AD193" i="33"/>
  <c r="AG193" i="33"/>
  <c r="AG109" i="33"/>
  <c r="AG1521" i="33"/>
  <c r="AG813" i="33"/>
  <c r="AG1936" i="33"/>
  <c r="AD142" i="33"/>
  <c r="AG142" i="33"/>
  <c r="AG152" i="33"/>
  <c r="AD786" i="33"/>
  <c r="AG786" i="33"/>
  <c r="AG151" i="33"/>
  <c r="AD1696" i="33"/>
  <c r="AG1696" i="33"/>
  <c r="AD1519" i="33"/>
  <c r="AG1519" i="33"/>
  <c r="AG198" i="33"/>
  <c r="AD1024" i="33"/>
  <c r="AE1024" i="33" s="1"/>
  <c r="AG1024" i="33"/>
  <c r="Q1140" i="33"/>
  <c r="D1140" i="33" s="1"/>
  <c r="AD813" i="33"/>
  <c r="K1623" i="33"/>
  <c r="G1138" i="33"/>
  <c r="AD1936" i="33"/>
  <c r="N1624" i="33"/>
  <c r="AD1126" i="33"/>
  <c r="Q1137" i="33"/>
  <c r="Q1138" i="33" s="1"/>
  <c r="AD126" i="33"/>
  <c r="D81" i="33"/>
  <c r="AD152" i="33"/>
  <c r="D37" i="33"/>
  <c r="AD1925" i="33"/>
  <c r="H1623" i="33"/>
  <c r="H1624" i="33"/>
  <c r="D1513" i="33"/>
  <c r="AD1679" i="33"/>
  <c r="D34" i="33"/>
  <c r="AD339" i="33"/>
  <c r="AD12" i="33"/>
  <c r="D40" i="33"/>
  <c r="AD33" i="33"/>
  <c r="AD198" i="33"/>
  <c r="AD202" i="33"/>
  <c r="AD1876" i="33"/>
  <c r="AD330" i="33"/>
  <c r="D1549" i="33"/>
  <c r="D39" i="33"/>
  <c r="AD26" i="33"/>
  <c r="D200" i="33"/>
  <c r="D201" i="33"/>
  <c r="D1620" i="33"/>
  <c r="AG1620" i="33" s="1"/>
  <c r="D22" i="33"/>
  <c r="AG22" i="33" s="1"/>
  <c r="AD917" i="33"/>
  <c r="AD109" i="33"/>
  <c r="AE109" i="33" s="1"/>
  <c r="D25" i="33"/>
  <c r="AD849" i="33"/>
  <c r="AE849" i="33" s="1"/>
  <c r="AD312" i="33"/>
  <c r="D1935" i="33"/>
  <c r="D38" i="33"/>
  <c r="D146" i="33"/>
  <c r="D131" i="33"/>
  <c r="D199" i="33"/>
  <c r="D851" i="33"/>
  <c r="AG851" i="33" s="1"/>
  <c r="AD1260" i="33"/>
  <c r="D1550" i="33"/>
  <c r="D852" i="33"/>
  <c r="AG852" i="33" s="1"/>
  <c r="D853" i="33"/>
  <c r="AG853" i="33" s="1"/>
  <c r="D132" i="33"/>
  <c r="D926" i="33"/>
  <c r="AG926" i="33" s="1"/>
  <c r="D1877" i="33"/>
  <c r="AG1877" i="33" s="1"/>
  <c r="G1878" i="33"/>
  <c r="D1884" i="33"/>
  <c r="AG1884" i="33" s="1"/>
  <c r="D1883" i="33"/>
  <c r="D1242" i="33"/>
  <c r="AD1751" i="33"/>
  <c r="AD203" i="33"/>
  <c r="R1139" i="33"/>
  <c r="AD1520" i="33"/>
  <c r="P1138" i="33"/>
  <c r="AD1459" i="33"/>
  <c r="AD107" i="33"/>
  <c r="AD129" i="33"/>
  <c r="AE129" i="33" s="1"/>
  <c r="AD28" i="33"/>
  <c r="L1139" i="33"/>
  <c r="AD35" i="33"/>
  <c r="AD1521" i="33"/>
  <c r="AD151" i="33"/>
  <c r="AD1915" i="33"/>
  <c r="AD20" i="33"/>
  <c r="AD144" i="33"/>
  <c r="J1623" i="33"/>
  <c r="J1624" i="33"/>
  <c r="AD1581" i="33"/>
  <c r="Q1623" i="33"/>
  <c r="Q1624" i="33"/>
  <c r="AD1934" i="33"/>
  <c r="AD21" i="33"/>
  <c r="H1138" i="33"/>
  <c r="H1139" i="33"/>
  <c r="I24" i="33"/>
  <c r="I23" i="33"/>
  <c r="AD53" i="33"/>
  <c r="AD811" i="33"/>
  <c r="AD1241" i="33"/>
  <c r="AD1677" i="33"/>
  <c r="AD924" i="33"/>
  <c r="AD133" i="33"/>
  <c r="AD42" i="33"/>
  <c r="K1139" i="33"/>
  <c r="K1138" i="33"/>
  <c r="G1244" i="33"/>
  <c r="D1244" i="33" s="1"/>
  <c r="AG1244" i="33" s="1"/>
  <c r="G1245" i="33"/>
  <c r="AD1676" i="33"/>
  <c r="P1622" i="33"/>
  <c r="P1621" i="33"/>
  <c r="D1621" i="33" s="1"/>
  <c r="AG1621" i="33" s="1"/>
  <c r="T1138" i="33"/>
  <c r="T1139" i="33"/>
  <c r="K24" i="33"/>
  <c r="K23" i="33"/>
  <c r="AD311" i="33"/>
  <c r="AD1022" i="33"/>
  <c r="S1516" i="33"/>
  <c r="D1516" i="33" s="1"/>
  <c r="AG1516" i="33" s="1"/>
  <c r="S1517" i="33"/>
  <c r="D1517" i="33" s="1"/>
  <c r="AG1517" i="33" s="1"/>
  <c r="AD1697" i="33"/>
  <c r="L1624" i="33"/>
  <c r="L1623" i="33"/>
  <c r="AD1882" i="33"/>
  <c r="N1138" i="33"/>
  <c r="N1139" i="33"/>
  <c r="R1623" i="33"/>
  <c r="R1624" i="33"/>
  <c r="AD1023" i="33"/>
  <c r="AD1617" i="33"/>
  <c r="AD854" i="33"/>
  <c r="AD1698" i="33"/>
  <c r="AD837" i="33"/>
  <c r="AD823" i="33"/>
  <c r="AD128" i="33"/>
  <c r="AD850" i="33"/>
  <c r="AD197" i="33"/>
  <c r="AD1136" i="33"/>
  <c r="AD145" i="33"/>
  <c r="AD812" i="33"/>
  <c r="AD130" i="33"/>
  <c r="Q23" i="33"/>
  <c r="Q24" i="33"/>
  <c r="AD925" i="33"/>
  <c r="AD1582" i="33"/>
  <c r="AD1678" i="33"/>
  <c r="I1623" i="33"/>
  <c r="I1624" i="33"/>
  <c r="O1623" i="33"/>
  <c r="O1624" i="33"/>
  <c r="AE876" i="33" l="1"/>
  <c r="AG876" i="33"/>
  <c r="AD870" i="33"/>
  <c r="AE870" i="33" s="1"/>
  <c r="AG870" i="33"/>
  <c r="AE871" i="33"/>
  <c r="AG871" i="33"/>
  <c r="AE330" i="33"/>
  <c r="AE202" i="33"/>
  <c r="AE28" i="33"/>
  <c r="AE1260" i="33"/>
  <c r="AE197" i="33"/>
  <c r="AE854" i="33"/>
  <c r="AE1022" i="33"/>
  <c r="AE1520" i="33"/>
  <c r="AE33" i="33"/>
  <c r="AE151" i="33"/>
  <c r="AE203" i="33"/>
  <c r="AE126" i="33"/>
  <c r="AE133" i="33"/>
  <c r="AE1925" i="33"/>
  <c r="AE1126" i="33"/>
  <c r="AE35" i="33"/>
  <c r="AE917" i="33"/>
  <c r="AE312" i="33"/>
  <c r="AE1679" i="33"/>
  <c r="AE339" i="33"/>
  <c r="AE198" i="33"/>
  <c r="AE1936" i="33"/>
  <c r="AE107" i="33"/>
  <c r="AE26" i="33"/>
  <c r="AE1876" i="33"/>
  <c r="AE12" i="33"/>
  <c r="AE800" i="33"/>
  <c r="AE42" i="33"/>
  <c r="AE1521" i="33"/>
  <c r="AE848" i="33"/>
  <c r="AE1691" i="33"/>
  <c r="AE130" i="33"/>
  <c r="AE1136" i="33"/>
  <c r="AE128" i="33"/>
  <c r="AE811" i="33"/>
  <c r="AE144" i="33"/>
  <c r="AE1459" i="33"/>
  <c r="AE813" i="33"/>
  <c r="AE110" i="33"/>
  <c r="AE1581" i="33"/>
  <c r="AE1915" i="33"/>
  <c r="AE1882" i="33"/>
  <c r="AE1582" i="33"/>
  <c r="AE1698" i="33"/>
  <c r="AE1023" i="33"/>
  <c r="AE1676" i="33"/>
  <c r="AE1677" i="33"/>
  <c r="AE53" i="33"/>
  <c r="AE21" i="33"/>
  <c r="AE20" i="33"/>
  <c r="AE142" i="33"/>
  <c r="AE147" i="33"/>
  <c r="AE134" i="33"/>
  <c r="AE1591" i="33"/>
  <c r="AE1690" i="33"/>
  <c r="AE143" i="33"/>
  <c r="AE827" i="33"/>
  <c r="AE1918" i="33"/>
  <c r="AE802" i="33"/>
  <c r="AE829" i="33"/>
  <c r="AE1527" i="33"/>
  <c r="AE1760" i="33"/>
  <c r="AE985" i="33"/>
  <c r="AE41" i="33"/>
  <c r="AE152" i="33"/>
  <c r="AE925" i="33"/>
  <c r="AE812" i="33"/>
  <c r="AE823" i="33"/>
  <c r="AE1241" i="33"/>
  <c r="AE1934" i="33"/>
  <c r="AE1519" i="33"/>
  <c r="AE786" i="33"/>
  <c r="AE338" i="33"/>
  <c r="AE1931" i="33"/>
  <c r="AE923" i="33"/>
  <c r="AE1808" i="33"/>
  <c r="AE1135" i="33"/>
  <c r="AE141" i="33"/>
  <c r="AE136" i="33"/>
  <c r="AE329" i="33"/>
  <c r="AE36" i="33"/>
  <c r="AE984" i="33"/>
  <c r="AE11" i="33"/>
  <c r="AE830" i="33"/>
  <c r="AE1405" i="33"/>
  <c r="AE1678" i="33"/>
  <c r="AE850" i="33"/>
  <c r="AE837" i="33"/>
  <c r="AE1617" i="33"/>
  <c r="AE311" i="33"/>
  <c r="AE882" i="33"/>
  <c r="AE145" i="33"/>
  <c r="AE1697" i="33"/>
  <c r="AE924" i="33"/>
  <c r="AE1751" i="33"/>
  <c r="AE1696" i="33"/>
  <c r="AE193" i="33"/>
  <c r="AE1924" i="33"/>
  <c r="AE16" i="33"/>
  <c r="AE127" i="33"/>
  <c r="AE1021" i="33"/>
  <c r="AE1018" i="33"/>
  <c r="AE179" i="33"/>
  <c r="AE1673" i="33"/>
  <c r="AE256" i="33"/>
  <c r="AE822" i="33"/>
  <c r="AE1712" i="33"/>
  <c r="G15" i="29"/>
  <c r="H7" i="29"/>
  <c r="H15" i="29" s="1"/>
  <c r="D1245" i="33"/>
  <c r="AG1245" i="33" s="1"/>
  <c r="AD199" i="33"/>
  <c r="AG199" i="33"/>
  <c r="AG1242" i="33"/>
  <c r="AG131" i="33"/>
  <c r="AD25" i="33"/>
  <c r="AG25" i="33"/>
  <c r="AD201" i="33"/>
  <c r="AG201" i="33"/>
  <c r="AG39" i="33"/>
  <c r="AD1513" i="33"/>
  <c r="AG1513" i="33"/>
  <c r="AG132" i="33"/>
  <c r="AD146" i="33"/>
  <c r="AG146" i="33"/>
  <c r="AD37" i="33"/>
  <c r="AG37" i="33"/>
  <c r="AG1883" i="33"/>
  <c r="AG38" i="33"/>
  <c r="AD200" i="33"/>
  <c r="AG200" i="33"/>
  <c r="AD1549" i="33"/>
  <c r="AG1549" i="33"/>
  <c r="AD34" i="33"/>
  <c r="AG34" i="33"/>
  <c r="AG1935" i="33"/>
  <c r="AD1550" i="33"/>
  <c r="AG1550" i="33"/>
  <c r="AG1140" i="33"/>
  <c r="AD40" i="33"/>
  <c r="AG40" i="33"/>
  <c r="AD81" i="33"/>
  <c r="AG81" i="33"/>
  <c r="Q1139" i="33"/>
  <c r="D1139" i="33" s="1"/>
  <c r="D1137" i="33"/>
  <c r="AD1883" i="33"/>
  <c r="AD1935" i="33"/>
  <c r="AD1242" i="33"/>
  <c r="AD1884" i="33"/>
  <c r="D1622" i="33"/>
  <c r="D23" i="33"/>
  <c r="D24" i="33"/>
  <c r="D1138" i="33"/>
  <c r="AD926" i="33"/>
  <c r="D1514" i="33"/>
  <c r="AD1877" i="33"/>
  <c r="D1878" i="33"/>
  <c r="AG1878" i="33" s="1"/>
  <c r="G1879" i="33"/>
  <c r="G1880" i="33"/>
  <c r="AD39" i="33"/>
  <c r="AD1140" i="33"/>
  <c r="AD131" i="33"/>
  <c r="AD132" i="33"/>
  <c r="AD38" i="33"/>
  <c r="AD1621" i="33"/>
  <c r="AD1517" i="33"/>
  <c r="AD22" i="33"/>
  <c r="AD1516" i="33"/>
  <c r="AD1620" i="33"/>
  <c r="AD1244" i="33"/>
  <c r="AD852" i="33"/>
  <c r="P1623" i="33"/>
  <c r="D1623" i="33" s="1"/>
  <c r="AG1623" i="33" s="1"/>
  <c r="P1624" i="33"/>
  <c r="D1624" i="33" s="1"/>
  <c r="AG1624" i="33" s="1"/>
  <c r="AD853" i="33"/>
  <c r="AD851" i="33"/>
  <c r="AD1515" i="33"/>
  <c r="AD1243" i="33"/>
  <c r="D596" i="33" l="1"/>
  <c r="AE1242" i="33"/>
  <c r="AE131" i="33"/>
  <c r="AE201" i="33"/>
  <c r="AE39" i="33"/>
  <c r="AE34" i="33"/>
  <c r="AE37" i="33"/>
  <c r="AE1513" i="33"/>
  <c r="AE199" i="33"/>
  <c r="AE851" i="33"/>
  <c r="AE852" i="33"/>
  <c r="AE1244" i="33"/>
  <c r="AE22" i="33"/>
  <c r="AE1877" i="33"/>
  <c r="AE1620" i="33"/>
  <c r="AE1517" i="33"/>
  <c r="AE1883" i="33"/>
  <c r="AE25" i="33"/>
  <c r="AE926" i="33"/>
  <c r="AE1243" i="33"/>
  <c r="AE853" i="33"/>
  <c r="AE132" i="33"/>
  <c r="AE1884" i="33"/>
  <c r="AE81" i="33"/>
  <c r="AE1550" i="33"/>
  <c r="AE1549" i="33"/>
  <c r="AE146" i="33"/>
  <c r="AE40" i="33"/>
  <c r="AE1515" i="33"/>
  <c r="AE1140" i="33"/>
  <c r="AE200" i="33"/>
  <c r="AE1516" i="33"/>
  <c r="AE1621" i="33"/>
  <c r="AE1935" i="33"/>
  <c r="AE38" i="33"/>
  <c r="H19" i="29"/>
  <c r="H25" i="29" s="1"/>
  <c r="AD1245" i="33"/>
  <c r="AD23" i="33"/>
  <c r="AG23" i="33"/>
  <c r="AG1514" i="33"/>
  <c r="AG1622" i="33"/>
  <c r="AD1137" i="33"/>
  <c r="AG1137" i="33"/>
  <c r="AG1138" i="33"/>
  <c r="AG1139" i="33"/>
  <c r="AG24" i="33"/>
  <c r="AD1622" i="33"/>
  <c r="AD1514" i="33"/>
  <c r="D1880" i="33"/>
  <c r="D1879" i="33"/>
  <c r="AG1879" i="33" s="1"/>
  <c r="AD1878" i="33"/>
  <c r="AD1138" i="33"/>
  <c r="AD24" i="33"/>
  <c r="AD1139" i="33"/>
  <c r="AD1624" i="33"/>
  <c r="AD1623" i="33"/>
  <c r="D620" i="33" l="1"/>
  <c r="D693" i="33"/>
  <c r="D657" i="33"/>
  <c r="D703" i="33"/>
  <c r="AE24" i="33"/>
  <c r="AE23" i="33"/>
  <c r="AE1138" i="33"/>
  <c r="AE1878" i="33"/>
  <c r="AE1514" i="33"/>
  <c r="AE1137" i="33"/>
  <c r="AE1622" i="33"/>
  <c r="AE1623" i="33"/>
  <c r="AE1245" i="33"/>
  <c r="AE1624" i="33"/>
  <c r="AE1139" i="33"/>
  <c r="AG1880" i="33"/>
  <c r="AD1880" i="33"/>
  <c r="AD1879" i="33"/>
  <c r="AE1880" i="33" l="1"/>
  <c r="AE1879" i="33"/>
  <c r="T308" i="33" l="1"/>
  <c r="T309" i="33" s="1"/>
  <c r="D316" i="33"/>
  <c r="AD316" i="33" s="1"/>
  <c r="AC308" i="33"/>
  <c r="AC310" i="33" s="1"/>
  <c r="T310" i="33" l="1"/>
  <c r="D310" i="33" s="1"/>
  <c r="AG310" i="33" s="1"/>
  <c r="AE316" i="33"/>
  <c r="AC309" i="33"/>
  <c r="D309" i="33" s="1"/>
  <c r="AG316" i="33"/>
  <c r="D308" i="33"/>
  <c r="AD310" i="33" l="1"/>
  <c r="AD309" i="33"/>
  <c r="AE309" i="33" s="1"/>
  <c r="AG309" i="33"/>
  <c r="AG308" i="33"/>
  <c r="AD308" i="33"/>
  <c r="AE310" i="33" l="1"/>
  <c r="AE308" i="33"/>
  <c r="AD596" i="33" l="1"/>
  <c r="AE596" i="33" s="1"/>
  <c r="AG596" i="33"/>
  <c r="AD703" i="33"/>
  <c r="AE703" i="33" s="1"/>
  <c r="AG703" i="33"/>
  <c r="AD657" i="33"/>
  <c r="AE657" i="33" s="1"/>
  <c r="AG657" i="33"/>
  <c r="AD693" i="33"/>
  <c r="AE693" i="33" s="1"/>
  <c r="AG693" i="33"/>
  <c r="AG620" i="33"/>
  <c r="AD620" i="33"/>
  <c r="AE620" i="33" s="1"/>
  <c r="D1523" i="33" l="1"/>
  <c r="D1394" i="33"/>
  <c r="AD1394" i="33" s="1"/>
  <c r="AE1394" i="33" s="1"/>
  <c r="D1375" i="33"/>
  <c r="AG1375" i="33" s="1"/>
  <c r="D1322" i="33" l="1"/>
  <c r="D1097" i="33"/>
  <c r="D1051" i="33"/>
  <c r="AD1051" i="33" s="1"/>
  <c r="AE1051" i="33" s="1"/>
  <c r="D1075" i="33"/>
  <c r="D1087" i="33"/>
  <c r="D1059" i="33"/>
  <c r="D1062" i="33"/>
  <c r="D1390" i="33"/>
  <c r="AG1390" i="33" s="1"/>
  <c r="AG1523" i="33"/>
  <c r="AD1523" i="33"/>
  <c r="AE1523" i="33" s="1"/>
  <c r="AG1394" i="33"/>
  <c r="D98" i="33"/>
  <c r="AD98" i="33" s="1"/>
  <c r="AE98" i="33" s="1"/>
  <c r="D1911" i="33"/>
  <c r="D1008" i="33"/>
  <c r="D954" i="33"/>
  <c r="D937" i="33"/>
  <c r="D912" i="33"/>
  <c r="AG1322" i="33"/>
  <c r="AD1322" i="33"/>
  <c r="AE1322" i="33" s="1"/>
  <c r="D993" i="33"/>
  <c r="D962" i="33"/>
  <c r="D1142" i="33"/>
  <c r="D1103" i="33"/>
  <c r="D1890" i="33"/>
  <c r="D1792" i="33"/>
  <c r="D1266" i="33"/>
  <c r="D1157" i="33"/>
  <c r="D1938" i="33"/>
  <c r="D1941" i="33"/>
  <c r="D1350" i="33"/>
  <c r="D1655" i="33"/>
  <c r="D1424" i="33"/>
  <c r="D1640" i="33"/>
  <c r="D1552" i="33"/>
  <c r="D1589" i="33"/>
  <c r="D1630" i="33"/>
  <c r="AG1051" i="33" l="1"/>
  <c r="AD1059" i="33"/>
  <c r="AE1059" i="33" s="1"/>
  <c r="AG1059" i="33"/>
  <c r="AD1087" i="33"/>
  <c r="AE1087" i="33" s="1"/>
  <c r="AG1087" i="33"/>
  <c r="AG1075" i="33"/>
  <c r="AD1075" i="33"/>
  <c r="AE1075" i="33" s="1"/>
  <c r="AD1097" i="33"/>
  <c r="AE1097" i="33" s="1"/>
  <c r="AG1097" i="33"/>
  <c r="AD1062" i="33"/>
  <c r="AE1062" i="33" s="1"/>
  <c r="AG1062" i="33"/>
  <c r="D857" i="33"/>
  <c r="AG857" i="33" s="1"/>
  <c r="D902" i="33"/>
  <c r="D1031" i="33"/>
  <c r="AG1031" i="33" s="1"/>
  <c r="D868" i="33"/>
  <c r="AD868" i="33" s="1"/>
  <c r="AE868" i="33" s="1"/>
  <c r="D818" i="33"/>
  <c r="D885" i="33"/>
  <c r="AD885" i="33" s="1"/>
  <c r="AE885" i="33" s="1"/>
  <c r="D770" i="33"/>
  <c r="AD770" i="33" s="1"/>
  <c r="AE770" i="33" s="1"/>
  <c r="D1036" i="33"/>
  <c r="AD1036" i="33" s="1"/>
  <c r="AE1036" i="33" s="1"/>
  <c r="D433" i="33"/>
  <c r="AD433" i="33" s="1"/>
  <c r="AE433" i="33" s="1"/>
  <c r="D91" i="33"/>
  <c r="AD91" i="33" s="1"/>
  <c r="AE91" i="33" s="1"/>
  <c r="AG98" i="33"/>
  <c r="D351" i="33"/>
  <c r="AG351" i="33" s="1"/>
  <c r="D454" i="33"/>
  <c r="AD454" i="33" s="1"/>
  <c r="AE454" i="33" s="1"/>
  <c r="D397" i="33"/>
  <c r="AD397" i="33" s="1"/>
  <c r="AE397" i="33" s="1"/>
  <c r="D217" i="33"/>
  <c r="AD217" i="33" s="1"/>
  <c r="AE217" i="33" s="1"/>
  <c r="D223" i="33"/>
  <c r="AD223" i="33" s="1"/>
  <c r="AE223" i="33" s="1"/>
  <c r="AD1911" i="33"/>
  <c r="AE1911" i="33" s="1"/>
  <c r="AG1911" i="33"/>
  <c r="D238" i="33"/>
  <c r="D159" i="33"/>
  <c r="AG159" i="33" s="1"/>
  <c r="D595" i="33"/>
  <c r="AG595" i="33" s="1"/>
  <c r="D6" i="33"/>
  <c r="D172" i="33"/>
  <c r="AD172" i="33" s="1"/>
  <c r="AE172" i="33" s="1"/>
  <c r="D427" i="33"/>
  <c r="AD427" i="33" s="1"/>
  <c r="AE427" i="33" s="1"/>
  <c r="D52" i="33"/>
  <c r="AD52" i="33" s="1"/>
  <c r="AD1938" i="33"/>
  <c r="AE1938" i="33" s="1"/>
  <c r="AG1938" i="33"/>
  <c r="AD1008" i="33"/>
  <c r="AE1008" i="33" s="1"/>
  <c r="AG1008" i="33"/>
  <c r="AD937" i="33"/>
  <c r="AE937" i="33" s="1"/>
  <c r="AG937" i="33"/>
  <c r="AD1640" i="33"/>
  <c r="AE1640" i="33" s="1"/>
  <c r="AG1640" i="33"/>
  <c r="AD1424" i="33"/>
  <c r="AE1424" i="33" s="1"/>
  <c r="AG1424" i="33"/>
  <c r="AG1157" i="33"/>
  <c r="AD1157" i="33"/>
  <c r="AE1157" i="33" s="1"/>
  <c r="D1775" i="33"/>
  <c r="D1718" i="33"/>
  <c r="AD954" i="33"/>
  <c r="AE954" i="33" s="1"/>
  <c r="AG954" i="33"/>
  <c r="AD1266" i="33"/>
  <c r="AE1266" i="33" s="1"/>
  <c r="AG1266" i="33"/>
  <c r="AG962" i="33"/>
  <c r="AD962" i="33"/>
  <c r="AE962" i="33" s="1"/>
  <c r="AD1552" i="33"/>
  <c r="AE1552" i="33" s="1"/>
  <c r="AG1552" i="33"/>
  <c r="AD1792" i="33"/>
  <c r="AE1792" i="33" s="1"/>
  <c r="AG1792" i="33"/>
  <c r="AD1103" i="33"/>
  <c r="AE1103" i="33" s="1"/>
  <c r="AG1103" i="33"/>
  <c r="AD993" i="33"/>
  <c r="AE993" i="33" s="1"/>
  <c r="AG993" i="33"/>
  <c r="AG1941" i="33"/>
  <c r="AD1941" i="33"/>
  <c r="AE1941" i="33" s="1"/>
  <c r="AG1655" i="33"/>
  <c r="AD1655" i="33"/>
  <c r="AE1655" i="33" s="1"/>
  <c r="AD1971" i="33"/>
  <c r="AE1971" i="33" s="1"/>
  <c r="AG1971" i="33"/>
  <c r="AD1630" i="33"/>
  <c r="AE1630" i="33" s="1"/>
  <c r="AG1630" i="33"/>
  <c r="AD1350" i="33"/>
  <c r="AE1350" i="33" s="1"/>
  <c r="AG1350" i="33"/>
  <c r="AG1589" i="33"/>
  <c r="AD1589" i="33"/>
  <c r="AE1589" i="33" s="1"/>
  <c r="AD1890" i="33"/>
  <c r="AE1890" i="33" s="1"/>
  <c r="AG1890" i="33"/>
  <c r="AD1142" i="33"/>
  <c r="AE1142" i="33" s="1"/>
  <c r="AG1142" i="33"/>
  <c r="D1755" i="33"/>
  <c r="AG912" i="33"/>
  <c r="AD912" i="33"/>
  <c r="AE912" i="33" s="1"/>
  <c r="AD857" i="33" l="1"/>
  <c r="AE857" i="33" s="1"/>
  <c r="AD902" i="33"/>
  <c r="AE902" i="33" s="1"/>
  <c r="AG902" i="33"/>
  <c r="AG91" i="33"/>
  <c r="AD351" i="33"/>
  <c r="AE351" i="33" s="1"/>
  <c r="AG454" i="33"/>
  <c r="AG770" i="33"/>
  <c r="AD1031" i="33"/>
  <c r="AE1031" i="33" s="1"/>
  <c r="AG885" i="33"/>
  <c r="AD595" i="33"/>
  <c r="AE595" i="33" s="1"/>
  <c r="AG217" i="33"/>
  <c r="AG868" i="33"/>
  <c r="AD159" i="33"/>
  <c r="AE159" i="33" s="1"/>
  <c r="AG223" i="33"/>
  <c r="AG52" i="33"/>
  <c r="AG172" i="33"/>
  <c r="AG397" i="33"/>
  <c r="AG433" i="33"/>
  <c r="AG427" i="33"/>
  <c r="AG1036" i="33"/>
  <c r="AG818" i="33"/>
  <c r="AD818" i="33"/>
  <c r="AE818" i="33" s="1"/>
  <c r="AD238" i="33"/>
  <c r="AE238" i="33" s="1"/>
  <c r="AG238" i="33"/>
  <c r="AG1755" i="33"/>
  <c r="AD1755" i="33"/>
  <c r="AE1755" i="33" s="1"/>
  <c r="AE52" i="33"/>
  <c r="D1654" i="33"/>
  <c r="D1791" i="33"/>
  <c r="D1423" i="33"/>
  <c r="D1102" i="33"/>
  <c r="D1050" i="33"/>
  <c r="D961" i="33"/>
  <c r="D1910" i="33"/>
  <c r="D5" i="33"/>
  <c r="D769" i="33"/>
  <c r="D911" i="33"/>
  <c r="D1007" i="33"/>
  <c r="D1717" i="33"/>
  <c r="AG1718" i="33"/>
  <c r="AD1718" i="33"/>
  <c r="AE1718" i="33" s="1"/>
  <c r="AD1775" i="33"/>
  <c r="AE1775" i="33" s="1"/>
  <c r="AG1775" i="33"/>
  <c r="AG1717" i="33" l="1"/>
  <c r="AD1717" i="33"/>
  <c r="AE1717" i="33" s="1"/>
  <c r="AG1910" i="33"/>
  <c r="AD1910" i="33"/>
  <c r="AE1910" i="33" s="1"/>
  <c r="AD1654" i="33"/>
  <c r="AE1654" i="33" s="1"/>
  <c r="AG1654" i="33"/>
  <c r="AD1007" i="33"/>
  <c r="AE1007" i="33" s="1"/>
  <c r="AG1007" i="33"/>
  <c r="AG961" i="33"/>
  <c r="AD961" i="33"/>
  <c r="AE961" i="33" s="1"/>
  <c r="AD911" i="33"/>
  <c r="AE911" i="33" s="1"/>
  <c r="AG911" i="33"/>
  <c r="AG1050" i="33"/>
  <c r="AD1050" i="33"/>
  <c r="AE1050" i="33" s="1"/>
  <c r="AG769" i="33"/>
  <c r="AD769" i="33"/>
  <c r="AG1102" i="33"/>
  <c r="AD1102" i="33"/>
  <c r="AE1102" i="33" s="1"/>
  <c r="AD1970" i="33"/>
  <c r="AE1970" i="33" s="1"/>
  <c r="AG1970" i="33"/>
  <c r="AD1423" i="33"/>
  <c r="AE1423" i="33" s="1"/>
  <c r="AG1423" i="33"/>
  <c r="AD1791" i="33"/>
  <c r="AE1791" i="33" s="1"/>
  <c r="AG1791" i="33"/>
  <c r="AE769" i="33" l="1"/>
  <c r="AD1997" i="33"/>
  <c r="H28" i="29" l="1"/>
  <c r="AD1998"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PC</author>
  </authors>
  <commentList>
    <comment ref="Q7" authorId="0" shapeId="0" xr:uid="{00000000-0006-0000-0000-000001000000}">
      <text>
        <r>
          <rPr>
            <b/>
            <sz val="9"/>
            <color indexed="81"/>
            <rFont val="Tahoma"/>
            <family val="2"/>
          </rPr>
          <t>User:</t>
        </r>
        <r>
          <rPr>
            <sz val="9"/>
            <color indexed="81"/>
            <rFont val="Tahoma"/>
            <family val="2"/>
          </rPr>
          <t xml:space="preserve">
IGUAL AO 8P - ESTIMADO</t>
        </r>
      </text>
    </comment>
    <comment ref="R7" authorId="0" shapeId="0" xr:uid="{00000000-0006-0000-0000-000002000000}">
      <text>
        <r>
          <rPr>
            <b/>
            <sz val="9"/>
            <color indexed="81"/>
            <rFont val="Tahoma"/>
            <family val="2"/>
          </rPr>
          <t>User:</t>
        </r>
        <r>
          <rPr>
            <sz val="9"/>
            <color indexed="81"/>
            <rFont val="Tahoma"/>
            <family val="2"/>
          </rPr>
          <t xml:space="preserve">
ESTIMADO = 9P X 0,5</t>
        </r>
      </text>
    </comment>
    <comment ref="L60" authorId="0" shapeId="0" xr:uid="{00000000-0006-0000-0000-000003000000}">
      <text>
        <r>
          <rPr>
            <b/>
            <sz val="9"/>
            <color indexed="81"/>
            <rFont val="Tahoma"/>
            <family val="2"/>
          </rPr>
          <t>User:</t>
        </r>
        <r>
          <rPr>
            <sz val="9"/>
            <color indexed="81"/>
            <rFont val="Tahoma"/>
            <family val="2"/>
          </rPr>
          <t xml:space="preserve">
PROJ DE FORÇA</t>
        </r>
      </text>
    </comment>
    <comment ref="Y60" authorId="0" shapeId="0" xr:uid="{00000000-0006-0000-0000-000004000000}">
      <text>
        <r>
          <rPr>
            <b/>
            <sz val="9"/>
            <color indexed="81"/>
            <rFont val="Tahoma"/>
            <family val="2"/>
          </rPr>
          <t>User:</t>
        </r>
        <r>
          <rPr>
            <sz val="9"/>
            <color indexed="81"/>
            <rFont val="Tahoma"/>
            <family val="2"/>
          </rPr>
          <t xml:space="preserve">
PROJ DE FORÇA</t>
        </r>
      </text>
    </comment>
    <comment ref="Z115" authorId="0" shapeId="0" xr:uid="{00000000-0006-0000-0000-000005000000}">
      <text>
        <r>
          <rPr>
            <b/>
            <sz val="9"/>
            <color indexed="81"/>
            <rFont val="Tahoma"/>
            <family val="2"/>
          </rPr>
          <t>User:</t>
        </r>
        <r>
          <rPr>
            <sz val="9"/>
            <color indexed="81"/>
            <rFont val="Tahoma"/>
            <family val="2"/>
          </rPr>
          <t xml:space="preserve">
50 X 50mm</t>
        </r>
      </text>
    </comment>
    <comment ref="R373" authorId="0" shapeId="0" xr:uid="{00000000-0006-0000-0000-000006000000}">
      <text>
        <r>
          <rPr>
            <b/>
            <sz val="9"/>
            <color indexed="81"/>
            <rFont val="Tahoma"/>
            <family val="2"/>
          </rPr>
          <t>User:</t>
        </r>
        <r>
          <rPr>
            <sz val="9"/>
            <color indexed="81"/>
            <rFont val="Tahoma"/>
            <family val="2"/>
          </rPr>
          <t xml:space="preserve">
QF-HIBR
</t>
        </r>
      </text>
    </comment>
    <comment ref="D399" authorId="0" shapeId="0" xr:uid="{00000000-0006-0000-0000-000007000000}">
      <text>
        <r>
          <rPr>
            <b/>
            <sz val="9"/>
            <color indexed="81"/>
            <rFont val="Tahoma"/>
            <family val="2"/>
          </rPr>
          <t>User:</t>
        </r>
        <r>
          <rPr>
            <sz val="9"/>
            <color indexed="81"/>
            <rFont val="Tahoma"/>
            <family val="2"/>
          </rPr>
          <t xml:space="preserve">
SOMA LUM DE 7W e 9W</t>
        </r>
      </text>
    </comment>
    <comment ref="U399" authorId="0" shapeId="0" xr:uid="{00000000-0006-0000-0000-000008000000}">
      <text>
        <r>
          <rPr>
            <b/>
            <sz val="9"/>
            <color indexed="81"/>
            <rFont val="Tahoma"/>
            <family val="2"/>
          </rPr>
          <t>User:</t>
        </r>
        <r>
          <rPr>
            <sz val="9"/>
            <color indexed="81"/>
            <rFont val="Tahoma"/>
            <family val="2"/>
          </rPr>
          <t xml:space="preserve">
acrescimo 33 marquise</t>
        </r>
      </text>
    </comment>
    <comment ref="V399" authorId="0" shapeId="0" xr:uid="{00000000-0006-0000-0000-000009000000}">
      <text>
        <r>
          <rPr>
            <b/>
            <sz val="9"/>
            <color indexed="81"/>
            <rFont val="Tahoma"/>
            <family val="2"/>
          </rPr>
          <t>User:</t>
        </r>
        <r>
          <rPr>
            <sz val="9"/>
            <color indexed="81"/>
            <rFont val="Tahoma"/>
            <family val="2"/>
          </rPr>
          <t xml:space="preserve">
acrescimo 44 marquise e terraço</t>
        </r>
      </text>
    </comment>
    <comment ref="B403" authorId="0" shapeId="0" xr:uid="{00000000-0006-0000-0000-00000A000000}">
      <text>
        <r>
          <rPr>
            <b/>
            <sz val="9"/>
            <color indexed="81"/>
            <rFont val="Tahoma"/>
            <family val="2"/>
          </rPr>
          <t>User:</t>
        </r>
        <r>
          <rPr>
            <sz val="9"/>
            <color indexed="81"/>
            <rFont val="Tahoma"/>
            <family val="2"/>
          </rPr>
          <t xml:space="preserve">
REF.: NR061911-B</t>
        </r>
      </text>
    </comment>
    <comment ref="U406" authorId="0" shapeId="0" xr:uid="{00000000-0006-0000-0000-00000B000000}">
      <text>
        <r>
          <rPr>
            <b/>
            <sz val="9"/>
            <color indexed="81"/>
            <rFont val="Tahoma"/>
            <family val="2"/>
          </rPr>
          <t>User:</t>
        </r>
        <r>
          <rPr>
            <sz val="9"/>
            <color indexed="81"/>
            <rFont val="Tahoma"/>
            <family val="2"/>
          </rPr>
          <t xml:space="preserve">
+3 marquise</t>
        </r>
      </text>
    </comment>
    <comment ref="G410" authorId="0" shapeId="0" xr:uid="{00000000-0006-0000-0000-00000C000000}">
      <text>
        <r>
          <rPr>
            <b/>
            <sz val="9"/>
            <color indexed="81"/>
            <rFont val="Tahoma"/>
            <family val="2"/>
          </rPr>
          <t>User:</t>
        </r>
        <r>
          <rPr>
            <sz val="9"/>
            <color indexed="81"/>
            <rFont val="Tahoma"/>
            <family val="2"/>
          </rPr>
          <t xml:space="preserve">
SALA GMG </t>
        </r>
      </text>
    </comment>
    <comment ref="H410" authorId="0" shapeId="0" xr:uid="{00000000-0006-0000-0000-00000D000000}">
      <text>
        <r>
          <rPr>
            <b/>
            <sz val="9"/>
            <color indexed="81"/>
            <rFont val="Tahoma"/>
            <family val="2"/>
          </rPr>
          <t>User:</t>
        </r>
        <r>
          <rPr>
            <sz val="9"/>
            <color indexed="81"/>
            <rFont val="Tahoma"/>
            <family val="2"/>
          </rPr>
          <t xml:space="preserve">
32 DA SUBESTÇÃO + GERADORES</t>
        </r>
      </text>
    </comment>
    <comment ref="U424" authorId="0" shapeId="0" xr:uid="{00000000-0006-0000-0000-00000E000000}">
      <text>
        <r>
          <rPr>
            <b/>
            <sz val="9"/>
            <color indexed="81"/>
            <rFont val="Tahoma"/>
            <family val="2"/>
          </rPr>
          <t>User:</t>
        </r>
        <r>
          <rPr>
            <sz val="9"/>
            <color indexed="81"/>
            <rFont val="Tahoma"/>
            <family val="2"/>
          </rPr>
          <t xml:space="preserve">
acrescimo rua de acesso</t>
        </r>
      </text>
    </comment>
    <comment ref="B650" authorId="0" shapeId="0" xr:uid="{00000000-0006-0000-0000-00000F000000}">
      <text>
        <r>
          <rPr>
            <b/>
            <sz val="9"/>
            <color indexed="81"/>
            <rFont val="Tahoma"/>
            <family val="2"/>
          </rPr>
          <t>User:</t>
        </r>
        <r>
          <rPr>
            <sz val="9"/>
            <color indexed="81"/>
            <rFont val="Tahoma"/>
            <family val="2"/>
          </rPr>
          <t xml:space="preserve">
REF.: NR061911-B</t>
        </r>
      </text>
    </comment>
    <comment ref="B687" authorId="0" shapeId="0" xr:uid="{00000000-0006-0000-0000-000010000000}">
      <text>
        <r>
          <rPr>
            <b/>
            <sz val="9"/>
            <color indexed="81"/>
            <rFont val="Tahoma"/>
            <family val="2"/>
          </rPr>
          <t>User:</t>
        </r>
        <r>
          <rPr>
            <sz val="9"/>
            <color indexed="81"/>
            <rFont val="Tahoma"/>
            <family val="2"/>
          </rPr>
          <t xml:space="preserve">
REF.: NR061911-B</t>
        </r>
      </text>
    </comment>
    <comment ref="B764" authorId="0" shapeId="0" xr:uid="{00000000-0006-0000-0000-000011000000}">
      <text>
        <r>
          <rPr>
            <b/>
            <sz val="9"/>
            <color indexed="81"/>
            <rFont val="Tahoma"/>
            <family val="2"/>
          </rPr>
          <t>User:</t>
        </r>
        <r>
          <rPr>
            <sz val="9"/>
            <color indexed="81"/>
            <rFont val="Tahoma"/>
            <family val="2"/>
          </rPr>
          <t xml:space="preserve">
REF.: NR061911-B</t>
        </r>
      </text>
    </comment>
    <comment ref="H771" authorId="0" shapeId="0" xr:uid="{00000000-0006-0000-0000-000012000000}">
      <text>
        <r>
          <rPr>
            <b/>
            <sz val="9"/>
            <color indexed="81"/>
            <rFont val="Tahoma"/>
            <family val="2"/>
          </rPr>
          <t>User:</t>
        </r>
        <r>
          <rPr>
            <sz val="9"/>
            <color indexed="81"/>
            <rFont val="Tahoma"/>
            <family val="2"/>
          </rPr>
          <t xml:space="preserve">
INFRA CA PORTAS</t>
        </r>
      </text>
    </comment>
    <comment ref="U771" authorId="0" shapeId="0" xr:uid="{00000000-0006-0000-0000-000013000000}">
      <text>
        <r>
          <rPr>
            <b/>
            <sz val="9"/>
            <color indexed="81"/>
            <rFont val="Tahoma"/>
            <family val="2"/>
          </rPr>
          <t>User:</t>
        </r>
        <r>
          <rPr>
            <sz val="9"/>
            <color indexed="81"/>
            <rFont val="Tahoma"/>
            <family val="2"/>
          </rPr>
          <t xml:space="preserve">
INFRA CA PORTAS</t>
        </r>
      </text>
    </comment>
    <comment ref="I869" authorId="0" shapeId="0" xr:uid="{00000000-0006-0000-0000-000014000000}">
      <text>
        <r>
          <rPr>
            <b/>
            <sz val="9"/>
            <color indexed="81"/>
            <rFont val="Tahoma"/>
            <family val="2"/>
          </rPr>
          <t>User:</t>
        </r>
        <r>
          <rPr>
            <sz val="9"/>
            <color indexed="81"/>
            <rFont val="Tahoma"/>
            <family val="2"/>
          </rPr>
          <t xml:space="preserve">
02 CAIXAS DE 305M</t>
        </r>
      </text>
    </comment>
    <comment ref="B890" authorId="0" shapeId="0" xr:uid="{00000000-0006-0000-0000-000015000000}">
      <text>
        <r>
          <rPr>
            <b/>
            <sz val="9"/>
            <color indexed="81"/>
            <rFont val="Tahoma"/>
            <family val="2"/>
          </rPr>
          <t>User:</t>
        </r>
        <r>
          <rPr>
            <sz val="9"/>
            <color indexed="81"/>
            <rFont val="Tahoma"/>
            <family val="2"/>
          </rPr>
          <t xml:space="preserve">
16 no memorial</t>
        </r>
      </text>
    </comment>
    <comment ref="B945" authorId="1" shapeId="0" xr:uid="{00000000-0006-0000-0000-000016000000}">
      <text>
        <r>
          <rPr>
            <b/>
            <sz val="9"/>
            <color indexed="81"/>
            <rFont val="Tahoma"/>
            <family val="2"/>
          </rPr>
          <t>PC:</t>
        </r>
        <r>
          <rPr>
            <sz val="9"/>
            <color indexed="81"/>
            <rFont val="Tahoma"/>
            <family val="2"/>
          </rPr>
          <t xml:space="preserve">
VER FUSÃO E ATIVOS...</t>
        </r>
      </text>
    </comment>
    <comment ref="B946" authorId="1" shapeId="0" xr:uid="{00000000-0006-0000-0000-000017000000}">
      <text>
        <r>
          <rPr>
            <b/>
            <sz val="9"/>
            <color indexed="81"/>
            <rFont val="Tahoma"/>
            <family val="2"/>
          </rPr>
          <t>PC:</t>
        </r>
        <r>
          <rPr>
            <sz val="9"/>
            <color indexed="81"/>
            <rFont val="Tahoma"/>
            <family val="2"/>
          </rPr>
          <t xml:space="preserve">
VER FUSÃO E ATIVOS...</t>
        </r>
      </text>
    </comment>
    <comment ref="R1268" authorId="0" shapeId="0" xr:uid="{00000000-0006-0000-0000-000018000000}">
      <text>
        <r>
          <rPr>
            <b/>
            <sz val="9"/>
            <color indexed="81"/>
            <rFont val="Tahoma"/>
            <family val="2"/>
          </rPr>
          <t>User:</t>
        </r>
        <r>
          <rPr>
            <sz val="9"/>
            <color indexed="81"/>
            <rFont val="Tahoma"/>
            <family val="2"/>
          </rPr>
          <t xml:space="preserve">
18M SAI</t>
        </r>
      </text>
    </comment>
    <comment ref="R1270" authorId="0" shapeId="0" xr:uid="{00000000-0006-0000-0000-000019000000}">
      <text>
        <r>
          <rPr>
            <b/>
            <sz val="9"/>
            <color indexed="81"/>
            <rFont val="Tahoma"/>
            <family val="2"/>
          </rPr>
          <t>User:</t>
        </r>
        <r>
          <rPr>
            <sz val="9"/>
            <color indexed="81"/>
            <rFont val="Tahoma"/>
            <family val="2"/>
          </rPr>
          <t xml:space="preserve">
30M SAI</t>
        </r>
      </text>
    </comment>
    <comment ref="R1271" authorId="0" shapeId="0" xr:uid="{00000000-0006-0000-0000-00001A000000}">
      <text>
        <r>
          <rPr>
            <b/>
            <sz val="9"/>
            <color indexed="81"/>
            <rFont val="Tahoma"/>
            <family val="2"/>
          </rPr>
          <t>User:</t>
        </r>
        <r>
          <rPr>
            <sz val="9"/>
            <color indexed="81"/>
            <rFont val="Tahoma"/>
            <family val="2"/>
          </rPr>
          <t xml:space="preserve">
03M SAI</t>
        </r>
      </text>
    </comment>
    <comment ref="R1272" authorId="0" shapeId="0" xr:uid="{00000000-0006-0000-0000-00001B000000}">
      <text>
        <r>
          <rPr>
            <b/>
            <sz val="9"/>
            <color indexed="81"/>
            <rFont val="Tahoma"/>
            <family val="2"/>
          </rPr>
          <t>User:</t>
        </r>
        <r>
          <rPr>
            <sz val="9"/>
            <color indexed="81"/>
            <rFont val="Tahoma"/>
            <family val="2"/>
          </rPr>
          <t xml:space="preserve">
57M SAI</t>
        </r>
      </text>
    </comment>
    <comment ref="T1327" authorId="0" shapeId="0" xr:uid="{00000000-0006-0000-0000-00001C000000}">
      <text>
        <r>
          <rPr>
            <b/>
            <sz val="9"/>
            <color indexed="81"/>
            <rFont val="Tahoma"/>
            <family val="2"/>
          </rPr>
          <t>User:</t>
        </r>
        <r>
          <rPr>
            <sz val="9"/>
            <color indexed="81"/>
            <rFont val="Tahoma"/>
            <family val="2"/>
          </rPr>
          <t xml:space="preserve">
ERP NO TÉRREO</t>
        </r>
      </text>
    </comment>
    <comment ref="R1776" authorId="0" shapeId="0" xr:uid="{00000000-0006-0000-0000-00001D000000}">
      <text>
        <r>
          <rPr>
            <b/>
            <sz val="9"/>
            <color indexed="81"/>
            <rFont val="Tahoma"/>
            <family val="2"/>
          </rPr>
          <t>User:</t>
        </r>
        <r>
          <rPr>
            <sz val="9"/>
            <color indexed="81"/>
            <rFont val="Tahoma"/>
            <family val="2"/>
          </rPr>
          <t xml:space="preserve">
estimado</t>
        </r>
      </text>
    </comment>
  </commentList>
</comments>
</file>

<file path=xl/sharedStrings.xml><?xml version="1.0" encoding="utf-8"?>
<sst xmlns="http://schemas.openxmlformats.org/spreadsheetml/2006/main" count="6689" uniqueCount="3722">
  <si>
    <t>TB</t>
  </si>
  <si>
    <t>NV</t>
  </si>
  <si>
    <t>FUNDO ANTIOXIDO ZARCAO</t>
  </si>
  <si>
    <t>GL</t>
  </si>
  <si>
    <t>ESMALTE SINTETICO ALTO BRILHO</t>
  </si>
  <si>
    <t>SOLVENTE THINER 101</t>
  </si>
  <si>
    <t>1.1</t>
  </si>
  <si>
    <t>1.2</t>
  </si>
  <si>
    <t>1.3</t>
  </si>
  <si>
    <t>1.4</t>
  </si>
  <si>
    <t>1.5</t>
  </si>
  <si>
    <t>1.6</t>
  </si>
  <si>
    <t>2.1</t>
  </si>
  <si>
    <t>2.2</t>
  </si>
  <si>
    <t>3.1</t>
  </si>
  <si>
    <t xml:space="preserve">MATERIAL / SERVIÇO </t>
  </si>
  <si>
    <t>UD</t>
  </si>
  <si>
    <t>QUANT</t>
  </si>
  <si>
    <t>UNITÁRIO</t>
  </si>
  <si>
    <t>ITM</t>
  </si>
  <si>
    <t>CJ</t>
  </si>
  <si>
    <t>INSTALAÇÃO SANITÁRIA / AP</t>
  </si>
  <si>
    <t>VB</t>
  </si>
  <si>
    <t>3.2</t>
  </si>
  <si>
    <t>2.3</t>
  </si>
  <si>
    <t>1.8</t>
  </si>
  <si>
    <t>1.9</t>
  </si>
  <si>
    <t>1.10</t>
  </si>
  <si>
    <t>1.11</t>
  </si>
  <si>
    <t>1.12</t>
  </si>
  <si>
    <t>1.13</t>
  </si>
  <si>
    <t>2.6</t>
  </si>
  <si>
    <t>2.7</t>
  </si>
  <si>
    <t>2.8</t>
  </si>
  <si>
    <t>2.9</t>
  </si>
  <si>
    <t>2.10</t>
  </si>
  <si>
    <t>PA</t>
  </si>
  <si>
    <t>TOTAL</t>
  </si>
  <si>
    <t>CANALETA COLETORA DE AGUAS PLUVIAIS C/ GRELHA DE FERRO</t>
  </si>
  <si>
    <t>HIDRANTES / GÁS</t>
  </si>
  <si>
    <t>PLANILHA EXCLUSÕES</t>
  </si>
  <si>
    <t>%</t>
  </si>
  <si>
    <t>2.4</t>
  </si>
  <si>
    <t>2.5</t>
  </si>
  <si>
    <t>ITEM</t>
  </si>
  <si>
    <t>ANTENAS: COLETIVA, INTERNET e PARABÓLICA</t>
  </si>
  <si>
    <t>1.7</t>
  </si>
  <si>
    <t>UN</t>
  </si>
  <si>
    <t>MT</t>
  </si>
  <si>
    <t>LT</t>
  </si>
  <si>
    <t>PC</t>
  </si>
  <si>
    <t>2.11</t>
  </si>
  <si>
    <t>1.14</t>
  </si>
  <si>
    <t>VALOR GLOBAL MATERIAL / MÃO-DE-OBRA</t>
  </si>
  <si>
    <t xml:space="preserve">POÇO PROFUNDO C/BOMBEAMENTO E TUBULAÇÕES </t>
  </si>
  <si>
    <t>RL</t>
  </si>
  <si>
    <t>ARAME GALVANIZADO BITOLA 16BWG - GERDAU</t>
  </si>
  <si>
    <t>KG</t>
  </si>
  <si>
    <t>1.15</t>
  </si>
  <si>
    <t>TUBO PROLONGADOR P/CX. SIFONADA Ф 150mm, NBR-5688, TIGRE ou AMANCO</t>
  </si>
  <si>
    <t>CURVA 90o P/ELETRODUTO PVC RÍGIDO, ROSCA Ф 3/4", FAB.TIGRE, AMANCO</t>
  </si>
  <si>
    <t>CURVA 90o P/ELETRODUTO PVC RÍGIDO, ROSCA Ф 1", FAB.TIGRE, AMANCO</t>
  </si>
  <si>
    <t>CURVA 90o P/ELETRODUTO PVC RÍGIDO, ROSCA Ф 1.1/2", FAB.TIGRE, AMANCO</t>
  </si>
  <si>
    <t>CURVA 90o P/ELETRODUTO PVC RÍGIDO, ROSCA Ф 2", FAB.TIGRE, AMANCO</t>
  </si>
  <si>
    <t>LUVA P/ELETRODUTO PVC RÍGIDO, ROSCA Ф 3/4", FAB.TIGRE, AMANCO</t>
  </si>
  <si>
    <t>LUVA P/ELETRODUTO PVC RÍGIDO, ROSCA Ф 1", FAB.TIGRE, AMANCO</t>
  </si>
  <si>
    <t>LUVA P/ELETRODUTO PVC RÍGIDO, ROSCA Ф 1.1/2", FAB.TIGRE, AMANCO</t>
  </si>
  <si>
    <t>LUVA P/ELETRODUTO PVC RÍGIDO, ROSCA Ф 2", FAB.TIGRE, AMANCO</t>
  </si>
  <si>
    <r>
      <t xml:space="preserve">BUCHA E ARRUELA EM LIGA DE ALUMINIO SILÍCIO </t>
    </r>
    <r>
      <rPr>
        <sz val="8"/>
        <rFont val="Calibri"/>
        <family val="2"/>
      </rPr>
      <t>Ф</t>
    </r>
    <r>
      <rPr>
        <sz val="8"/>
        <rFont val="Arial"/>
        <family val="2"/>
      </rPr>
      <t xml:space="preserve"> 3/4", FAB. WETZEL, TRAMONTINA</t>
    </r>
  </si>
  <si>
    <t>TIRO (PINO / FINCA-PINO) 30x20mm Ф 1/4" FAB.WALSYWA, HILT</t>
  </si>
  <si>
    <t>CAIXA DE PVC RETANGULAR 4"x2" (TIGREFLEX), FAB.TIGRE, AMANCO</t>
  </si>
  <si>
    <t>CAIXA DE PVC QUADRADA 4"x4" (TIGREFLEX), FAB.TIGRE, AMANCO</t>
  </si>
  <si>
    <t>TUBO PVC SOLDÁVEL, LINHA PREDIAL, NBR-5648, Ф 25mm x 6,0m, FAB. TIGRE, AMANCO</t>
  </si>
  <si>
    <t xml:space="preserve">TUBO PVC SOLDÁVEL, LINHA PREDIAL, NBR-5648, Ф 32mm x 6,0m, FAB. TIGRE, AMANCO </t>
  </si>
  <si>
    <t xml:space="preserve">TUBO PVC SOLDÁVEL, LINHA PREDIAL, NBR-5648, Ф 40mm x 6,0m, FAB. TIGRE, AMANCO </t>
  </si>
  <si>
    <t xml:space="preserve">TUBO PVC SOLDÁVEL, LINHA PREDIAL, NBR-5648, Ф 50mm x 6,0m, FAB. TIGRE, AMANCO </t>
  </si>
  <si>
    <t xml:space="preserve">TUBO PVC SOLDÁVEL, LINHA PREDIAL, NBR-5648, Ф 60mm x 6,0m, FAB. TIGRE, AMANCO </t>
  </si>
  <si>
    <t>TUBO PVC ESGOTO, PONTA-BOLSA e VIROLA, SÉRIE-N, NBR-5688, Ф 40mm x 6,0m, FAB. TIGRE, AMANCO</t>
  </si>
  <si>
    <t>TUBO PVC ESGOTO, PONTA-BOLSA e VIROLA, SÉRIE-N, NBR-5688, Ф 50mm x 6,0m, FAB. TIGRE, AMANCO</t>
  </si>
  <si>
    <t>TUBO PVC ESGOTO, PONTA-BOLSA e VIROLA, SÉRIE-N, NBR-5688, Ф 75mm x 6,0m, FAB. TIGRE, AMANCO</t>
  </si>
  <si>
    <t>TUBO PVC ESGOTO, PONTA-BOLSA e VIROLA, SÉRIE-N, NBR-5688, Ф 100mm x 6,0m, FAB. TIGRE, AMANCO</t>
  </si>
  <si>
    <t>LUVA SIMPLES PVC SOLDÁVEL, P/TUBO Ф 25mm, FAB.TIGRE, AMANCO</t>
  </si>
  <si>
    <t>LUVA SIMPLES PVC SOLDÁVEL, P/TUBO Ф 32mm, FAB.TIGRE, AMANCO</t>
  </si>
  <si>
    <t>LUVA SIMPLES PVC SOLDÁVEL, P/TUBO Ф 40mm, FAB.TIGRE, AMANCO</t>
  </si>
  <si>
    <t>LUVA SIMPLES PVC SOLDÁVEL, P/TUBO Ф 50mm, FAB.TIGRE, AMANCO</t>
  </si>
  <si>
    <t>LUVA SIMPLES PVC SOLDÁVEL, P/TUBO Ф 60mm, FAB.TIGRE, AMANCO</t>
  </si>
  <si>
    <r>
      <t>JOELHO 90</t>
    </r>
    <r>
      <rPr>
        <vertAlign val="superscript"/>
        <sz val="8"/>
        <rFont val="Arial"/>
        <family val="2"/>
      </rPr>
      <t>o</t>
    </r>
    <r>
      <rPr>
        <sz val="8"/>
        <rFont val="Arial"/>
        <family val="2"/>
      </rPr>
      <t xml:space="preserve"> PVC SOLDÁVEL, C/BUCHA DE LATÃO Ф 25x1/2", FAB.TIGRE, AMANCO</t>
    </r>
  </si>
  <si>
    <r>
      <t>JOELHO 90</t>
    </r>
    <r>
      <rPr>
        <vertAlign val="superscript"/>
        <sz val="8"/>
        <rFont val="Arial"/>
        <family val="2"/>
      </rPr>
      <t>o</t>
    </r>
    <r>
      <rPr>
        <sz val="8"/>
        <rFont val="Arial"/>
        <family val="2"/>
      </rPr>
      <t xml:space="preserve"> PVC SOLDÁVEL, C/BUCHA DE LATÃO Ф 25x3/4", FAB.TIGRE, AMANCO</t>
    </r>
  </si>
  <si>
    <r>
      <t>JOELHO 90</t>
    </r>
    <r>
      <rPr>
        <vertAlign val="superscript"/>
        <sz val="8"/>
        <rFont val="Arial"/>
        <family val="2"/>
      </rPr>
      <t>o</t>
    </r>
    <r>
      <rPr>
        <sz val="8"/>
        <rFont val="Arial"/>
        <family val="2"/>
      </rPr>
      <t xml:space="preserve"> PVC SOLDÁVEL, P/TUBO Ф 25mm, FAB.TIGRE, AMANCO</t>
    </r>
  </si>
  <si>
    <r>
      <t>JOELHO 90</t>
    </r>
    <r>
      <rPr>
        <vertAlign val="superscript"/>
        <sz val="8"/>
        <rFont val="Arial"/>
        <family val="2"/>
      </rPr>
      <t>o</t>
    </r>
    <r>
      <rPr>
        <sz val="8"/>
        <rFont val="Arial"/>
        <family val="2"/>
      </rPr>
      <t xml:space="preserve"> PVC SOLDÁVEL, P/TUBO Ф 32mm, FAB.TIGRE, AMANCO</t>
    </r>
  </si>
  <si>
    <r>
      <t>JOELHO 90</t>
    </r>
    <r>
      <rPr>
        <vertAlign val="superscript"/>
        <sz val="8"/>
        <rFont val="Arial"/>
        <family val="2"/>
      </rPr>
      <t>o</t>
    </r>
    <r>
      <rPr>
        <sz val="8"/>
        <rFont val="Arial"/>
        <family val="2"/>
      </rPr>
      <t xml:space="preserve"> PVC SOLDÁVEL, P/TUBO Ф 40mm, FAB.TIGRE, AMANCO</t>
    </r>
  </si>
  <si>
    <r>
      <t>JOELHO 90</t>
    </r>
    <r>
      <rPr>
        <vertAlign val="superscript"/>
        <sz val="8"/>
        <rFont val="Arial"/>
        <family val="2"/>
      </rPr>
      <t>o</t>
    </r>
    <r>
      <rPr>
        <sz val="8"/>
        <rFont val="Arial"/>
        <family val="2"/>
      </rPr>
      <t xml:space="preserve"> PVC SOLDÁVEL, P/TUBO Ф 60mm, FAB.TIGRE, AMANCO</t>
    </r>
  </si>
  <si>
    <r>
      <t>TE 90</t>
    </r>
    <r>
      <rPr>
        <vertAlign val="superscript"/>
        <sz val="8"/>
        <rFont val="Arial"/>
        <family val="2"/>
      </rPr>
      <t>o</t>
    </r>
    <r>
      <rPr>
        <sz val="8"/>
        <rFont val="Arial"/>
        <family val="2"/>
      </rPr>
      <t xml:space="preserve"> PVC SOLDÁVEL, P/TUBO Ф 25mm, FAB.TIGRE, AMANCO</t>
    </r>
  </si>
  <si>
    <r>
      <t>TE 90</t>
    </r>
    <r>
      <rPr>
        <vertAlign val="superscript"/>
        <sz val="8"/>
        <rFont val="Arial"/>
        <family val="2"/>
      </rPr>
      <t>o</t>
    </r>
    <r>
      <rPr>
        <sz val="8"/>
        <rFont val="Arial"/>
        <family val="2"/>
      </rPr>
      <t xml:space="preserve"> PVC SOLDÁVEL, P/TUBO Ф 40mm, FAB.TIGRE, AMANCO</t>
    </r>
  </si>
  <si>
    <r>
      <t>TE 90</t>
    </r>
    <r>
      <rPr>
        <vertAlign val="superscript"/>
        <sz val="8"/>
        <rFont val="Arial"/>
        <family val="2"/>
      </rPr>
      <t>o</t>
    </r>
    <r>
      <rPr>
        <sz val="8"/>
        <rFont val="Arial"/>
        <family val="2"/>
      </rPr>
      <t xml:space="preserve"> PVC SOLDÁVEL, P/TUBO Ф 50mm, FAB.TIGRE, AMANCO</t>
    </r>
  </si>
  <si>
    <r>
      <t>TE DE REDUÇÃO 90</t>
    </r>
    <r>
      <rPr>
        <vertAlign val="superscript"/>
        <sz val="8"/>
        <rFont val="Arial"/>
        <family val="2"/>
      </rPr>
      <t>o</t>
    </r>
    <r>
      <rPr>
        <sz val="8"/>
        <rFont val="Arial"/>
        <family val="2"/>
      </rPr>
      <t xml:space="preserve"> PVC SOLDÁVEL, Ф 40x32mm, FAB.TIGRE, AMANCO</t>
    </r>
  </si>
  <si>
    <r>
      <t>TE DE REDUÇÃO 90</t>
    </r>
    <r>
      <rPr>
        <vertAlign val="superscript"/>
        <sz val="8"/>
        <rFont val="Arial"/>
        <family val="2"/>
      </rPr>
      <t>o</t>
    </r>
    <r>
      <rPr>
        <sz val="8"/>
        <rFont val="Arial"/>
        <family val="2"/>
      </rPr>
      <t xml:space="preserve"> PVC SOLDÁVEL, Ф 32x25mm, FAB.TIGRE, AMANCO</t>
    </r>
  </si>
  <si>
    <t>BUCHA DE REDUÇÃO PVC SOLDÁVEL CURTA, Ф 32x25mm, FAB.TIGRE, AMANCO</t>
  </si>
  <si>
    <t>BUCHA DE REDUÇÃO PVC SOLDÁVEL CURTA, Ф 40x32mm, FAB.TIGRE, AMANCO</t>
  </si>
  <si>
    <t>BUCHA DE REDUÇÃO PVC SOLDÁVEL CURTA, Ф 50x40mm, FAB.TIGRE, AMANCO</t>
  </si>
  <si>
    <t>BUCHA DE REDUÇÃO PVC SOLDÁVEL CURTA, Ф 60x50mm, FAB.TIGRE, AMANCO</t>
  </si>
  <si>
    <t>ADAPTADOR PVC SOLDÁVEL CURTO P/REGISTRO, Ф 25x3/4", FAB.TIGRE, AMANCO</t>
  </si>
  <si>
    <t>PLUG EM PVC ROSCAVÉL Ф 1/2", FAB. TIGRE, AMANCO</t>
  </si>
  <si>
    <t>ADESIVO P/PVC, EMBALAGEM 75g, FAB. TIGRE, AMANCO</t>
  </si>
  <si>
    <t>VEDA JUNTA TIPO ADESITE, EMBALAGEM 75g, FAB. BRASCOLA, LOCTITE</t>
  </si>
  <si>
    <t>FITA VEDA ROSCA 3/4" X 25m, FAB. TIGRE, AMANCO</t>
  </si>
  <si>
    <t>SOLUÇÃO LIMPADORA P/PVC, EMBALAGEM 1 LITRO, FAB. TIGRE, AMANCO</t>
  </si>
  <si>
    <t>LÂMINA DE SERRA MANUAL 12" x 18D, FAB. STARRETT</t>
  </si>
  <si>
    <r>
      <t>LIXA PRETA (FERRO) GRAMATURA N</t>
    </r>
    <r>
      <rPr>
        <vertAlign val="superscript"/>
        <sz val="8"/>
        <rFont val="Arial"/>
        <family val="2"/>
      </rPr>
      <t>o</t>
    </r>
    <r>
      <rPr>
        <sz val="8"/>
        <rFont val="Arial"/>
        <family val="2"/>
      </rPr>
      <t xml:space="preserve"> 80, FAB. NORTON</t>
    </r>
  </si>
  <si>
    <t>ESTOPA FINA, EMBALAGEM 200g</t>
  </si>
  <si>
    <t>BARRA CHATA DE ALUMINIO NATURAL 1/2" x 1/8", FAB. ALCOA, CBA</t>
  </si>
  <si>
    <t>BARRA CHATA DE ALUMINIO NATURAL 3/4" x 1/4", FAB. ALCOA, CBA</t>
  </si>
  <si>
    <t>REBITE DE REPUXO "POP" P/ALUMINIO 3.2 x 08 x 1/8", FAB. ALCOA, CBA</t>
  </si>
  <si>
    <r>
      <t xml:space="preserve">REGISTRO DE GAVETA BRUTO INDUSTRIAL NBR-15705, CLASSE 150, ROSCA BSP </t>
    </r>
    <r>
      <rPr>
        <sz val="8"/>
        <rFont val="Calibri"/>
        <family val="2"/>
      </rPr>
      <t>Ф 2.1/2</t>
    </r>
    <r>
      <rPr>
        <sz val="8"/>
        <rFont val="Arial"/>
        <family val="2"/>
      </rPr>
      <t>", FAB. DOCOL, MIPEL, DECA</t>
    </r>
  </si>
  <si>
    <r>
      <t xml:space="preserve">VÁLVULA DE RETENÇÃO HORIZONTAL, NBR-15055, ROSCA BSP </t>
    </r>
    <r>
      <rPr>
        <sz val="8"/>
        <rFont val="Calibri"/>
        <family val="2"/>
      </rPr>
      <t>Ф 2</t>
    </r>
    <r>
      <rPr>
        <sz val="8"/>
        <rFont val="Arial"/>
        <family val="2"/>
      </rPr>
      <t>.1/2", FAB. DOCOL, MIPEL, DECA</t>
    </r>
  </si>
  <si>
    <t>MANOMETRO MOD.M100/1-012 ESCALA ATE 100 mca, FAB. WILLY, ROWA</t>
  </si>
  <si>
    <r>
      <t xml:space="preserve">ANEL DE BORRACHA P/VIROLA ESGOTO </t>
    </r>
    <r>
      <rPr>
        <sz val="8"/>
        <rFont val="Calibri"/>
        <family val="2"/>
      </rPr>
      <t>Ф</t>
    </r>
    <r>
      <rPr>
        <sz val="8"/>
        <rFont val="Arial"/>
        <family val="2"/>
      </rPr>
      <t xml:space="preserve"> 75mm, FAB. TIGRE, AMANCO</t>
    </r>
  </si>
  <si>
    <r>
      <t xml:space="preserve">ANEL DE BORRACHA P/VIROLA ESGOTO </t>
    </r>
    <r>
      <rPr>
        <sz val="8"/>
        <rFont val="Calibri"/>
        <family val="2"/>
      </rPr>
      <t>Ф</t>
    </r>
    <r>
      <rPr>
        <sz val="8"/>
        <rFont val="Arial"/>
        <family val="2"/>
      </rPr>
      <t xml:space="preserve"> 100mm, FAB. TIGRE, AMANCO</t>
    </r>
  </si>
  <si>
    <r>
      <t xml:space="preserve">CAP PVC ESGOTO </t>
    </r>
    <r>
      <rPr>
        <sz val="8"/>
        <rFont val="Calibri"/>
        <family val="2"/>
      </rPr>
      <t>Ф</t>
    </r>
    <r>
      <rPr>
        <sz val="8"/>
        <rFont val="Arial"/>
        <family val="2"/>
      </rPr>
      <t xml:space="preserve"> 100mm, FAB. TIGRE, AMANCO</t>
    </r>
  </si>
  <si>
    <t>LUVA SIMPLES PVC ESGOTO Ф 50mm, FAB. TIGRE, AMANCO</t>
  </si>
  <si>
    <t>LUVA SIMPLES PVC ESGOTO Ф 75mm, FAB. TIGRE, AMANCO</t>
  </si>
  <si>
    <t>LUVA SIMPLES PVC ESGOTO Ф 100mm, FAB. TIGRE, AMANCO</t>
  </si>
  <si>
    <r>
      <t>JOELHO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40mm, FAB. TIGRE, AMANCO</t>
    </r>
  </si>
  <si>
    <r>
      <t>JOELHO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50mm, FAB. TIGRE, AMANCO</t>
    </r>
  </si>
  <si>
    <r>
      <t>JOELHO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75mm, FAB. TIGRE, AMANCO</t>
    </r>
  </si>
  <si>
    <r>
      <t>JOELHO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100mm, FAB. TIGRE, AMANCO</t>
    </r>
  </si>
  <si>
    <r>
      <t>JOELHO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40mm, FAB. TIGRE, AMANCO</t>
    </r>
  </si>
  <si>
    <r>
      <t>JOELHO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50mm, FAB. TIGRE, AMANCO</t>
    </r>
  </si>
  <si>
    <r>
      <t>JOELHO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75mm, FAB. TIGRE, AMANCO</t>
    </r>
  </si>
  <si>
    <r>
      <t>JOELHO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100mm, FAB. TIGRE, AMANCO</t>
    </r>
  </si>
  <si>
    <r>
      <t>TE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50mm, FAB. TIGRE, AMANCO</t>
    </r>
  </si>
  <si>
    <r>
      <t xml:space="preserve">TERMINAL DE VENTILAÇÃO PVC ESGOTO </t>
    </r>
    <r>
      <rPr>
        <sz val="8"/>
        <rFont val="Calibri"/>
        <family val="2"/>
      </rPr>
      <t>Ф</t>
    </r>
    <r>
      <rPr>
        <sz val="8"/>
        <rFont val="Arial"/>
        <family val="2"/>
      </rPr>
      <t xml:space="preserve"> 100mm, FAB. TIGRE, AMANCO</t>
    </r>
  </si>
  <si>
    <r>
      <t>JUNÇÃO SIMPLES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50x50mm, FAB. TIGRE, AMANCO</t>
    </r>
  </si>
  <si>
    <r>
      <t>JUNÇÃO SIMPLES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75x50mm, FAB. TIGRE, AMANCO</t>
    </r>
  </si>
  <si>
    <r>
      <t xml:space="preserve">LUVA SIMPLES FERRO MALEÁVEL GALVANIZADO </t>
    </r>
    <r>
      <rPr>
        <sz val="8"/>
        <rFont val="Calibri"/>
        <family val="2"/>
      </rPr>
      <t>Ф</t>
    </r>
    <r>
      <rPr>
        <sz val="8"/>
        <rFont val="Arial"/>
        <family val="2"/>
      </rPr>
      <t xml:space="preserve"> 2.1/2", FAB. TUPY</t>
    </r>
  </si>
  <si>
    <t>COTOVELO 90o FERRO MALEÁVEL GALVANIZADO Ф 2.1/2", FAB. TUPY</t>
  </si>
  <si>
    <t>COTOVELO 45o FERRO MALEÁVEL GALVANIZADO Ф 2.1/2", FAB. TUPY</t>
  </si>
  <si>
    <t>TE 90o FERRO MALEÁVEL GALVANIZADO Ф 2.1/2", FAB. TUPY</t>
  </si>
  <si>
    <r>
      <t>TE 90</t>
    </r>
    <r>
      <rPr>
        <vertAlign val="superscript"/>
        <sz val="8"/>
        <rFont val="Arial"/>
        <family val="2"/>
      </rPr>
      <t>o</t>
    </r>
    <r>
      <rPr>
        <sz val="8"/>
        <rFont val="Arial"/>
        <family val="2"/>
      </rPr>
      <t xml:space="preserve"> GALVANIZADO REDUÇÃO Ф 2.1/2" x 1", FAB. TUPY</t>
    </r>
  </si>
  <si>
    <t>BUCHA DE REDUCAO FERRO GALVANIZADO Ф 2.1/2 x 2", FAB. TUPY</t>
  </si>
  <si>
    <t>NIPLE DUPLO SEXTAVADO FERRO GALVANIZADO Ф 2.1/2", FAB. TUPY</t>
  </si>
  <si>
    <t>LUVA UNIÃO FERRO GALVANIZADO ASSENTO PLANO Ф 2.1/2", FAB. TUPY</t>
  </si>
  <si>
    <t xml:space="preserve">FITA ANTICORROSIVA, 50mm X 30m, SCOTCH RAP, FAB. 3M </t>
  </si>
  <si>
    <r>
      <t xml:space="preserve">VÁLVULA DE SEGURANÇA E DE ALÍVIO </t>
    </r>
    <r>
      <rPr>
        <sz val="8"/>
        <rFont val="Calibri"/>
        <family val="2"/>
      </rPr>
      <t>Ф</t>
    </r>
    <r>
      <rPr>
        <sz val="8"/>
        <rFont val="Arial"/>
        <family val="2"/>
      </rPr>
      <t xml:space="preserve"> 2" REF. 221, FAB. NIAGARA, MIPEL</t>
    </r>
  </si>
  <si>
    <r>
      <t>REGISTRO GLOBO ANGULAR 45</t>
    </r>
    <r>
      <rPr>
        <vertAlign val="superscript"/>
        <sz val="8"/>
        <rFont val="Arial"/>
        <family val="2"/>
      </rPr>
      <t>o</t>
    </r>
    <r>
      <rPr>
        <sz val="8"/>
        <rFont val="Arial"/>
        <family val="2"/>
      </rPr>
      <t xml:space="preserve"> , PREDIAL, CLASSE 125, NBR-6941, ROSCAS </t>
    </r>
    <r>
      <rPr>
        <sz val="8"/>
        <rFont val="Calibri"/>
        <family val="2"/>
      </rPr>
      <t>Ф</t>
    </r>
    <r>
      <rPr>
        <sz val="8"/>
        <rFont val="Arial"/>
        <family val="2"/>
      </rPr>
      <t xml:space="preserve"> 2.1/2" X 2.1/2", FAB. MIPEL, KIDDE</t>
    </r>
  </si>
  <si>
    <r>
      <t>CABO DE COBRE NÚ ELETROLÍTICO, TÊMPERA 1/2 DURA, NBR-6524, CL.2A, 07 FIOS, 1x35mm</t>
    </r>
    <r>
      <rPr>
        <vertAlign val="superscript"/>
        <sz val="8"/>
        <rFont val="Arial"/>
        <family val="2"/>
      </rPr>
      <t xml:space="preserve">2 </t>
    </r>
    <r>
      <rPr>
        <sz val="8"/>
        <rFont val="Arial"/>
        <family val="2"/>
      </rPr>
      <t>FAB. PRYSMIAN, NEXANS</t>
    </r>
  </si>
  <si>
    <r>
      <t>CABO DE COBRE NÚ ELETROLÍTICO, TÊMPERA 1/2 DURA, NBR-6524, CL.2A, 07 FIOS, 1x50mm</t>
    </r>
    <r>
      <rPr>
        <vertAlign val="superscript"/>
        <sz val="8"/>
        <rFont val="Arial"/>
        <family val="2"/>
      </rPr>
      <t xml:space="preserve">2 </t>
    </r>
    <r>
      <rPr>
        <sz val="8"/>
        <rFont val="Arial"/>
        <family val="2"/>
      </rPr>
      <t>FAB. PRYSMIAN, NEXANS</t>
    </r>
  </si>
  <si>
    <t>CIRCUITOS DE ALIMENTAÇÃO DOS AR CONDICIONADOS / INTERLIGAÇÕES COM AS CONDENSADORAS</t>
  </si>
  <si>
    <t>1.16</t>
  </si>
  <si>
    <t>1.17</t>
  </si>
  <si>
    <t>ESCAVAÇÕES MANUAIS E REATERRO DE VALAS</t>
  </si>
  <si>
    <t>1.19</t>
  </si>
  <si>
    <t>CAIXA DE INSPEÇÃO EM ALVENARIA 60x60cm C/TAMPA DE CONCRETO e MOLDURA DE FERRO - ESGOTO</t>
  </si>
  <si>
    <t>CAIXA DE AREIA EM ALVENARIA 60x60cm C/TAMPA DE CONCRETO - ÁGUAS PLUVIAIS</t>
  </si>
  <si>
    <t xml:space="preserve">PIA COZINHA EM AÇO INOX C/01 CUBA E VALVULA </t>
  </si>
  <si>
    <t>2.12</t>
  </si>
  <si>
    <t>2.13</t>
  </si>
  <si>
    <t>ADAPTADOR PVC SOLDÁVEL CURTO P/REGISTRO, Ф 40x1.1/4", FAB.TIGRE, AMANCO</t>
  </si>
  <si>
    <t xml:space="preserve">CONDULETE MÚLTIPLO EM LIGA DE ALUMÍNIO, PARAF. AÇO ZINCADO, TAMPA E JUNTA DE VEDAÇÃO, ROSCA Ф 3/4", FAB. WETZEL     </t>
  </si>
  <si>
    <t xml:space="preserve">CONECTOR EM ALUM.SILICIO P/CONDULETE MÚLTIPLO, PARAF. AÇO ZINCADO, ROSCA EXTERNA Ф 3/4", FAB. WETZEL     </t>
  </si>
  <si>
    <r>
      <t>JUNÇÃO SIMPLES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40x40mm, FAB. TIGRE, AMANCO</t>
    </r>
  </si>
  <si>
    <r>
      <t>JOELHO 90</t>
    </r>
    <r>
      <rPr>
        <vertAlign val="superscript"/>
        <sz val="8"/>
        <rFont val="Arial"/>
        <family val="2"/>
      </rPr>
      <t>o</t>
    </r>
    <r>
      <rPr>
        <sz val="8"/>
        <rFont val="Arial"/>
        <family val="2"/>
      </rPr>
      <t xml:space="preserve"> PVC ESGOTO C/ANEL </t>
    </r>
    <r>
      <rPr>
        <sz val="8"/>
        <rFont val="Calibri"/>
        <family val="2"/>
      </rPr>
      <t>Ф</t>
    </r>
    <r>
      <rPr>
        <sz val="8"/>
        <rFont val="Arial"/>
        <family val="2"/>
      </rPr>
      <t xml:space="preserve"> 1.1/2" X 40mm, FAB. TIGRE, AMANCO</t>
    </r>
  </si>
  <si>
    <t>ADAPTADOR PVC SOLDÁVEL CURTO P/REGISTRO, Ф 32x1", FAB.TIGRE, AMANCO</t>
  </si>
  <si>
    <r>
      <t>TE 90</t>
    </r>
    <r>
      <rPr>
        <vertAlign val="superscript"/>
        <sz val="8"/>
        <rFont val="Arial"/>
        <family val="2"/>
      </rPr>
      <t>o</t>
    </r>
    <r>
      <rPr>
        <sz val="8"/>
        <rFont val="Arial"/>
        <family val="2"/>
      </rPr>
      <t xml:space="preserve"> PVC SOLDÁVEL, P/TUBO Ф 32mm, FAB.TIGRE, AMANCO</t>
    </r>
  </si>
  <si>
    <r>
      <t>TE 90</t>
    </r>
    <r>
      <rPr>
        <vertAlign val="superscript"/>
        <sz val="8"/>
        <rFont val="Arial"/>
        <family val="2"/>
      </rPr>
      <t>o</t>
    </r>
    <r>
      <rPr>
        <sz val="8"/>
        <rFont val="Arial"/>
        <family val="2"/>
      </rPr>
      <t xml:space="preserve"> PVC SOLDÁVEL, P/TUBO Ф 60mm, FAB.TIGRE, AMANCO</t>
    </r>
  </si>
  <si>
    <r>
      <t>TE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100mm, FAB. TIGRE, AMANCO</t>
    </r>
  </si>
  <si>
    <t>TUBO PVC ESGOTO, PONTA-BOLSA e VIROLA, SÉRIE-R, NBR-5688, Ф 100mm x 3,0m, FAB. TIGRE, AMANCO</t>
  </si>
  <si>
    <t>TUBO PVC ESGOTO, PONTA-BOLSA e VIROLA, SÉRIE-R, NBR-5688, Ф 150mm x 3,0m, FAB. TIGRE, AMANCO</t>
  </si>
  <si>
    <t>LUVA SIMPLES PVC ESGOTO SÉRIE-R Ф 100mm, FAB. TIGRE, AMANCO</t>
  </si>
  <si>
    <t>LUVA SIMPLES PVC ESGOTO SÉRIE-R Ф 150mm, FAB. TIGRE, AMANCO</t>
  </si>
  <si>
    <r>
      <t>JOELHO 90</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100mm, FAB. TIGRE, AMANCO</t>
    </r>
  </si>
  <si>
    <r>
      <t>JOELHO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100mm, FAB. TIGRE, AMANCO</t>
    </r>
  </si>
  <si>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100x100mm, FAB. TIGRE, AMANCO</t>
    </r>
  </si>
  <si>
    <r>
      <t xml:space="preserve">ANEL DE BORRACHA P/VIROLA ESGOTO SÉRIE-R </t>
    </r>
    <r>
      <rPr>
        <sz val="8"/>
        <rFont val="Calibri"/>
        <family val="2"/>
      </rPr>
      <t>Ф</t>
    </r>
    <r>
      <rPr>
        <sz val="8"/>
        <rFont val="Arial"/>
        <family val="2"/>
      </rPr>
      <t xml:space="preserve"> 100mm, FAB. TIGRE, AMANCO</t>
    </r>
  </si>
  <si>
    <r>
      <t>TE 90</t>
    </r>
    <r>
      <rPr>
        <vertAlign val="superscript"/>
        <sz val="8"/>
        <rFont val="Arial"/>
        <family val="2"/>
      </rPr>
      <t>o</t>
    </r>
    <r>
      <rPr>
        <sz val="8"/>
        <rFont val="Arial"/>
        <family val="2"/>
      </rPr>
      <t xml:space="preserve"> GALVANIZADO REDUÇÃO Ф 2.1/2" x 2", FAB. TUPY</t>
    </r>
  </si>
  <si>
    <r>
      <t xml:space="preserve">TUBO DE AÇO CARBONO, GALVANIZADO C/C DIN-2440, BS-1387(M) ou NBR-5580(M), ROSCA BSP, </t>
    </r>
    <r>
      <rPr>
        <sz val="8"/>
        <rFont val="Calibri"/>
        <family val="2"/>
      </rPr>
      <t>Ф 2.1/2</t>
    </r>
    <r>
      <rPr>
        <sz val="8"/>
        <rFont val="Arial"/>
        <family val="2"/>
      </rPr>
      <t>" x 3,65mm x 6,0m, FAB. APOLO, TUPER, CARBINOX</t>
    </r>
  </si>
  <si>
    <t>RALO HEMISFÉRICO TIPO ABACAXI EM FERRO FUNDIDO 100mm, FAB. FUNDIÇÃO CAPISTRANO</t>
  </si>
  <si>
    <t>1.18</t>
  </si>
  <si>
    <r>
      <t>JUNÇÃO SIMPLES 45</t>
    </r>
    <r>
      <rPr>
        <vertAlign val="superscript"/>
        <sz val="8"/>
        <rFont val="Arial"/>
        <family val="2"/>
      </rPr>
      <t>o</t>
    </r>
    <r>
      <rPr>
        <sz val="8"/>
        <rFont val="Arial"/>
        <family val="2"/>
      </rPr>
      <t xml:space="preserve"> PVC ESGOTO </t>
    </r>
    <r>
      <rPr>
        <sz val="8"/>
        <rFont val="Calibri"/>
        <family val="2"/>
      </rPr>
      <t>Ф</t>
    </r>
    <r>
      <rPr>
        <sz val="8"/>
        <rFont val="Arial"/>
        <family val="2"/>
      </rPr>
      <t xml:space="preserve"> 75x75mm, FAB. TIGRE, AMANCO</t>
    </r>
  </si>
  <si>
    <r>
      <t>TE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75mm, FAB. TIGRE, AMANCO</t>
    </r>
  </si>
  <si>
    <r>
      <t>TE DE REDUÇÃO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75x50mm, FAB. TIGRE, AMANCO</t>
    </r>
  </si>
  <si>
    <r>
      <t xml:space="preserve">REDUÇÃO EXCÊNTRICA PVC ESGOTO </t>
    </r>
    <r>
      <rPr>
        <sz val="8"/>
        <rFont val="Calibri"/>
        <family val="2"/>
      </rPr>
      <t>Ф</t>
    </r>
    <r>
      <rPr>
        <sz val="8"/>
        <rFont val="Arial"/>
        <family val="2"/>
      </rPr>
      <t xml:space="preserve"> 75x50mm, FAB. TIGRE, AMANCO</t>
    </r>
  </si>
  <si>
    <r>
      <t>TE DE REDUÇÃO 90</t>
    </r>
    <r>
      <rPr>
        <vertAlign val="superscript"/>
        <sz val="8"/>
        <rFont val="Arial"/>
        <family val="2"/>
      </rPr>
      <t>o</t>
    </r>
    <r>
      <rPr>
        <sz val="8"/>
        <rFont val="Arial"/>
        <family val="2"/>
      </rPr>
      <t xml:space="preserve"> PVC ESGOTO </t>
    </r>
    <r>
      <rPr>
        <sz val="8"/>
        <rFont val="Calibri"/>
        <family val="2"/>
      </rPr>
      <t>Ф</t>
    </r>
    <r>
      <rPr>
        <sz val="8"/>
        <rFont val="Arial"/>
        <family val="2"/>
      </rPr>
      <t xml:space="preserve"> 100x75mm, FAB. TIGRE, AMANCO</t>
    </r>
  </si>
  <si>
    <t>BUCHA DE REDUCAO FERRO GALVANIZADO Ф 1" x 3/4", FAB. TUPY</t>
  </si>
  <si>
    <t>NIPLE DUPLO SEXTAVADO FERRO GALVANIZADO Ф 2", FAB. TUPY</t>
  </si>
  <si>
    <t>LUVA UNIÃO FERRO GALVANIZADO ASSENTO PLANO Ф 2", FAB. TUPY</t>
  </si>
  <si>
    <t>LUVA PVC SOLDÁVEL, C/BUCHA DE LATÃO Ф 25x1/2", FAB.TIGRE, AMANCO</t>
  </si>
  <si>
    <t>LUVA DE UNIÃO PVC SOLDÁVEL, P/TUBO Ф 60mm, FAB.TIGRE, AMANCO</t>
  </si>
  <si>
    <t>ADAPTADOR PVC SOLDÁVEL CURTO P/REGISTRO, Ф 50x1.1/2", FAB.TIGRE, AMANCO</t>
  </si>
  <si>
    <t>ADAPTADOR PVC SOLDÁVEL CURTO P/REGISTRO, Ф 60x2", FAB.TIGRE, AMANCO</t>
  </si>
  <si>
    <r>
      <t xml:space="preserve">VÁLVULA DE FLUXO, ORIFÍCIO </t>
    </r>
    <r>
      <rPr>
        <sz val="8"/>
        <rFont val="Calibri"/>
        <family val="2"/>
      </rPr>
      <t>Ф1</t>
    </r>
    <r>
      <rPr>
        <sz val="8"/>
        <rFont val="Arial"/>
        <family val="2"/>
      </rPr>
      <t>", PALHETA INOX ATÉ 4", MOD 018.0000.45.00, FAB. CONAUT, ROWA, EICA</t>
    </r>
  </si>
  <si>
    <t>LUVA DE UNIÃO PVC SOLDÁVEL, P/TUBO Ф 32mm, FAB.TIGRE, AMANCO</t>
  </si>
  <si>
    <t>PLUG EM PVC ROSCAVÉL Ф 3/4", FAB. TIGRE, AMANCO</t>
  </si>
  <si>
    <t>TUBO PVC ESGOTO, PONTA-BOLSA e VIROLA, SÉRIE-R, NBR-5688, Ф 75mm x 3,0m, FAB. TIGRE, AMANCO</t>
  </si>
  <si>
    <t>BUCHA DE REDUÇÃO PVC SOLDÁVEL LONGA, Ф 50x32mm, FAB.TIGRE, AMANCO</t>
  </si>
  <si>
    <t>LUVA SIMPLES PVC ESGOTO SÉRIE-R Ф 75mm, FAB. TIGRE, AMANCO</t>
  </si>
  <si>
    <t>BUCHA DE REDUÇÃO PVC SOLDÁVEL LONGA, Ф 40x25mm, FAB.TIGRE, AMANCO</t>
  </si>
  <si>
    <t>NÃO ORÇADO BEBEDOURO DE LOUÇA OU METALICO</t>
  </si>
  <si>
    <t>EV</t>
  </si>
  <si>
    <r>
      <t xml:space="preserve">REGISTRO DE GAVETA BRUTO ABNT NBR-15705, CLASSE 150, ROSCA BSP </t>
    </r>
    <r>
      <rPr>
        <sz val="8"/>
        <rFont val="Calibri"/>
        <family val="2"/>
      </rPr>
      <t>Ф 3/4</t>
    </r>
    <r>
      <rPr>
        <sz val="8"/>
        <rFont val="Arial"/>
        <family val="2"/>
      </rPr>
      <t>", FAB. DOCOL, MIPEL, DECA</t>
    </r>
  </si>
  <si>
    <r>
      <t xml:space="preserve">REGISTRO DE GAVETA BRUTO ABNT NBR-15705, CLASSE 150, ROSCA BSP </t>
    </r>
    <r>
      <rPr>
        <sz val="8"/>
        <rFont val="Calibri"/>
        <family val="2"/>
      </rPr>
      <t>Ф 1</t>
    </r>
    <r>
      <rPr>
        <sz val="8"/>
        <rFont val="Arial"/>
        <family val="2"/>
      </rPr>
      <t>", FAB. DOCOL, MIPEL, DECA</t>
    </r>
  </si>
  <si>
    <r>
      <t xml:space="preserve">REGISTRO DE GAVETA BRUTO ABNT NBR-15705, CLASSE 150, ROSCA BSP </t>
    </r>
    <r>
      <rPr>
        <sz val="8"/>
        <rFont val="Calibri"/>
        <family val="2"/>
      </rPr>
      <t>Ф 2</t>
    </r>
    <r>
      <rPr>
        <sz val="8"/>
        <rFont val="Arial"/>
        <family val="2"/>
      </rPr>
      <t>", FAB. DOCOL, MIPEL, DECA</t>
    </r>
  </si>
  <si>
    <r>
      <t>JOELHO 90</t>
    </r>
    <r>
      <rPr>
        <vertAlign val="superscript"/>
        <sz val="8"/>
        <rFont val="Arial"/>
        <family val="2"/>
      </rPr>
      <t>o</t>
    </r>
    <r>
      <rPr>
        <sz val="8"/>
        <rFont val="Arial"/>
        <family val="2"/>
      </rPr>
      <t xml:space="preserve"> PVC SOLDÁVEL, P/TUBO Ф 50mm, FAB.TIGRE, AMANCO</t>
    </r>
  </si>
  <si>
    <r>
      <t>TE DE REDUÇÃO 90</t>
    </r>
    <r>
      <rPr>
        <vertAlign val="superscript"/>
        <sz val="8"/>
        <rFont val="Arial"/>
        <family val="2"/>
      </rPr>
      <t>o</t>
    </r>
    <r>
      <rPr>
        <sz val="8"/>
        <rFont val="Arial"/>
        <family val="2"/>
      </rPr>
      <t xml:space="preserve"> PVC SOLDÁVEL, Ф 40x25mm, FAB.TIGRE, AMANCO</t>
    </r>
  </si>
  <si>
    <t xml:space="preserve">TUBO PVC SOLDÁVEL, LINHA PREDIAL, NBR-5648, Ф 75mm x 6,0m, FAB. TIGRE, AMANCO </t>
  </si>
  <si>
    <r>
      <t>JOELHO 90</t>
    </r>
    <r>
      <rPr>
        <vertAlign val="superscript"/>
        <sz val="8"/>
        <rFont val="Arial"/>
        <family val="2"/>
      </rPr>
      <t>o</t>
    </r>
    <r>
      <rPr>
        <sz val="8"/>
        <rFont val="Arial"/>
        <family val="2"/>
      </rPr>
      <t xml:space="preserve"> PVC SOLDÁVEL, P/TUBO Ф 75mm, FAB.TIGRE, AMANCO</t>
    </r>
  </si>
  <si>
    <r>
      <t>TE 90</t>
    </r>
    <r>
      <rPr>
        <vertAlign val="superscript"/>
        <sz val="8"/>
        <rFont val="Arial"/>
        <family val="2"/>
      </rPr>
      <t>o</t>
    </r>
    <r>
      <rPr>
        <sz val="8"/>
        <rFont val="Arial"/>
        <family val="2"/>
      </rPr>
      <t xml:space="preserve"> PVC SOLDÁVEL, P/TUBO Ф 75mm, FAB.TIGRE, AMANCO</t>
    </r>
  </si>
  <si>
    <t>LUVA DE UNIÃO PVC SOLDÁVEL, P/TUBO Ф 75mm, FAB.TIGRE, AMANCO</t>
  </si>
  <si>
    <r>
      <t xml:space="preserve">TERMINAL DE VENTILAÇÃO PVC ESGOTO </t>
    </r>
    <r>
      <rPr>
        <sz val="8"/>
        <rFont val="Calibri"/>
        <family val="2"/>
      </rPr>
      <t>Ф</t>
    </r>
    <r>
      <rPr>
        <sz val="8"/>
        <rFont val="Arial"/>
        <family val="2"/>
      </rPr>
      <t xml:space="preserve"> 75mm, FAB. TIGRE, AMANCO</t>
    </r>
  </si>
  <si>
    <r>
      <t>JOELHO 90</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75mm, FAB. TIGRE, AMANCO</t>
    </r>
  </si>
  <si>
    <r>
      <t>JOELHO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75mm, FAB. TIGRE, AMANCO</t>
    </r>
  </si>
  <si>
    <r>
      <t>TE 90</t>
    </r>
    <r>
      <rPr>
        <vertAlign val="superscript"/>
        <sz val="8"/>
        <rFont val="Arial"/>
        <family val="2"/>
      </rPr>
      <t>o</t>
    </r>
    <r>
      <rPr>
        <sz val="8"/>
        <rFont val="Arial"/>
        <family val="2"/>
      </rPr>
      <t xml:space="preserve"> PVC ESGOTO SERIE R </t>
    </r>
    <r>
      <rPr>
        <sz val="8"/>
        <rFont val="Calibri"/>
        <family val="2"/>
      </rPr>
      <t>Ф</t>
    </r>
    <r>
      <rPr>
        <sz val="8"/>
        <rFont val="Arial"/>
        <family val="2"/>
      </rPr>
      <t xml:space="preserve"> 100mm, FAB. TIGRE, AMANCO</t>
    </r>
  </si>
  <si>
    <t>CAIXA DE PASSAGEM EM ALVENARIA 40x40cm C/TAMPA DE CONCRETO - ELÉTRICA</t>
  </si>
  <si>
    <t>EQUIPAMENTOS DE AR CONDICIONADO, VENTILAÇÃO  E EXAUSTÃO E REDE FRIGORÍGENA</t>
  </si>
  <si>
    <t>INST. ELÉTRICA / VOZ e DADOS</t>
  </si>
  <si>
    <t>ORGANIZADOR DE CABOS HORIZONTAL, ABERTO, PADRÃO RACK 19"</t>
  </si>
  <si>
    <t>CURVA 90o P/ELETRODUTO PVC RÍGIDO, ROSCA Ф 1.1/4", FAB.TIGRE, AMANCO</t>
  </si>
  <si>
    <t>LUVA P/ELETRODUTO PVC RÍGIDO, ROSCA Ф 1.1/4", FAB.TIGRE, AMANCO</t>
  </si>
  <si>
    <t xml:space="preserve">CONDULETE MÚLTIPLO EM LIGA DE ALUMÍNIO, PARAF. AÇO ZINCADO, TAMPA E JUNTA DE VEDAÇÃO, ROSCA Ф 1", FAB. WETZEL     </t>
  </si>
  <si>
    <t xml:space="preserve">CONECTOR EM ALUM.SILICIO P/CONDULETE MÚLTIPLO, PARAF. AÇO ZINCADO, ROSCA EXTERNA Ф 1", FAB. WETZEL     </t>
  </si>
  <si>
    <t>COB</t>
  </si>
  <si>
    <t>CAIXA DE INSPEÇÃO PVC 30X30CM TEL-552 COM TAMPA DE FERRO FUNDIDO ARTICULÁVEL E REFORÇADA TEL-551, FAB. TERMOTÉCNICA</t>
  </si>
  <si>
    <r>
      <t>PRESILHA DE LATÃO FURO 5,0mm, CABO 1x35mm</t>
    </r>
    <r>
      <rPr>
        <vertAlign val="superscript"/>
        <sz val="8"/>
        <rFont val="Arial"/>
        <family val="2"/>
      </rPr>
      <t>2</t>
    </r>
    <r>
      <rPr>
        <sz val="8"/>
        <rFont val="Arial"/>
        <family val="2"/>
      </rPr>
      <t xml:space="preserve"> TEL-744, FAB. TERMOTÉCNICA</t>
    </r>
  </si>
  <si>
    <r>
      <t>CONECTOR DE PRESSÃO SPLIT-BOLT ESTANHADO P/ 1x35mm</t>
    </r>
    <r>
      <rPr>
        <vertAlign val="superscript"/>
        <sz val="8"/>
        <rFont val="Arial"/>
        <family val="2"/>
      </rPr>
      <t>2</t>
    </r>
    <r>
      <rPr>
        <sz val="8"/>
        <rFont val="Arial"/>
        <family val="2"/>
      </rPr>
      <t>, TEL-5015, FAB. INTELLI, MAGNET</t>
    </r>
  </si>
  <si>
    <r>
      <t>CONECTOR MINIGAR EM LATÃO ESTANHADO, PARA VERGALHÃO ATÉ 10mm E CABO 16-50mm</t>
    </r>
    <r>
      <rPr>
        <vertAlign val="superscript"/>
        <sz val="8"/>
        <rFont val="Arial"/>
        <family val="2"/>
      </rPr>
      <t>2</t>
    </r>
    <r>
      <rPr>
        <sz val="8"/>
        <rFont val="Arial"/>
        <family val="2"/>
      </rPr>
      <t>, TEL-583, FAB. TERMOTÉCNICA</t>
    </r>
  </si>
  <si>
    <r>
      <t xml:space="preserve">AÇO DE CONSTRUÇÃO, VERGALHÃO LISO, NBR-7480/7, TIPO CA-25 </t>
    </r>
    <r>
      <rPr>
        <sz val="8"/>
        <rFont val="Calibri"/>
        <family val="2"/>
      </rPr>
      <t>Ф</t>
    </r>
    <r>
      <rPr>
        <sz val="8"/>
        <rFont val="Arial"/>
        <family val="2"/>
      </rPr>
      <t>3/8"(10mm)  DENS. 0,617kg/m, GERDAU</t>
    </r>
  </si>
  <si>
    <r>
      <t xml:space="preserve">BUCHA E ARRUELA EM LIGA DE ALUMINIO SILÍCIO </t>
    </r>
    <r>
      <rPr>
        <sz val="8"/>
        <rFont val="Calibri"/>
        <family val="2"/>
      </rPr>
      <t>Ф</t>
    </r>
    <r>
      <rPr>
        <sz val="8"/>
        <rFont val="Arial"/>
        <family val="2"/>
      </rPr>
      <t xml:space="preserve"> 1", FAB. WETZEL, TRAMONTINA</t>
    </r>
  </si>
  <si>
    <r>
      <t xml:space="preserve">BUCHA E ARRUELA EM LIGA DE ALUMINIO SILÍCIO </t>
    </r>
    <r>
      <rPr>
        <sz val="8"/>
        <rFont val="Calibri"/>
        <family val="2"/>
      </rPr>
      <t>Ф</t>
    </r>
    <r>
      <rPr>
        <sz val="8"/>
        <rFont val="Arial"/>
        <family val="2"/>
      </rPr>
      <t xml:space="preserve"> 1.1/4", FAB. WETZEL, TRAMONTINA</t>
    </r>
  </si>
  <si>
    <r>
      <t xml:space="preserve">BUCHA E ARRUELA EM LIGA DE ALUMINIO SILÍCIO </t>
    </r>
    <r>
      <rPr>
        <sz val="8"/>
        <rFont val="Calibri"/>
        <family val="2"/>
      </rPr>
      <t>Ф</t>
    </r>
    <r>
      <rPr>
        <sz val="8"/>
        <rFont val="Arial"/>
        <family val="2"/>
      </rPr>
      <t xml:space="preserve"> 1.1/2", FAB. WETZEL, TRAMONTINA</t>
    </r>
  </si>
  <si>
    <r>
      <t xml:space="preserve">BUCHA E ARRUELA EM LIGA DE ALUMINIO SILÍCIO </t>
    </r>
    <r>
      <rPr>
        <sz val="8"/>
        <rFont val="Calibri"/>
        <family val="2"/>
      </rPr>
      <t>Ф</t>
    </r>
    <r>
      <rPr>
        <sz val="8"/>
        <rFont val="Arial"/>
        <family val="2"/>
      </rPr>
      <t xml:space="preserve"> 2", FAB. WETZEL, TRAMONTINA</t>
    </r>
  </si>
  <si>
    <r>
      <t xml:space="preserve">TUBO DE AÇO CARBONO, GALVANIZADO C/C DIN-2440, BS-1387(M) ou NBR-5580(M), ROSCA BSP, </t>
    </r>
    <r>
      <rPr>
        <sz val="8"/>
        <rFont val="Calibri"/>
        <family val="2"/>
      </rPr>
      <t>Ф 2</t>
    </r>
    <r>
      <rPr>
        <sz val="8"/>
        <rFont val="Arial"/>
        <family val="2"/>
      </rPr>
      <t>" x 3,65mm x 6,0m, FAB. APOLO, TUPER, CARBINOX</t>
    </r>
  </si>
  <si>
    <r>
      <t xml:space="preserve">LUVA SIMPLES FERRO MALEÁVEL GALVANIZADO </t>
    </r>
    <r>
      <rPr>
        <sz val="8"/>
        <rFont val="Calibri"/>
        <family val="2"/>
      </rPr>
      <t>Ф</t>
    </r>
    <r>
      <rPr>
        <sz val="8"/>
        <rFont val="Arial"/>
        <family val="2"/>
      </rPr>
      <t xml:space="preserve"> 2", FAB. TUPY</t>
    </r>
  </si>
  <si>
    <t>COTOVELO 90o FERRO MALEÁVEL GALVANIZADO Ф 2", FAB. TUPY</t>
  </si>
  <si>
    <t>INST. COMBATE À INCÊNDIO (HIDRANTES)</t>
  </si>
  <si>
    <r>
      <t>EXTINTOR PORTÁTIL, GÁS CARBÔNICO, NBR-11716 CO</t>
    </r>
    <r>
      <rPr>
        <vertAlign val="subscript"/>
        <sz val="8"/>
        <rFont val="Arial"/>
        <family val="2"/>
      </rPr>
      <t>2</t>
    </r>
    <r>
      <rPr>
        <sz val="8"/>
        <rFont val="Arial"/>
        <family val="2"/>
      </rPr>
      <t xml:space="preserve">-6Kg, FAB. KIDDE, AEROTEX </t>
    </r>
  </si>
  <si>
    <t>INST. COMBATE À INCÊNDIO (SPRINKLERS)</t>
  </si>
  <si>
    <r>
      <t xml:space="preserve">TUBO DE AÇO CARBONO, GALVANIZADO C/C DIN-2440, BS-1387(M) ou NBR-5580(M), ROSCA BSP, </t>
    </r>
    <r>
      <rPr>
        <sz val="8"/>
        <rFont val="Calibri"/>
        <family val="2"/>
      </rPr>
      <t>Ф 1</t>
    </r>
    <r>
      <rPr>
        <sz val="8"/>
        <rFont val="Arial"/>
        <family val="2"/>
      </rPr>
      <t>" x 3,25mm x 6,0m, FAB. APOLO, TUPER, CARBINOX</t>
    </r>
  </si>
  <si>
    <r>
      <t xml:space="preserve">TUBO DE AÇO CARBONO, GALVANIZADO C/C DIN-2440, BS-1387(M) ou NBR-5580(M), ROSCA BSP, </t>
    </r>
    <r>
      <rPr>
        <sz val="8"/>
        <rFont val="Calibri"/>
        <family val="2"/>
      </rPr>
      <t>Ф 1.1/4</t>
    </r>
    <r>
      <rPr>
        <sz val="8"/>
        <rFont val="Arial"/>
        <family val="2"/>
      </rPr>
      <t>" x 3,25mm x 6,0m, FAB. APOLO, TUPER, CARBINOX</t>
    </r>
  </si>
  <si>
    <r>
      <t xml:space="preserve">TUBO DE AÇO CARBONO, GALVANIZADO C/C DIN-2440, BS-1387(M) ou NBR-5580(M), ROSCA BSP, </t>
    </r>
    <r>
      <rPr>
        <sz val="8"/>
        <rFont val="Calibri"/>
        <family val="2"/>
      </rPr>
      <t>Ф 1.1/2</t>
    </r>
    <r>
      <rPr>
        <sz val="8"/>
        <rFont val="Arial"/>
        <family val="2"/>
      </rPr>
      <t>" x 3,25mm x 6,0m, FAB. APOLO, TUPER, CARBINOX</t>
    </r>
  </si>
  <si>
    <r>
      <t xml:space="preserve">TUBO DE AÇO CARBONO, GALVANIZADO C/C DIN-2440, BS-1387(M) ou NBR-5580(M), ROSCA BSP, </t>
    </r>
    <r>
      <rPr>
        <sz val="8"/>
        <rFont val="Calibri"/>
        <family val="2"/>
      </rPr>
      <t>Ф 3</t>
    </r>
    <r>
      <rPr>
        <sz val="8"/>
        <rFont val="Arial"/>
        <family val="2"/>
      </rPr>
      <t>" x 4,05mm x 6,0m, FAB. APOLO, TUPER, CARBINOX</t>
    </r>
  </si>
  <si>
    <r>
      <t xml:space="preserve">TUBO DE AÇO CARBONO, GALVANIZADO C/C DIN-2440, BS-1387(M) ou NBR-5580(M), ROSCA BSP, </t>
    </r>
    <r>
      <rPr>
        <sz val="8"/>
        <rFont val="Calibri"/>
        <family val="2"/>
      </rPr>
      <t>Ф 4</t>
    </r>
    <r>
      <rPr>
        <sz val="8"/>
        <rFont val="Arial"/>
        <family val="2"/>
      </rPr>
      <t>" x 4,50mm x 6,0m, FAB. APOLO, TUPER, CARBINOX</t>
    </r>
  </si>
  <si>
    <r>
      <t xml:space="preserve">LUVA SIMPLES FERRO MALEÁVEL GALVANIZADO </t>
    </r>
    <r>
      <rPr>
        <sz val="8"/>
        <rFont val="Calibri"/>
        <family val="2"/>
      </rPr>
      <t>Ф</t>
    </r>
    <r>
      <rPr>
        <sz val="8"/>
        <rFont val="Arial"/>
        <family val="2"/>
      </rPr>
      <t xml:space="preserve"> 1", FAB. TUPY</t>
    </r>
  </si>
  <si>
    <r>
      <t xml:space="preserve">LUVA SIMPLES FERRO MALEÁVEL GALVANIZADO </t>
    </r>
    <r>
      <rPr>
        <sz val="8"/>
        <rFont val="Calibri"/>
        <family val="2"/>
      </rPr>
      <t>Ф</t>
    </r>
    <r>
      <rPr>
        <sz val="8"/>
        <rFont val="Arial"/>
        <family val="2"/>
      </rPr>
      <t xml:space="preserve"> 1.1/4", FAB. TUPY</t>
    </r>
  </si>
  <si>
    <r>
      <t xml:space="preserve">LUVA SIMPLES FERRO MALEÁVEL GALVANIZADO </t>
    </r>
    <r>
      <rPr>
        <sz val="8"/>
        <rFont val="Calibri"/>
        <family val="2"/>
      </rPr>
      <t>Ф</t>
    </r>
    <r>
      <rPr>
        <sz val="8"/>
        <rFont val="Arial"/>
        <family val="2"/>
      </rPr>
      <t xml:space="preserve"> 1.1/2", FAB. TUPY</t>
    </r>
  </si>
  <si>
    <r>
      <t xml:space="preserve">LUVA SIMPLES FERRO MALEÁVEL GALVANIZADO </t>
    </r>
    <r>
      <rPr>
        <sz val="8"/>
        <rFont val="Calibri"/>
        <family val="2"/>
      </rPr>
      <t>Ф</t>
    </r>
    <r>
      <rPr>
        <sz val="8"/>
        <rFont val="Arial"/>
        <family val="2"/>
      </rPr>
      <t xml:space="preserve"> 3", FAB. TUPY</t>
    </r>
  </si>
  <si>
    <r>
      <t xml:space="preserve">LUVA SIMPLES FERRO MALEÁVEL GALVANIZADO </t>
    </r>
    <r>
      <rPr>
        <sz val="8"/>
        <rFont val="Calibri"/>
        <family val="2"/>
      </rPr>
      <t>Ф</t>
    </r>
    <r>
      <rPr>
        <sz val="8"/>
        <rFont val="Arial"/>
        <family val="2"/>
      </rPr>
      <t xml:space="preserve"> 4", FAB. TUPY</t>
    </r>
  </si>
  <si>
    <r>
      <t xml:space="preserve">LUVA DE REDUCAO GALVANIZADA </t>
    </r>
    <r>
      <rPr>
        <sz val="8"/>
        <rFont val="Calibri"/>
        <family val="2"/>
      </rPr>
      <t>Ф</t>
    </r>
    <r>
      <rPr>
        <sz val="8"/>
        <rFont val="Arial"/>
        <family val="2"/>
      </rPr>
      <t xml:space="preserve"> 1" X 1/2", FAB. TUPY</t>
    </r>
  </si>
  <si>
    <t>BUJÃO EM FERRO GALVANIZADO Ф 1/2", FAB. TUPY</t>
  </si>
  <si>
    <t>COTOVELO 90o FERRO MALEÁVEL GALVANIZADO Ф 1", FAB. TUPY</t>
  </si>
  <si>
    <t>COTOVELO 90o FERRO MALEÁVEL GALVANIZADO Ф 1.1/4", FAB. TUPY</t>
  </si>
  <si>
    <t>COTOVELO 90o FERRO MALEÁVEL GALVANIZADO Ф 3", FAB. TUPY</t>
  </si>
  <si>
    <t>COTOVELO 90o FERRO MALEÁVEL GALVANIZADO Ф 4", FAB. TUPY</t>
  </si>
  <si>
    <t>TE 90o FERRO MALEÁVEL GALVANIZADO Ф 1", FAB. TUPY</t>
  </si>
  <si>
    <t>TE 90o FERRO MALEÁVEL GALVANIZADO Ф 2", FAB. TUPY</t>
  </si>
  <si>
    <t>TE 90o FERRO MALEÁVEL GALVANIZADO Ф 3", FAB. TUPY</t>
  </si>
  <si>
    <t>TE 90o FERRO MALEÁVEL GALVANIZADO Ф 4", FAB. TUPY</t>
  </si>
  <si>
    <r>
      <t>TE 90</t>
    </r>
    <r>
      <rPr>
        <vertAlign val="superscript"/>
        <sz val="8"/>
        <rFont val="Arial"/>
        <family val="2"/>
      </rPr>
      <t>o</t>
    </r>
    <r>
      <rPr>
        <sz val="8"/>
        <rFont val="Arial"/>
        <family val="2"/>
      </rPr>
      <t xml:space="preserve"> GALVANIZADO REDUÇÃO Ф 1.1/4" x 1", FAB. TUPY</t>
    </r>
  </si>
  <si>
    <r>
      <t>TE 90</t>
    </r>
    <r>
      <rPr>
        <vertAlign val="superscript"/>
        <sz val="8"/>
        <rFont val="Arial"/>
        <family val="2"/>
      </rPr>
      <t>o</t>
    </r>
    <r>
      <rPr>
        <sz val="8"/>
        <rFont val="Arial"/>
        <family val="2"/>
      </rPr>
      <t xml:space="preserve"> GALVANIZADO REDUÇÃO Ф 1.1/2" x 1.1/4", FAB. TUPY</t>
    </r>
  </si>
  <si>
    <r>
      <t>TE 90</t>
    </r>
    <r>
      <rPr>
        <vertAlign val="superscript"/>
        <sz val="8"/>
        <rFont val="Arial"/>
        <family val="2"/>
      </rPr>
      <t>o</t>
    </r>
    <r>
      <rPr>
        <sz val="8"/>
        <rFont val="Arial"/>
        <family val="2"/>
      </rPr>
      <t xml:space="preserve"> GALVANIZADO REDUÇÃO Ф 1.1/2" x 1", FAB. TUPY</t>
    </r>
  </si>
  <si>
    <r>
      <t>TE 90</t>
    </r>
    <r>
      <rPr>
        <vertAlign val="superscript"/>
        <sz val="8"/>
        <rFont val="Arial"/>
        <family val="2"/>
      </rPr>
      <t>o</t>
    </r>
    <r>
      <rPr>
        <sz val="8"/>
        <rFont val="Arial"/>
        <family val="2"/>
      </rPr>
      <t xml:space="preserve"> GALVANIZADO REDUÇÃO Ф 2" x 1.1/2", FAB. TUPY</t>
    </r>
  </si>
  <si>
    <r>
      <t>TE 90</t>
    </r>
    <r>
      <rPr>
        <vertAlign val="superscript"/>
        <sz val="8"/>
        <rFont val="Arial"/>
        <family val="2"/>
      </rPr>
      <t>o</t>
    </r>
    <r>
      <rPr>
        <sz val="8"/>
        <rFont val="Arial"/>
        <family val="2"/>
      </rPr>
      <t xml:space="preserve"> GALVANIZADO REDUÇÃO Ф 2" x 1.1/4", FAB. TUPY</t>
    </r>
  </si>
  <si>
    <r>
      <t>TE 90</t>
    </r>
    <r>
      <rPr>
        <vertAlign val="superscript"/>
        <sz val="8"/>
        <rFont val="Arial"/>
        <family val="2"/>
      </rPr>
      <t>o</t>
    </r>
    <r>
      <rPr>
        <sz val="8"/>
        <rFont val="Arial"/>
        <family val="2"/>
      </rPr>
      <t xml:space="preserve"> GALVANIZADO REDUÇÃO Ф 2" x 1", FAB. TUPY</t>
    </r>
  </si>
  <si>
    <r>
      <t>TE 90</t>
    </r>
    <r>
      <rPr>
        <vertAlign val="superscript"/>
        <sz val="8"/>
        <rFont val="Arial"/>
        <family val="2"/>
      </rPr>
      <t>o</t>
    </r>
    <r>
      <rPr>
        <sz val="8"/>
        <rFont val="Arial"/>
        <family val="2"/>
      </rPr>
      <t xml:space="preserve"> GALVANIZADO REDUÇÃO Ф 2.1/2" x 1.1/4", FAB. TUPY</t>
    </r>
  </si>
  <si>
    <r>
      <t>TE 90</t>
    </r>
    <r>
      <rPr>
        <vertAlign val="superscript"/>
        <sz val="8"/>
        <rFont val="Arial"/>
        <family val="2"/>
      </rPr>
      <t>o</t>
    </r>
    <r>
      <rPr>
        <sz val="8"/>
        <rFont val="Arial"/>
        <family val="2"/>
      </rPr>
      <t xml:space="preserve"> GALVANIZADO REDUÇÃO Ф 3" x 2.1/2", FAB. TUPY</t>
    </r>
  </si>
  <si>
    <r>
      <t>TE 90</t>
    </r>
    <r>
      <rPr>
        <vertAlign val="superscript"/>
        <sz val="8"/>
        <rFont val="Arial"/>
        <family val="2"/>
      </rPr>
      <t>o</t>
    </r>
    <r>
      <rPr>
        <sz val="8"/>
        <rFont val="Arial"/>
        <family val="2"/>
      </rPr>
      <t xml:space="preserve"> GALVANIZADO REDUÇÃO Ф 4" x 3", FAB. TUPY</t>
    </r>
  </si>
  <si>
    <t>BUCHA DE REDUCAO FERRO GALVANIZADO Ф 1.1/4 x 1"</t>
  </si>
  <si>
    <t>BUCHA DE REDUCAO FERRO GALVANIZADO Ф 1.1/2 x 1.1/4", FAB. TUPY</t>
  </si>
  <si>
    <t>BUCHA DE REDUCAO FERRO GALVANIZADO Ф 1.1/2 x 1", FAB. TUPY</t>
  </si>
  <si>
    <t>BUCHA DE REDUCAO FERRO GALVANIZADO Ф 2 x 1.1/2", FAB. TUPY</t>
  </si>
  <si>
    <t>BUCHA DE REDUCAO FERRO GALVANIZADO Ф 2 x 1.1/4", FAB. TUPY</t>
  </si>
  <si>
    <t>BUCHA DE REDUCAO FERRO GALVANIZADO Ф 2 x 1", FAB. TUPY</t>
  </si>
  <si>
    <t>BUCHA DE REDUCAO FERRO GALVANIZADO Ф 2.1/2 x 1.1/4", FAB. TUPY</t>
  </si>
  <si>
    <t>BUCHA DE REDUCAO FERRO GALVANIZADO Ф 2.1/2 x 1", FAB. TUPY</t>
  </si>
  <si>
    <t>BUCHA DE REDUCAO FERRO GALVANIZADO Ф 3 x 2.1/2", FAB. TUPY</t>
  </si>
  <si>
    <t>BUCHA DE REDUCAO FERRO GALVANIZADO Ф 3 x 2", FAB. TUPY</t>
  </si>
  <si>
    <t>BUCHA DE REDUCAO FERRO GALVANIZADO Ф 4 x 3", FAB. TUPY</t>
  </si>
  <si>
    <t>BUCHA DE REDUCAO FERRO GALVANIZADO Ф 4 x 2.1/2", FAB. TUPY</t>
  </si>
  <si>
    <t>BUCHA DE REDUCAO FERRO GALVANIZADO Ф 4 x 2", FAB. TUPY</t>
  </si>
  <si>
    <t>NIPLE DUPLO SEXTAVADO FERRO GALVANIZADO Ф 1", FAB. TUPY</t>
  </si>
  <si>
    <t>NIPLE DUPLO SEXTAVADO FERRO GALVANIZADO Ф 3", FAB. TUPY</t>
  </si>
  <si>
    <t>NIPLE DUPLO SEXTAVADO FERRO GALVANIZADO Ф 4", FAB. TUPY</t>
  </si>
  <si>
    <t>LUVA UNIÃO FERRO GALVANIZADO ASSENTO PLANO Ф 1", FAB. TUPY</t>
  </si>
  <si>
    <t>LUVA UNIÃO FERRO GALVANIZADO ASSENTO PLANO Ф 3", FAB. TUPY</t>
  </si>
  <si>
    <t>LUVA UNIÃO FERRO GALVANIZADO ASSENTO PLANO Ф 4", FAB. TUPY</t>
  </si>
  <si>
    <r>
      <t xml:space="preserve">REGISTRO DE GAVETA BRUTO INDUSTRIAL NBR-15705, CLASSE 150, ROSCA BSP </t>
    </r>
    <r>
      <rPr>
        <sz val="8"/>
        <rFont val="Calibri"/>
        <family val="2"/>
      </rPr>
      <t>Ф 3</t>
    </r>
    <r>
      <rPr>
        <sz val="8"/>
        <rFont val="Arial"/>
        <family val="2"/>
      </rPr>
      <t>", FAB. DOCOL, MIPEL, DECA</t>
    </r>
  </si>
  <si>
    <r>
      <t xml:space="preserve">REGISTRO DE GAVETA BRUTO INDUSTRIAL NBR-15705, CLASSE 150, ROSCA BSP </t>
    </r>
    <r>
      <rPr>
        <sz val="8"/>
        <rFont val="Calibri"/>
        <family val="2"/>
      </rPr>
      <t>Ф 4</t>
    </r>
    <r>
      <rPr>
        <sz val="8"/>
        <rFont val="Arial"/>
        <family val="2"/>
      </rPr>
      <t>", FAB. DOCOL, MIPEL, DECA</t>
    </r>
  </si>
  <si>
    <t>COTOVELO 90o FERRO MALEÁVEL GALVANIZADO Ф 1.1/2", FAB. TUPY</t>
  </si>
  <si>
    <t>BUCHA DE REDUCAO FERRO GALVANIZADO Ф 2.1/2 x 1.1/2", FAB. TUPY</t>
  </si>
  <si>
    <r>
      <t xml:space="preserve">LUVA P/ELETRODUTO EM AÇO-CARBONO (GE), ROSCA </t>
    </r>
    <r>
      <rPr>
        <sz val="8"/>
        <rFont val="Calibri"/>
        <family val="2"/>
      </rPr>
      <t>Ф</t>
    </r>
    <r>
      <rPr>
        <sz val="8"/>
        <rFont val="Arial"/>
        <family val="2"/>
      </rPr>
      <t xml:space="preserve"> 3/4", FAB.ELECON, CARBINOX</t>
    </r>
  </si>
  <si>
    <t>INSTALAÇÕES ELÉTRICAS</t>
  </si>
  <si>
    <t>PÁRA-RAIOS DE DISTRIBUIÇÃO POLIMÉRICO MOD. NLZ-P 12kV - 10kA, FAB. DELMAR, BALESTRO</t>
  </si>
  <si>
    <t>ALÇA PREFORMADA DE DISTRIBUIÇÃO P/CABO DE COBRE, FAB. ELETROSUL</t>
  </si>
  <si>
    <t>CURVA 90o P/ELETRODUTO PVC RÍGIDO, ROSCA Ф 4", FAB.TIGRE, AMANCO</t>
  </si>
  <si>
    <t>LUVA P/ELETRODUTO PVC RÍGIDO, ROSCA Ф 4", FAB.TIGRE, AMANCO</t>
  </si>
  <si>
    <t>LUVA P/ELETRODUTO EM AÇO-CARBONO (GE), ROSCA Ф 4", FAB.ELECON, CARBINOX</t>
  </si>
  <si>
    <r>
      <t>CURVA 90</t>
    </r>
    <r>
      <rPr>
        <vertAlign val="superscript"/>
        <sz val="8"/>
        <rFont val="Arial"/>
        <family val="2"/>
      </rPr>
      <t>o</t>
    </r>
    <r>
      <rPr>
        <sz val="8"/>
        <rFont val="Arial"/>
        <family val="2"/>
      </rPr>
      <t xml:space="preserve"> P/ELETRODUTO EM AÇO-CARBONO (GE), ROSCA Ф 4", FAB.ELECON, CARBINOX</t>
    </r>
  </si>
  <si>
    <t xml:space="preserve">POSTE DE CONCRETO ARMADO, SEÇÃO DUPLO "T" 300daN/12m, FAB. ARTEC                                                                                                                                                                                                                                                                   </t>
  </si>
  <si>
    <t>CRUZETA DE CONCRETO TIPO BECO C=1,70m, FAB. ARTEC</t>
  </si>
  <si>
    <t>QUADRO-MOLDURA COM DIAGRAMA UNIFILAR DA SUBESTAÇÃO</t>
  </si>
  <si>
    <r>
      <t>CABO PP FLEX ISOL. 450/750V / PVC 70</t>
    </r>
    <r>
      <rPr>
        <vertAlign val="superscript"/>
        <sz val="8"/>
        <rFont val="Arial"/>
        <family val="2"/>
      </rPr>
      <t>o</t>
    </r>
    <r>
      <rPr>
        <sz val="8"/>
        <rFont val="Arial"/>
        <family val="2"/>
      </rPr>
      <t>C, CL.5, NBR-NM247-5, 3x2,5mm</t>
    </r>
    <r>
      <rPr>
        <vertAlign val="superscript"/>
        <sz val="8"/>
        <rFont val="Arial"/>
        <family val="2"/>
      </rPr>
      <t xml:space="preserve">2 </t>
    </r>
    <r>
      <rPr>
        <sz val="8"/>
        <rFont val="Arial"/>
        <family val="2"/>
      </rPr>
      <t>FAB. PRYSMIAN, NEXANS</t>
    </r>
  </si>
  <si>
    <t>ANILHAS / MARCADORES, FAB. HELLERMANN, PIAL</t>
  </si>
  <si>
    <t>ABRAÇADEIRA DE NYLON INCOLOR 180x3,4mm, FAB. HELLERMANN, PIAL</t>
  </si>
  <si>
    <r>
      <t>TERMINAL DE COMPRESSÃO PRÉ-ISOLADO P/ 2,5-4mm</t>
    </r>
    <r>
      <rPr>
        <vertAlign val="superscript"/>
        <sz val="8"/>
        <rFont val="Arial"/>
        <family val="2"/>
      </rPr>
      <t>2</t>
    </r>
    <r>
      <rPr>
        <sz val="8"/>
        <rFont val="Arial"/>
        <family val="2"/>
      </rPr>
      <t>, FAB. INTELLI, MAGNET</t>
    </r>
  </si>
  <si>
    <r>
      <t>TERMINAL DE COMPRESSÃO PRÉ-ISOLADO P/ 6mm</t>
    </r>
    <r>
      <rPr>
        <vertAlign val="superscript"/>
        <sz val="8"/>
        <rFont val="Arial"/>
        <family val="2"/>
      </rPr>
      <t>2</t>
    </r>
    <r>
      <rPr>
        <sz val="8"/>
        <rFont val="Arial"/>
        <family val="2"/>
      </rPr>
      <t>, FAB. INTELLI, MAGNET</t>
    </r>
  </si>
  <si>
    <r>
      <t>TERMINAL DE COMPRESSÃO PRÉ-ISOLADO P/ 10mm</t>
    </r>
    <r>
      <rPr>
        <vertAlign val="superscript"/>
        <sz val="8"/>
        <rFont val="Arial"/>
        <family val="2"/>
      </rPr>
      <t>2</t>
    </r>
    <r>
      <rPr>
        <sz val="8"/>
        <rFont val="Arial"/>
        <family val="2"/>
      </rPr>
      <t>, FAB. INTELLI, MAGNET</t>
    </r>
  </si>
  <si>
    <r>
      <t>TERMINAL DE COMPRESSÃO PRÉ-ISOLADO P/ 16mm</t>
    </r>
    <r>
      <rPr>
        <vertAlign val="superscript"/>
        <sz val="8"/>
        <rFont val="Arial"/>
        <family val="2"/>
      </rPr>
      <t>2</t>
    </r>
    <r>
      <rPr>
        <sz val="8"/>
        <rFont val="Arial"/>
        <family val="2"/>
      </rPr>
      <t>, FAB. INTELLI, MAGNET</t>
    </r>
  </si>
  <si>
    <r>
      <t>TERMINAL DE COMPRESSÃO PRÉ-ISOLADO P/ 25mm</t>
    </r>
    <r>
      <rPr>
        <vertAlign val="superscript"/>
        <sz val="8"/>
        <rFont val="Arial"/>
        <family val="2"/>
      </rPr>
      <t>2</t>
    </r>
    <r>
      <rPr>
        <sz val="8"/>
        <rFont val="Arial"/>
        <family val="2"/>
      </rPr>
      <t>, FAB. INTELLI, MAGNET</t>
    </r>
  </si>
  <si>
    <r>
      <t>TERMINAL DE COMPRESSÃO ESTANHADO 01 FURO P/ 35mm</t>
    </r>
    <r>
      <rPr>
        <vertAlign val="superscript"/>
        <sz val="8"/>
        <rFont val="Arial"/>
        <family val="2"/>
      </rPr>
      <t>2</t>
    </r>
    <r>
      <rPr>
        <sz val="8"/>
        <rFont val="Arial"/>
        <family val="2"/>
      </rPr>
      <t>, FAB. INTELLI, MAGNET</t>
    </r>
  </si>
  <si>
    <r>
      <t>TERMINAL DE COMPRESSÃO ESTANHADO 01 FURO P/ 50mm</t>
    </r>
    <r>
      <rPr>
        <vertAlign val="superscript"/>
        <sz val="8"/>
        <rFont val="Arial"/>
        <family val="2"/>
      </rPr>
      <t>2</t>
    </r>
    <r>
      <rPr>
        <sz val="8"/>
        <rFont val="Arial"/>
        <family val="2"/>
      </rPr>
      <t>, FAB. INTELLI, MAGNET</t>
    </r>
  </si>
  <si>
    <r>
      <t>TERMINAL DE COMPRESSÃO ESTANHADO 01 FURO P/ 70mm</t>
    </r>
    <r>
      <rPr>
        <vertAlign val="superscript"/>
        <sz val="8"/>
        <rFont val="Arial"/>
        <family val="2"/>
      </rPr>
      <t>2</t>
    </r>
    <r>
      <rPr>
        <sz val="8"/>
        <rFont val="Arial"/>
        <family val="2"/>
      </rPr>
      <t>, FAB. INTELLI, MAGNET</t>
    </r>
  </si>
  <si>
    <r>
      <t>TERMINAL DE COMPRESSÃO ESTANHADO 02 FURO P/ 120mm</t>
    </r>
    <r>
      <rPr>
        <vertAlign val="superscript"/>
        <sz val="8"/>
        <rFont val="Arial"/>
        <family val="2"/>
      </rPr>
      <t>2</t>
    </r>
    <r>
      <rPr>
        <sz val="8"/>
        <rFont val="Arial"/>
        <family val="2"/>
      </rPr>
      <t>, FAB. INTELLI, MAGNET</t>
    </r>
  </si>
  <si>
    <r>
      <t>TERMINAL DE COMPRESSÃO ESTANHADO 02 FURO P/ 150mm</t>
    </r>
    <r>
      <rPr>
        <vertAlign val="superscript"/>
        <sz val="8"/>
        <rFont val="Arial"/>
        <family val="2"/>
      </rPr>
      <t>2</t>
    </r>
    <r>
      <rPr>
        <sz val="8"/>
        <rFont val="Arial"/>
        <family val="2"/>
      </rPr>
      <t>, FAB. INTELLI, MAGNET</t>
    </r>
  </si>
  <si>
    <t xml:space="preserve">INTERRUPTOR COM 01 TECLA SIMPLES 10A/250V EM PLACA 4" x 2" C/SUPORTE, FAB. PIAL LEGRAND, SIEMENS, PRIME </t>
  </si>
  <si>
    <t xml:space="preserve">INTERRUPTOR COM 02 TECLA SIMPLES 10A/250V EM PLACA 4" x 2" C/SUPORTE, FAB. PIAL LEGRAND, SIEMENS, PRIME </t>
  </si>
  <si>
    <t xml:space="preserve">INTERRUPTOR COM 03 TECLA SIMPLES 10A/250V EM PLACA 4" x 2" C/SUPORTE, FAB. PIAL LEGRAND, SIEMENS, PRIME </t>
  </si>
  <si>
    <t xml:space="preserve">INTERRUPTOR PARALELO COM 01 TECLA SIMPLES 10A/250V EM PLACA 4" x 2" C/SUPORTE, FAB. PIAL, SIEMENS, PRIME </t>
  </si>
  <si>
    <t>TOMADA SIMPLES 2P+T 10A/250V NBR-14136 EM CONDULETE DE ALUMINIO 3/4", FAB. PIAL / WETZEL</t>
  </si>
  <si>
    <t>PLACA CEGA 4" x 4" C/SUPORTE, PIAL PLUS, SIEMENS, PRIME - AR COND.</t>
  </si>
  <si>
    <t>CURVA 90o P/ELETRODUTO PVC RÍGIDO, ROSCA Ф 3", FAB.TIGRE, AMANCO</t>
  </si>
  <si>
    <t>LUVA P/ELETRODUTO PVC RÍGIDO, ROSCA Ф 3", FAB.TIGRE, AMANCO</t>
  </si>
  <si>
    <r>
      <t xml:space="preserve">BUCHA E ARRUELA EM LIGA DE ALUMINIO SILÍCIO </t>
    </r>
    <r>
      <rPr>
        <sz val="8"/>
        <rFont val="Calibri"/>
        <family val="2"/>
      </rPr>
      <t>Ф</t>
    </r>
    <r>
      <rPr>
        <sz val="8"/>
        <rFont val="Arial"/>
        <family val="2"/>
      </rPr>
      <t xml:space="preserve"> 3", FAB. WETZEL, TRAMONTINA</t>
    </r>
  </si>
  <si>
    <r>
      <t xml:space="preserve">BUCHA E ARRUELA EM LIGA DE ALUMINIO SILÍCIO </t>
    </r>
    <r>
      <rPr>
        <sz val="8"/>
        <rFont val="Calibri"/>
        <family val="2"/>
      </rPr>
      <t>Ф</t>
    </r>
    <r>
      <rPr>
        <sz val="8"/>
        <rFont val="Arial"/>
        <family val="2"/>
      </rPr>
      <t xml:space="preserve"> 4", FAB. WETZEL, TRAMONTINA</t>
    </r>
  </si>
  <si>
    <t xml:space="preserve">CONDULETE EM LIGA DE ALUMÍNIO, PARAF. AÇO ZINCADO, JUNTA DE VEDAÇÃO, TIPO "L", ROSCA Ф 1.1/4", FAB. WETZEL </t>
  </si>
  <si>
    <t xml:space="preserve">CONDULETE EM LIGA DE ALUMÍNIO, PARAF. AÇO ZINCADO, JUNTA DE VEDAÇÃO, TIPO "L", ROSCA Ф 2" , FAB. WETZEL </t>
  </si>
  <si>
    <t xml:space="preserve">CONDULETE EM LIGA DE ALUMÍNIO, PARAF. AÇO ZINCADO, JUNTA DE VEDAÇÃO, TIPO "L", ROSCA Ф 3" , FAB. WETZEL </t>
  </si>
  <si>
    <t xml:space="preserve">CONDULETE EM LIGA DE ALUMÍNIO, PARAF. AÇO ZINCADO, JUNTA DE VEDAÇÃO, TIPO "L", ROSCA Ф 4" , FAB. WETZEL </t>
  </si>
  <si>
    <t>13.1</t>
  </si>
  <si>
    <t>FIO DE ALGODAO CRU - BAHIA 50m</t>
  </si>
  <si>
    <r>
      <t xml:space="preserve">TOMADA SIMPLES 2P+T 10A/250V NBR-14136 EM PLACA 4" x 2" C/SUPORTE, FAB. PIAL, SIEMENS, PRIME - </t>
    </r>
    <r>
      <rPr>
        <sz val="8"/>
        <color indexed="10"/>
        <rFont val="Arial"/>
        <family val="2"/>
      </rPr>
      <t>TUG</t>
    </r>
  </si>
  <si>
    <r>
      <t xml:space="preserve">CANOPLA CROMADA P/SPRINKLER PENDENTE, FURO </t>
    </r>
    <r>
      <rPr>
        <sz val="8"/>
        <rFont val="Calibri"/>
        <family val="2"/>
      </rPr>
      <t>Ф</t>
    </r>
    <r>
      <rPr>
        <sz val="8"/>
        <rFont val="Arial"/>
        <family val="2"/>
      </rPr>
      <t xml:space="preserve"> 1/2", FAB. SKOP, KIDDE</t>
    </r>
  </si>
  <si>
    <t>QUADRO METÁLICO P/ TV, SOBREPOR CH.#20, C/PORTA, TRINCO E FUNDO DE MADEIRA, DIM. 600X400X120mm, FAB. INELSA, AÇOBRAS</t>
  </si>
  <si>
    <t xml:space="preserve">TUBO PVC SOLDÁVEL, LINHA PREDIAL, NBR-5648, Ф 110mm x 6,0m, FAB. TIGRE, AMANCO </t>
  </si>
  <si>
    <t>BUCHA DE REDUÇÃO PVC SOLDÁVEL CURTA, Ф 75x60mm, FAB.TIGRE, AMANCO</t>
  </si>
  <si>
    <t>BUCHA DE REDUÇÃO PVC SOLDÁVEL CURTA, Ф 75x50mm, FAB.TIGRE, AMANCO</t>
  </si>
  <si>
    <r>
      <t>JOELHO 90</t>
    </r>
    <r>
      <rPr>
        <vertAlign val="superscript"/>
        <sz val="8"/>
        <rFont val="Arial"/>
        <family val="2"/>
      </rPr>
      <t>o</t>
    </r>
    <r>
      <rPr>
        <sz val="8"/>
        <rFont val="Arial"/>
        <family val="2"/>
      </rPr>
      <t xml:space="preserve"> PVC SOLDÁVEL, P/TUBO Ф 110mm, FAB.TIGRE, AMANCO</t>
    </r>
  </si>
  <si>
    <r>
      <t>TE 90</t>
    </r>
    <r>
      <rPr>
        <vertAlign val="superscript"/>
        <sz val="8"/>
        <rFont val="Arial"/>
        <family val="2"/>
      </rPr>
      <t>o</t>
    </r>
    <r>
      <rPr>
        <sz val="8"/>
        <rFont val="Arial"/>
        <family val="2"/>
      </rPr>
      <t xml:space="preserve"> PVC SOLDÁVEL, P/TUBO Ф 110mm, FAB.TIGRE, AMANCO</t>
    </r>
  </si>
  <si>
    <r>
      <t>TE DE REDUÇÃO 90</t>
    </r>
    <r>
      <rPr>
        <vertAlign val="superscript"/>
        <sz val="8"/>
        <rFont val="Arial"/>
        <family val="2"/>
      </rPr>
      <t>o</t>
    </r>
    <r>
      <rPr>
        <sz val="8"/>
        <rFont val="Arial"/>
        <family val="2"/>
      </rPr>
      <t xml:space="preserve"> PVC SOLDÁVEL, Ф 60x50mm, FAB.TIGRE, AMANCO</t>
    </r>
  </si>
  <si>
    <r>
      <t>TE DE REDUÇÃO 90</t>
    </r>
    <r>
      <rPr>
        <vertAlign val="superscript"/>
        <sz val="8"/>
        <rFont val="Arial"/>
        <family val="2"/>
      </rPr>
      <t>o</t>
    </r>
    <r>
      <rPr>
        <sz val="8"/>
        <rFont val="Arial"/>
        <family val="2"/>
      </rPr>
      <t xml:space="preserve"> PVC SOLDÁVEL, Ф 75x50mm, FAB.TIGRE, AMANCO</t>
    </r>
  </si>
  <si>
    <r>
      <t>TE DE REDUÇÃO 90</t>
    </r>
    <r>
      <rPr>
        <vertAlign val="superscript"/>
        <sz val="8"/>
        <rFont val="Arial"/>
        <family val="2"/>
      </rPr>
      <t>o</t>
    </r>
    <r>
      <rPr>
        <sz val="8"/>
        <rFont val="Arial"/>
        <family val="2"/>
      </rPr>
      <t xml:space="preserve"> PVC SOLDÁVEL, Ф 110x75mm, FAB.TIGRE, AMANCO</t>
    </r>
  </si>
  <si>
    <t>LUVA DE UNIÃO PVC SOLDÁVEL, P/TUBO Ф 110mm, FAB.TIGRE, AMANCO</t>
  </si>
  <si>
    <t>LUVA SIMPLES PVC SOLDÁVEL, P/TUBO Ф 75mm, FAB.TIGRE, AMANCO</t>
  </si>
  <si>
    <t>LUVA SIMPLES PVC SOLDÁVEL, P/TUBO Ф 110mm, FAB.TIGRE, AMANCO</t>
  </si>
  <si>
    <t>TORNEIRA DE BOIA MECÂNICA Ф 2" MOD. 1350, FAB. DECA, MIPEL, DOCOL</t>
  </si>
  <si>
    <r>
      <t xml:space="preserve">CAP PVC ESGOTO </t>
    </r>
    <r>
      <rPr>
        <sz val="8"/>
        <rFont val="Calibri"/>
        <family val="2"/>
      </rPr>
      <t>Ф</t>
    </r>
    <r>
      <rPr>
        <sz val="8"/>
        <rFont val="Arial"/>
        <family val="2"/>
      </rPr>
      <t xml:space="preserve"> 50mm, FAB. TIGRE, AMANCO</t>
    </r>
  </si>
  <si>
    <r>
      <t xml:space="preserve">CAP PVC ESGOTO </t>
    </r>
    <r>
      <rPr>
        <sz val="8"/>
        <rFont val="Calibri"/>
        <family val="2"/>
      </rPr>
      <t>Ф</t>
    </r>
    <r>
      <rPr>
        <sz val="8"/>
        <rFont val="Arial"/>
        <family val="2"/>
      </rPr>
      <t xml:space="preserve"> 75mm, FAB. TIGRE, AMANCO</t>
    </r>
  </si>
  <si>
    <r>
      <t xml:space="preserve">REDUÇÃO EXCÊNTRICA PVC ESGOTO </t>
    </r>
    <r>
      <rPr>
        <sz val="8"/>
        <rFont val="Calibri"/>
        <family val="2"/>
      </rPr>
      <t>Ф</t>
    </r>
    <r>
      <rPr>
        <sz val="8"/>
        <rFont val="Arial"/>
        <family val="2"/>
      </rPr>
      <t xml:space="preserve"> 100x75mm, FAB. TIGRE, AMANCO</t>
    </r>
  </si>
  <si>
    <t>LUVA SIMPLES PVC ESGOTO Ф 40mm, FAB. TIGRE, AMANCO</t>
  </si>
  <si>
    <r>
      <t xml:space="preserve">CAP PVC ESGOTO SÉRIE-R, </t>
    </r>
    <r>
      <rPr>
        <sz val="8"/>
        <rFont val="Calibri"/>
        <family val="2"/>
      </rPr>
      <t>Ф</t>
    </r>
    <r>
      <rPr>
        <sz val="8"/>
        <rFont val="Arial"/>
        <family val="2"/>
      </rPr>
      <t xml:space="preserve"> 50mm, FAB. TIGRE, AMANCO</t>
    </r>
  </si>
  <si>
    <r>
      <t xml:space="preserve">CAP PVC ESGOTO SÉRIE-R, </t>
    </r>
    <r>
      <rPr>
        <sz val="8"/>
        <rFont val="Calibri"/>
        <family val="2"/>
      </rPr>
      <t>Ф</t>
    </r>
    <r>
      <rPr>
        <sz val="8"/>
        <rFont val="Arial"/>
        <family val="2"/>
      </rPr>
      <t xml:space="preserve"> 75mm, FAB. TIGRE, AMANCO</t>
    </r>
  </si>
  <si>
    <r>
      <t xml:space="preserve">CAP PVC ESGOTO SÉRIE-R, </t>
    </r>
    <r>
      <rPr>
        <sz val="8"/>
        <rFont val="Calibri"/>
        <family val="2"/>
      </rPr>
      <t>Ф</t>
    </r>
    <r>
      <rPr>
        <sz val="8"/>
        <rFont val="Arial"/>
        <family val="2"/>
      </rPr>
      <t xml:space="preserve"> 100mm, FAB. TIGRE, AMANCO</t>
    </r>
  </si>
  <si>
    <r>
      <t>JOELHO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150mm, FAB. TIGRE, AMANCO</t>
    </r>
  </si>
  <si>
    <r>
      <t>JOELHO 90</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50mm, FAB. TIGRE, AMANCO</t>
    </r>
  </si>
  <si>
    <r>
      <t>JOELHO 90</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150mm, FAB. TIGRE, AMANCO</t>
    </r>
  </si>
  <si>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100x75mm, FAB. TIGRE, AMANCO</t>
    </r>
  </si>
  <si>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150x100mm, FAB. TIGRE, AMANCO</t>
    </r>
  </si>
  <si>
    <r>
      <t xml:space="preserve">REDUÇÃO EXCÊNTRICA PVC ESGOTO SÉRIE-R, </t>
    </r>
    <r>
      <rPr>
        <sz val="8"/>
        <rFont val="Calibri"/>
        <family val="2"/>
      </rPr>
      <t>Ф</t>
    </r>
    <r>
      <rPr>
        <sz val="8"/>
        <rFont val="Arial"/>
        <family val="2"/>
      </rPr>
      <t xml:space="preserve"> 100x75mm, FAB. TIGRE, AMANCO</t>
    </r>
  </si>
  <si>
    <r>
      <t xml:space="preserve">ANEL DE BORRACHA P/VIROLA ESGOTO SÉRIE-R </t>
    </r>
    <r>
      <rPr>
        <sz val="8"/>
        <rFont val="Calibri"/>
        <family val="2"/>
      </rPr>
      <t>Ф</t>
    </r>
    <r>
      <rPr>
        <sz val="8"/>
        <rFont val="Arial"/>
        <family val="2"/>
      </rPr>
      <t xml:space="preserve"> 75mm, FAB. TIGRE, AMANCO</t>
    </r>
  </si>
  <si>
    <r>
      <t xml:space="preserve">ANEL DE BORRACHA P/VIROLA ESGOTO SÉRIE-R </t>
    </r>
    <r>
      <rPr>
        <sz val="8"/>
        <rFont val="Calibri"/>
        <family val="2"/>
      </rPr>
      <t>Ф</t>
    </r>
    <r>
      <rPr>
        <sz val="8"/>
        <rFont val="Arial"/>
        <family val="2"/>
      </rPr>
      <t xml:space="preserve"> 150mm, FAB. TIGRE, AMANCO</t>
    </r>
  </si>
  <si>
    <t>RALO HEMISFÉRICO TIPO ABACAXI EM FERRO FUNDIDO 150mm, FAB. FUNDIÇÃO CAPISTRANO</t>
  </si>
  <si>
    <t xml:space="preserve">LOUÇAS E METAIS </t>
  </si>
  <si>
    <r>
      <t xml:space="preserve">ANEL DE BORRACHA P/VIROLA ESGOTO </t>
    </r>
    <r>
      <rPr>
        <sz val="8"/>
        <rFont val="Calibri"/>
        <family val="2"/>
      </rPr>
      <t>Ф</t>
    </r>
    <r>
      <rPr>
        <sz val="8"/>
        <rFont val="Arial"/>
        <family val="2"/>
      </rPr>
      <t xml:space="preserve"> 50mm, FAB. TIGRE, AMANCO</t>
    </r>
  </si>
  <si>
    <r>
      <t>JOELHO 90</t>
    </r>
    <r>
      <rPr>
        <vertAlign val="superscript"/>
        <sz val="8"/>
        <rFont val="Arial"/>
        <family val="2"/>
      </rPr>
      <t>o</t>
    </r>
    <r>
      <rPr>
        <sz val="8"/>
        <rFont val="Arial"/>
        <family val="2"/>
      </rPr>
      <t xml:space="preserve"> SÉRIE-R </t>
    </r>
    <r>
      <rPr>
        <sz val="8"/>
        <rFont val="Calibri"/>
        <family val="2"/>
      </rPr>
      <t>Ф</t>
    </r>
    <r>
      <rPr>
        <sz val="8"/>
        <rFont val="Arial"/>
        <family val="2"/>
      </rPr>
      <t xml:space="preserve"> 100mm COM FIBRA DE VIDRO, FAB. TIGRE - PÉ DE COLUNA</t>
    </r>
  </si>
  <si>
    <r>
      <t xml:space="preserve">VÁLVULA ESFERA LATÃO/INOX, MONOBLOCO, ROSCA BSP </t>
    </r>
    <r>
      <rPr>
        <sz val="8"/>
        <rFont val="Calibri"/>
        <family val="2"/>
      </rPr>
      <t>Ф 3/4</t>
    </r>
    <r>
      <rPr>
        <sz val="8"/>
        <rFont val="Arial"/>
        <family val="2"/>
      </rPr>
      <t>", FAB. DOCOL, MIPEL, DECA</t>
    </r>
  </si>
  <si>
    <r>
      <t xml:space="preserve">LUVA SIMPLES PPR </t>
    </r>
    <r>
      <rPr>
        <sz val="8"/>
        <rFont val="Calibri"/>
        <family val="2"/>
      </rPr>
      <t>Ф</t>
    </r>
    <r>
      <rPr>
        <sz val="8"/>
        <rFont val="Arial"/>
        <family val="2"/>
      </rPr>
      <t xml:space="preserve"> 63mm, FAB. TIGRE, AMANCO, UNIKAP</t>
    </r>
  </si>
  <si>
    <r>
      <t xml:space="preserve">JOELHO 90º  PPR </t>
    </r>
    <r>
      <rPr>
        <sz val="8"/>
        <rFont val="Calibri"/>
        <family val="2"/>
      </rPr>
      <t>Ф</t>
    </r>
    <r>
      <rPr>
        <sz val="8"/>
        <rFont val="Arial"/>
        <family val="2"/>
      </rPr>
      <t xml:space="preserve"> 63mm, FAB. TIGRE, AMANCO, UNIKAP </t>
    </r>
  </si>
  <si>
    <r>
      <t xml:space="preserve">ADAPTADOR MACHO PPR </t>
    </r>
    <r>
      <rPr>
        <sz val="8"/>
        <rFont val="Calibri"/>
        <family val="2"/>
      </rPr>
      <t>Ф</t>
    </r>
    <r>
      <rPr>
        <sz val="8"/>
        <rFont val="Arial"/>
        <family val="2"/>
      </rPr>
      <t xml:space="preserve"> 63mm x 2", FAB. TIGRE, AMANCO, UNIKAP</t>
    </r>
  </si>
  <si>
    <r>
      <t xml:space="preserve">UNIÃO DUPLA COM FLANGES PPR </t>
    </r>
    <r>
      <rPr>
        <sz val="8"/>
        <rFont val="Calibri"/>
        <family val="2"/>
      </rPr>
      <t>Ф</t>
    </r>
    <r>
      <rPr>
        <sz val="8"/>
        <rFont val="Arial"/>
        <family val="2"/>
      </rPr>
      <t xml:space="preserve"> 63mm, FAB. TIGRE, AMANCO, UNIKAP</t>
    </r>
  </si>
  <si>
    <t xml:space="preserve">CONECTOR BOX RETO EM ALUM.SILICIO, PARAF. AÇO ZINCADO, ROSCA EXTERNA Ф 3/4", FAB. WETZEL     </t>
  </si>
  <si>
    <t>TER</t>
  </si>
  <si>
    <t>1P</t>
  </si>
  <si>
    <t>2P</t>
  </si>
  <si>
    <t>3P</t>
  </si>
  <si>
    <t>4P</t>
  </si>
  <si>
    <t>5P</t>
  </si>
  <si>
    <t>6P</t>
  </si>
  <si>
    <t>7P</t>
  </si>
  <si>
    <t>8P</t>
  </si>
  <si>
    <t>9P</t>
  </si>
  <si>
    <t>10P</t>
  </si>
  <si>
    <t xml:space="preserve">Infraestrutura de Tomadas No-Break </t>
  </si>
  <si>
    <t>Infraestrutura de Tomadas de Força</t>
  </si>
  <si>
    <t>Infraestrutura de Alimentadores</t>
  </si>
  <si>
    <t>Cebeamento de Alimentadores</t>
  </si>
  <si>
    <t>Luminárias e Acessórios</t>
  </si>
  <si>
    <t xml:space="preserve">Infraestrutura de Eletrocalhas </t>
  </si>
  <si>
    <t>Tomadas e Afins</t>
  </si>
  <si>
    <t>Cabeamento</t>
  </si>
  <si>
    <t>Infraestrutura de Eletrodutos</t>
  </si>
  <si>
    <t>Caixas e Ralos</t>
  </si>
  <si>
    <t>Drenos de Ar Condicionado</t>
  </si>
  <si>
    <r>
      <t xml:space="preserve">OBRA:  </t>
    </r>
    <r>
      <rPr>
        <b/>
        <sz val="11"/>
        <color indexed="17"/>
        <rFont val="Arial"/>
        <family val="2"/>
      </rPr>
      <t>ICM- INSTITUTO DE CIÊNCIAS MÉDICAS</t>
    </r>
  </si>
  <si>
    <r>
      <t xml:space="preserve">OBRA: </t>
    </r>
    <r>
      <rPr>
        <b/>
        <sz val="11"/>
        <color indexed="17"/>
        <rFont val="Arial"/>
        <family val="2"/>
      </rPr>
      <t xml:space="preserve">ICM - INSTITUTO  DE CIÊNCIAS MÉDICAS </t>
    </r>
  </si>
  <si>
    <t xml:space="preserve">Fiação de Distribuição - Tomadas e Iluminação </t>
  </si>
  <si>
    <t>TAMPA DE PRESSÃO C/REFORÇO EM CHAPA DE AÇO LISA, CH#18 MSG, Ref.: MAX.ET.PP-GF, NBR-7008, P/ELETROCALHA 150mm, FAB. MAXTIL, VALEMAM, CARMEHIL</t>
  </si>
  <si>
    <t>TAMPA DE PRESSÃO C/REFORÇO EM CHAPA DE AÇO LISA, CH#18 MSG, Ref.: MAX.ET.PP-GF, NBR-7008, P/ELETROCALHA 200mm, FAB. MAXTIL, VALEMAM, CARMEHIL</t>
  </si>
  <si>
    <t xml:space="preserve">CURVA HORIZONTAL 90o EM CHAPA DE AÇO LISA, CH#18 MSG, Ref.: MAX.EL.CH9JI-PGF, NBR-7008, P/ELETROCALHA 150x100mm, FAB. MAXTIL, VALEMAN, CARMEHIL     </t>
  </si>
  <si>
    <t xml:space="preserve">CURVA HORIZONTAL 90o EM CHAPA DE AÇO LISA, CH#18 MSG, Ref.: MAX.EL.CH9JI-PGF, NBR-7008, P/ELETROCALHA 200x100mm, FAB. MAXTIL, VALEMAN, CARMEHIL     </t>
  </si>
  <si>
    <t xml:space="preserve">CURVA DE INVERSÃO EM CHAPA DE AÇO LISA, CH#18 MSG, Ref.: MAX.EL.CE9JI-PGF, NBR-7008, P/ELETROCALHA 150x100mm, FAB. MAXTIL, VALEMAM, CARMEHIL     </t>
  </si>
  <si>
    <t xml:space="preserve">CURVA DE INVERSÃO EM CHAPA DE AÇO LISA, CH#18 MSG, Ref.: MAX.EL.CE9JI-PGF, NBR-7008, P/ELETROCALHA 200x100mm, FAB. MAXTIL, VALEMAM, CARMEHIL     </t>
  </si>
  <si>
    <t xml:space="preserve">TE HORIZONTAL 90o EM CHAPA DE AÇO LISA, CH#18 MSG, Ref.: MAX.EL.TRJI-PGF, NBR-7008, P/ELETROCALHA 150x100mm, FAB. MAXTIL, VALEMAM, CARMEHIL     </t>
  </si>
  <si>
    <t xml:space="preserve">TE HORIZONTAL 90o EM CHAPA DE AÇO LISA, CH#18 MSG, Ref.: MAX.EL.TRJI-PGF, NBR-7008, P/ELETROCALHA 200x100mm, FAB. MAXTIL, VALEMAM, CARMEHIL     </t>
  </si>
  <si>
    <t xml:space="preserve">FLANGE P/PAINEL EM CHAPA DE AÇO LISA, CH#18 MSG, Ref.: MAX.E.ACO-PGF, NBR-7008, P/ELETROCALHA 200x100mm, FAB. MAXTIL, VALEMAM, CARMEHIL     </t>
  </si>
  <si>
    <r>
      <t>CONECTOR DE COMPRESSÃO TIPO I (CUNHA) PARA CABO 25/35mm</t>
    </r>
    <r>
      <rPr>
        <vertAlign val="superscript"/>
        <sz val="8"/>
        <rFont val="Arial"/>
        <family val="2"/>
      </rPr>
      <t>2</t>
    </r>
    <r>
      <rPr>
        <sz val="8"/>
        <rFont val="Arial"/>
        <family val="2"/>
      </rPr>
      <t>, COD. 6770865, FAB. INTELLI, MAGNET</t>
    </r>
  </si>
  <si>
    <t>CONJUNTO DE FERRAGENS PARA ESTRUTURA DE ENTRADA, PADRÃO ENEL</t>
  </si>
  <si>
    <t xml:space="preserve">ISOLADOR DE PINO POLIMÉRICO COM PINO INCORPORADO - 15kV, FAB. BALESTRO, DELMAR </t>
  </si>
  <si>
    <t xml:space="preserve">ISOLADOR DE SUSPENSÃO POLIMÉRICO, TIPO BASTÃO - 15kV, FAB. BALESTRO, DELMAR </t>
  </si>
  <si>
    <r>
      <t xml:space="preserve">DUTO FLEXÍVEL CORRUGADO EM POLIETILENO (PEAD), NBR-15715, C/ARAME PESCA, </t>
    </r>
    <r>
      <rPr>
        <sz val="8"/>
        <rFont val="Calibri"/>
        <family val="2"/>
      </rPr>
      <t>Ф</t>
    </r>
    <r>
      <rPr>
        <sz val="8"/>
        <rFont val="Arial"/>
        <family val="2"/>
      </rPr>
      <t xml:space="preserve"> 3" x 90mm, FAB. NOVOFLEX, KANAFLEX </t>
    </r>
  </si>
  <si>
    <t>ELETRODUTO PVC RÍGIDO ROSCÁVEL, CLASSE B, NBR-15465,  Ф 1" x 3,0m, FAB.TIGRE, AMANCO</t>
  </si>
  <si>
    <t>CAIXA METÁLICA 20x20cm DE SOBREPOR  EM POSTE PARA DISPLAY, PADRÃO COELCE</t>
  </si>
  <si>
    <t>HASTE DE TERRA: ELETRODO DE AÇO, SUPERFÍCIE REVESTIDA DE COBRE POR ELETRODEPOSIÇÃO 254μm, NA FORMA DE HASTE SEÇÃO CIRCULAR Ф 3/4" X 3,00m, NBR-13571, FAB.INTELLI, MAGNET</t>
  </si>
  <si>
    <r>
      <t>SOLDA EXOTÉRMICA (CARTUCHO N</t>
    </r>
    <r>
      <rPr>
        <vertAlign val="superscript"/>
        <sz val="8"/>
        <rFont val="Arial"/>
        <family val="2"/>
      </rPr>
      <t>o</t>
    </r>
    <r>
      <rPr>
        <sz val="8"/>
        <rFont val="Arial"/>
        <family val="2"/>
      </rPr>
      <t>. 200), FAB. EXOSOLDA</t>
    </r>
  </si>
  <si>
    <t>TERMINAL INTERNO (MUFLA), CLASSE 15kV, REF.: HVT-1-B-1, FAB. RAYCHEM, 3M</t>
  </si>
  <si>
    <t>PLACA DE ADVERTENCIA - "PERIGO ALTA TENSÃO" / SÍMBOLO DA CAVEIRA.</t>
  </si>
  <si>
    <t>CABO DE COBRE NÚ ELETROLÍTICO, TÊMPERA 1/2 DURA, NBR-6524, CL.3A, 19 FIOS, 1x120mm2 FAB. COBRECOM, PRYSMIAN</t>
  </si>
  <si>
    <t>CABO DE COBRE NÚ ELETROLÍTICO, TÊMPERA 1/2 DURA, NBR-6524, CL.2A, 07 FIOS, 1x25mm2 FAB. COBRECOM, PRYSMIAN</t>
  </si>
  <si>
    <r>
      <t>TERMINAL DE COMPRESSÃO ESTANHADO 02 FURO P/ 400mm</t>
    </r>
    <r>
      <rPr>
        <vertAlign val="superscript"/>
        <sz val="8"/>
        <rFont val="Arial"/>
        <family val="2"/>
      </rPr>
      <t>2</t>
    </r>
    <r>
      <rPr>
        <sz val="8"/>
        <rFont val="Arial"/>
        <family val="2"/>
      </rPr>
      <t>, FAB. INTELLI, MAGNET</t>
    </r>
  </si>
  <si>
    <r>
      <t>TERMINAL DE COMPRESSÃO ESTANHADO 01 FURO P/ 25mm</t>
    </r>
    <r>
      <rPr>
        <vertAlign val="superscript"/>
        <sz val="8"/>
        <rFont val="Arial"/>
        <family val="2"/>
      </rPr>
      <t>2</t>
    </r>
    <r>
      <rPr>
        <sz val="8"/>
        <rFont val="Arial"/>
        <family val="2"/>
      </rPr>
      <t>, FAB. INTELLI, MAGNET</t>
    </r>
  </si>
  <si>
    <t>HASTE DE TERRA: ELETRODO DE AÇO, SUPERFÍCIE REVESTIDA DE COBRE POR ELETRODEPOSIÇÃO 254μm, NA FORMA DE HASTE SEÇÃO CIRCULAR Ф 5/8" X 3,00m, NBR-13571, FAB.INTELLI, MAGNET</t>
  </si>
  <si>
    <t>COLUNA.1 SM6 CONNECTED GAM2.375 - ENTRADA SE-01</t>
  </si>
  <si>
    <t>COLUNA.2 SM6 CONNECTED DM1.D.750 - PROTEÇÃO GERAL</t>
  </si>
  <si>
    <t xml:space="preserve">COLUNA.3 SM6 CONNECTED GBM.375 - TRANSIÇÃO </t>
  </si>
  <si>
    <t>TALA DE JUNÇÃO SIMPLES P/ELETROCALHA, CURTA A=100mm, 08 FUROS, B=95mm, Ref.: MAX.E.JSC.100, NBR-7008, FAB. MAXTIL, VALEMAM, CARMEHIL</t>
  </si>
  <si>
    <t>SUSPENSÃO VERTICAL TIPO "B" EM CHAPA DE AÇO LISA, CH#18 MSG, C/02 FUROS, Ref.: MAX.E.SV-PGF, NBR-7008, P/ELETROCALHA 150x100mm, FAB. MAXTIL, VALEMAM, CARMEHIL</t>
  </si>
  <si>
    <t>SUSPENSÃO VERTICAL TIPO "B" EM CHAPA DE AÇO LISA, CH#18 MSG, C/02 FUROS, Ref.: MAX.E.SV-PGF, NBR-7008, P/ELETROCALHA 200x100mm, FAB. MAXTIL, VALEMAM, CARMEHIL</t>
  </si>
  <si>
    <t>SUPORTE "ZZ" (ÔMEGA) P/VERGALHÃO Ф1/4" C/03 FUROS, REF.: MAX.AF.CZZ, FAB. MAXTIL, VALEMAM</t>
  </si>
  <si>
    <t>PARAFUSO CABEÇA LENTILHA AUTO-TRAVANTE, Ф1/4" x 1/2" C/PORCA e ARRUELA LISA , Ref. MAX.AF.PAT, FAB. MAXTIL</t>
  </si>
  <si>
    <t>TOMADA DUPLA 2P+T 10A/250V NBR-14136 EM PLACA 4" x 2" C/SUPORTE, FAB. PIAL, SIMON, ALUMBRA - TUG</t>
  </si>
  <si>
    <t xml:space="preserve">SENSOR DE PRESENÇA ALCANCE MINIMO DE 10,00m 180° X 12m EM CONDULETE - SP2F EXATRON ou 642.45 PIAL - PAREDE </t>
  </si>
  <si>
    <r>
      <t xml:space="preserve">INTERRUPTOR PARALELO COM 01 TECLA 10A/250V EM CONDULETE ALUMÍNIO </t>
    </r>
    <r>
      <rPr>
        <sz val="8"/>
        <rFont val="Calibri"/>
        <family val="2"/>
      </rPr>
      <t>Ф</t>
    </r>
    <r>
      <rPr>
        <sz val="8"/>
        <rFont val="Arial"/>
        <family val="2"/>
      </rPr>
      <t xml:space="preserve"> 3/4", TIPO "E", FAB. WETZEL, PIAL LEGRAND</t>
    </r>
  </si>
  <si>
    <r>
      <t xml:space="preserve">INTERRUPTOR COM 03 TECLA 10A/250V EM CONDULETE ALUMÍNIO </t>
    </r>
    <r>
      <rPr>
        <sz val="8"/>
        <rFont val="Calibri"/>
        <family val="2"/>
      </rPr>
      <t>Ф</t>
    </r>
    <r>
      <rPr>
        <sz val="8"/>
        <rFont val="Arial"/>
        <family val="2"/>
      </rPr>
      <t xml:space="preserve"> 3/4", TIPO "E", FAB. WETZEL, PIAL LEGRAND</t>
    </r>
  </si>
  <si>
    <r>
      <t xml:space="preserve">INTERRUPTOR COM 02 TECLA 10A/250V EM CONDULETE ALUMÍNIO </t>
    </r>
    <r>
      <rPr>
        <sz val="8"/>
        <rFont val="Calibri"/>
        <family val="2"/>
      </rPr>
      <t>Ф</t>
    </r>
    <r>
      <rPr>
        <sz val="8"/>
        <rFont val="Arial"/>
        <family val="2"/>
      </rPr>
      <t xml:space="preserve"> 3/4", TIPO "E", FAB. WETZEL, PIAL LEGRAND</t>
    </r>
  </si>
  <si>
    <r>
      <t xml:space="preserve">INTERRUPTOR COM 01 TECLA 10A/250V EM CONDULETE ALUMÍNIO </t>
    </r>
    <r>
      <rPr>
        <sz val="8"/>
        <rFont val="Calibri"/>
        <family val="2"/>
      </rPr>
      <t>Ф</t>
    </r>
    <r>
      <rPr>
        <sz val="8"/>
        <rFont val="Arial"/>
        <family val="2"/>
      </rPr>
      <t xml:space="preserve"> 3/4", TIPO "E", FAB. WETZEL, PIAL LEGRAND</t>
    </r>
  </si>
  <si>
    <t>CAIXA DE PVC HEXAGONAL 3"x3" (TIGREFLEX), FAB.TIGRE, AMANCO</t>
  </si>
  <si>
    <t xml:space="preserve">CONDULETE EM LIGA DE ALUMÍNIO, PARAF. AÇO ZINCADO, JUNTA DE VEDAÇÃO, TIPO "L", ROSCA Ф 1", FAB. WETZEL </t>
  </si>
  <si>
    <t xml:space="preserve">INTERRUPTOR PARALELO COM 02 TECLA SIMPLES 10A/250V EM PLACA 4" x 2" C/SUPORTE, FAB. PIAL, SIEMENS, PRIME </t>
  </si>
  <si>
    <t>KIT DIMMER ROTATIVO SIMPLES COM INTERRUPTOR SIMPLES EM PLACA 4" x 2" C/SUPORTE, FAB. EXATRON</t>
  </si>
  <si>
    <t>KIT DIMMER ROTATIVO DUPLO EM PLACA 4" x 2" C/SUPORTE, FAB. EXATRON</t>
  </si>
  <si>
    <t>TOMADA 2P+T, 20A/250V, NBR-14136, A PROVA DE TEMPO IP-44, MOD. 0642.19 LINHA AQUATIC, FAB. PIAL LEGRAND</t>
  </si>
  <si>
    <t>CAIXA DE EMBUTIR 4"x 2", A PROVA DE TEMPO IP-44, MOD. 642.21 LINHA AQUATIC, FAB. PIAL LEGRAND</t>
  </si>
  <si>
    <t>INTERRUPTOR SIMPLES 01 TECLA, A PROVA DE TEMPO IP-44, LINHA AQUATIC, FAB. PIAL LEGRAND</t>
  </si>
  <si>
    <t>BLOCO AUTÔNOMO PARA ILUMINAÇÃO DE EMERGÊNCIA COM LED ALTA INTENSIDADE LUMINOSA (550 LM), BATERIA VRLA, AUTONOMIA 4h, MOD. MAC-ILED-550, FAB. AUREON</t>
  </si>
  <si>
    <t>DUTO EM ALUMINIO DUPLO "C", COR CINZA, 25x70 DT 12231.00, FAB. DUTOTEC</t>
  </si>
  <si>
    <t>TAMPA PERFIL RANHURADA STD, COR CINZA, DT 15030.00, FAB. DUTOTEC</t>
  </si>
  <si>
    <t>CURVA VERTICAL INTERNA 90º 25x70 AL R60 CINZA, DT 38036.60, FAB. DUTOTEC</t>
  </si>
  <si>
    <t>ADAPTADOR P/ELETRODUTO ALUM INJETADO 3x1" PRF25, DT 47630.00, FAB. DUTOTEC</t>
  </si>
  <si>
    <t>PORTA EQUIPAMENTOS ALTO COM TOMADA SIMPLES 2P+T/220V, CINZA DT 51130.00, FAB. DUTOTEC</t>
  </si>
  <si>
    <t>PORTA EQUIPAMENTOS ALTO COM TOMADA DUPLA 2P+T/220V, CINZA DT 51130.00, FAB. DUTOTEC</t>
  </si>
  <si>
    <t>TAMPA TERMINAL ABS PRF25, DT 49130.00, FAB. DUTOTEC</t>
  </si>
  <si>
    <r>
      <t>TOMADA SIMPLES 2P+T 10A/250V NBR-14136 EM CONDULETE DE ALUMINIO 3/4", FAB. PIAL / WETZEL -</t>
    </r>
    <r>
      <rPr>
        <sz val="8"/>
        <color indexed="10"/>
        <rFont val="Arial"/>
        <family val="2"/>
      </rPr>
      <t xml:space="preserve"> EXAUSTOR</t>
    </r>
  </si>
  <si>
    <r>
      <t xml:space="preserve">TOMADA SIMPLES 2P+T 20A/250V NBR-14136 EM CONDULETE DE ALUMINIO 3/4", FAB. PIAL / WETZEL - </t>
    </r>
    <r>
      <rPr>
        <sz val="8"/>
        <color indexed="10"/>
        <rFont val="Arial"/>
        <family val="2"/>
      </rPr>
      <t>DTS</t>
    </r>
  </si>
  <si>
    <t xml:space="preserve">PLACA CEGA 4" x 2" C/SUPORTE, PIAL PLUS, SIEMENS, PRIME </t>
  </si>
  <si>
    <r>
      <t xml:space="preserve">LUVA P/ELETRODUTO FLEXÍVEL (GARGANTA), </t>
    </r>
    <r>
      <rPr>
        <sz val="8"/>
        <rFont val="Calibri"/>
        <family val="2"/>
      </rPr>
      <t>Ф</t>
    </r>
    <r>
      <rPr>
        <sz val="8"/>
        <rFont val="Arial"/>
        <family val="2"/>
      </rPr>
      <t xml:space="preserve"> 25mm(3/4"), FAB.TIGRE, AMANCO</t>
    </r>
  </si>
  <si>
    <t>Fiação de Distribuição - Tomadas de Força</t>
  </si>
  <si>
    <t>Fiação de Distribuição - Tomadas No-Break</t>
  </si>
  <si>
    <t>CABO TETRAPOLAR ISOL. 0,6/1KV / HEPR 90oC, CL.4, NBR-13248, 4x6mm2 SUPERATOX FLEX, FAB. COBRECOM</t>
  </si>
  <si>
    <t>CABO TETRAPOLAR ISOL. 0,6/1KV / HEPR 90oC, CL.4, NBR-13248, 4x4mm2 SUPERATOX FLEX, FAB. COBRECOM</t>
  </si>
  <si>
    <t>CABO TETRAPOLAR ISOL. 0,6/1KV / HEPR 90oC, CL.4, NBR-13248, 4x10mm2 SUPERATOX FLEX, FAB. COBRECOM</t>
  </si>
  <si>
    <t>TAMPA DE PRESSÃO C/REFORÇO EM CHAPA DE AÇO LISA, CH#18 MSG, Ref.: MAX.ET.PP-GF, NBR-7008, P/ELETROCALHA 100mm, FAB. MAXTIL, VALEMAM, CARMEHIL</t>
  </si>
  <si>
    <t xml:space="preserve">CURVA HORIZONTAL 90o EM CHAPA DE AÇO LISA, CH#18 MSG, Ref.: MAX.EL.CH9JI-PGF, NBR-7008, P/ELETROCALHA 100x50mm, FAB. MAXTIL, VALEMAN, CARMEHIL     </t>
  </si>
  <si>
    <t xml:space="preserve">TE HORIZONTAL 90o EM CHAPA DE AÇO LISA, CH#18 MSG, Ref.: MAX.EL.TRJI-PGF, NBR-7008, P/ELETROCALHA 100x50mm, FAB. MAXTIL, VALEMAM, CARMEHIL     </t>
  </si>
  <si>
    <t>SUSPENSÃO VERTICAL TIPO "B" EM CHAPA DE AÇO LISA, CH#18 MSG, C/02 FUROS, Ref.: MAX.E.SV-PGF, NBR-7008, P/ELETROCALHA 100x50mm, FAB. MAXTIL, VALEMAM, CARMEHIL</t>
  </si>
  <si>
    <t>TALA DE JUNÇÃO SIMPLES P/ELETROCALHA, CURTA A=100mm, 08 FUROS, B=45mm, Ref.: MAX.E.JSC.50, NBR-7008, FAB. MAXTIL, VALEMAM, CARMEHIL</t>
  </si>
  <si>
    <t xml:space="preserve">Infraestrutura de Tomadas e Iluminação </t>
  </si>
  <si>
    <r>
      <t xml:space="preserve">TOMADA SIMPLES 2P+T 20A/250V NBR-14136 EM CONDULETE DE ALUMINIO 3/4", FAB. PIAL / WETZEL - </t>
    </r>
    <r>
      <rPr>
        <sz val="8"/>
        <color indexed="10"/>
        <rFont val="Arial"/>
        <family val="2"/>
      </rPr>
      <t>AR COND. TETO (K7)</t>
    </r>
  </si>
  <si>
    <t xml:space="preserve">FLANGE P/PAINEL EM CHAPA DE AÇO LISA, CH#18 MSG, Ref.: MAX.E.ACO-PGF, NBR-7008, P/ELETROCALHA 150x100mm, FAB. MAXTIL, VALEMAM, CARMEHIL     </t>
  </si>
  <si>
    <t>CABO TETRAPOLAR ISOL. 0,6/1KV / HEPR 90oC, CL.4, NBR-13248, 4x2,5mm2 SUPERATOX FLEX, FAB. COBRECOM</t>
  </si>
  <si>
    <t>ACIONADOR BOTOEIRA DE COMANDO DA COIFA EM AÇO INOX EMBUTIR CAIXA 4x2, COD. 5000IN, FAB. INTELBRAS</t>
  </si>
  <si>
    <r>
      <t xml:space="preserve">TOMADA SIMPLES 2P+T 20A/250V NBR-14136 EM PLACA 4" x 2" C/SUPORTE, FAB. PIAL, SIMON, ALUMBRA - </t>
    </r>
    <r>
      <rPr>
        <sz val="8"/>
        <color indexed="10"/>
        <rFont val="Arial"/>
        <family val="2"/>
      </rPr>
      <t>RX</t>
    </r>
  </si>
  <si>
    <r>
      <t xml:space="preserve">TOMADA SIMPLES 2P+T 20A/250V NBR-14136 EM PLACA 4" x 2" C/SUPORTE, FAB. PIAL, SIMON, ALUMBRA - </t>
    </r>
    <r>
      <rPr>
        <sz val="8"/>
        <color indexed="10"/>
        <rFont val="Arial"/>
        <family val="2"/>
      </rPr>
      <t>COZINHA</t>
    </r>
  </si>
  <si>
    <t xml:space="preserve">CONDULETE EM LIGA DE ALUMÍNIO, PARAF. AÇO ZINCADO, JUNTA DE VEDAÇÃO, TIPO "L", ROSCA Ф 1.1/2", FAB. WETZEL </t>
  </si>
  <si>
    <t xml:space="preserve">CONDULETE EM LIGA DE ALUMÍNIO, PARAF. AÇO ZINCADO, JUNTA DE VEDAÇÃO, TIPO "L", ROSCA Ф 3", FAB. WETZEL </t>
  </si>
  <si>
    <r>
      <t xml:space="preserve">TOMADA SIMPLES 2P+T 10A/250V NBR-14136 EM PLACA 4" x 2" C/SUPORTE, FAB. PIAL, SIEMENS, PRIME - </t>
    </r>
    <r>
      <rPr>
        <sz val="8"/>
        <color indexed="10"/>
        <rFont val="Arial"/>
        <family val="2"/>
      </rPr>
      <t>NO-BREAK</t>
    </r>
  </si>
  <si>
    <r>
      <t xml:space="preserve">TOMADA DUPLA 2P+T 10A/250V NBR-14136 EM PLACA 4" x 2" C/SUPORTE, FAB. PIAL, SIMON, ALUMBRA - </t>
    </r>
    <r>
      <rPr>
        <sz val="8"/>
        <color indexed="10"/>
        <rFont val="Arial"/>
        <family val="2"/>
      </rPr>
      <t>NO-BREAK</t>
    </r>
  </si>
  <si>
    <r>
      <t xml:space="preserve">TOMADA SIMPLES 2P+T 20A/250V NBR-14136 EM CONDULETE DE ALUMINIO 3/4", FAB. PIAL / WETZEL - </t>
    </r>
    <r>
      <rPr>
        <sz val="8"/>
        <color indexed="10"/>
        <rFont val="Arial"/>
        <family val="2"/>
      </rPr>
      <t>NO-BREAK</t>
    </r>
  </si>
  <si>
    <r>
      <t xml:space="preserve">CAIXA DE PVC RETANGULAR 4"x2" (TIGREFLEX), FAB.TIGRE, AMANCO - </t>
    </r>
    <r>
      <rPr>
        <sz val="8"/>
        <color indexed="10"/>
        <rFont val="Arial"/>
        <family val="2"/>
      </rPr>
      <t>DOOR HOLDER / CA</t>
    </r>
  </si>
  <si>
    <r>
      <t xml:space="preserve">TOMADA DE PISO SIMPLES 2P+T 20A/250V NBR-14136 EM PLACA 4" x 2" TP-04.45 C/SUPORTE, FAB. PIAL, WETZEL, TRAMONTINA - </t>
    </r>
    <r>
      <rPr>
        <sz val="8"/>
        <color indexed="10"/>
        <rFont val="Arial"/>
        <family val="2"/>
      </rPr>
      <t>NO-BREAK</t>
    </r>
  </si>
  <si>
    <r>
      <t xml:space="preserve">TOMADA SIMPLES 2P+T 20A/250V NBR-14136 + ENTRADA USB, EM PLACA 4" x 2" C/SUPORTE, FAB. PIAL LEGRAND - </t>
    </r>
    <r>
      <rPr>
        <sz val="8"/>
        <color indexed="10"/>
        <rFont val="Arial"/>
        <family val="2"/>
      </rPr>
      <t>NO-BREAK</t>
    </r>
  </si>
  <si>
    <t>ELETRODUTO, TUBO ALUMÍNIO PONTA LISA MOD. TR-039, Ф 3/4" x 1,00mm x 6,0m, FAB. ALCOA, CBA</t>
  </si>
  <si>
    <t>CAIXA DE DERIVAÇÃO PERFIL 25, TIPO "T" 1X1 COR CINZA, DT.52430.00, FAB. DUTOTEC</t>
  </si>
  <si>
    <t>PORTA EQUIPAMENTOS ALTO COM TOMADA SIMPLES 2P+T 20A/250V NBR-14136 + ENTRADA USB, CINZA DT 51130.00, FAB. DUTOTEC</t>
  </si>
  <si>
    <t>Interruptores, Tomadas e Afins (Ilum./ Força)</t>
  </si>
  <si>
    <t>Quadros de Luz e Força (Padrão TTA)</t>
  </si>
  <si>
    <t>ELETRODUTO PVC RÍGIDO ROSCÁVEL, CLASSE B, NBR-15465,  Ф 3/4" x 3,0m, FAB.TIGRE, AMANCO</t>
  </si>
  <si>
    <t>ELETRODUTO PVC RÍGIDO ROSCÁVEL, CLASSE B, NBR-15465,  Ф 1.1/4" x 3,0m, FAB.TIGRE, AMANCO</t>
  </si>
  <si>
    <t>ELETRODUTO PVC RÍGIDO ROSCÁVEL, CLASSE B, NBR-15465,  Ф 1.1/2" x 3,0m, FAB.TIGRE, AMANCO</t>
  </si>
  <si>
    <t>ELETRODUTO PVC RÍGIDO ROSCÁVEL, CLASSE B, NBR-15465,  Ф 2" x 3,0m, FAB.TIGRE, AMANCO</t>
  </si>
  <si>
    <t>ELETRODUTO PVC RÍGIDO ROSCÁVEL, CLASSE B, NBR-15465,  Ф 3" x 3,0m, FAB.TIGRE, AMANCO</t>
  </si>
  <si>
    <t>ELETRODUTO PVC RÍGIDO ROSCÁVEL, CLASSE B, NBR-15465,  Ф 4" x 3,0m, FAB.TIGRE, AMANCO</t>
  </si>
  <si>
    <t>CABO TETRAPOLAR ISOL. 0,6/1KV / HEPR 90oC, CL.4, NBR-13248, 4x16mm2 SUPERATOX FLEX, FAB. COBRECOM</t>
  </si>
  <si>
    <t>CABO TETRAPOLAR ISOL. 0,6/1KV / HEPR 90oC, CL.4, NBR-13248, 2x6mm2 SUPERATOX FLEX, FAB. COBRECOM</t>
  </si>
  <si>
    <t>CAIXA DE PASSAGEM METÁLICA, EMBUTIR CH.#22, C/TAMPA PARAFUSADA, 300 X 300 X 100mm, FAB. CARMEHIL, TECNELSA</t>
  </si>
  <si>
    <t>CABO TETRAPOLAR ISOL. 0,6/1KV / HEPR 90oC, CL.4, NBR-13248, 2x10mm2 SUPERATOX FLEX, FAB. COBRECOM</t>
  </si>
  <si>
    <t>ELETRODUTO, TUBO ALUMÍNIO PONTA LISA MOD. TR-917, Ф 1.1/4 x 1,50mm x 6,0m, FAB. ALCOA, CBA</t>
  </si>
  <si>
    <t>ELETRODUTO, TUBO ALUMÍNIO PONTA LISA MOD. TR-204, Ф 1.1/2" x 1,50mm x 6,0m, FAB. ALCOA, CBA</t>
  </si>
  <si>
    <t>ELETRODUTO, TUBO ALUMÍNIO PONTA LISA MOD. TR-205, Ф 2" x 1,70mm x 6,0m, FAB. ALCOA, CBA</t>
  </si>
  <si>
    <t>ELETRODUTO, TUBO ALUMÍNIO PONTA LISA MOD. TR-206, Ф 3" x 1,90mm x 6,0m, FAB. ALCOA, CBA</t>
  </si>
  <si>
    <t xml:space="preserve">LUVA EM ALUM.SILICIO P/ELETRODUTO, PARAF. AÇO ZINCADO, C/VEDAÇÃO, Ф 1.1/4", FAB. WETZEL, DAISA </t>
  </si>
  <si>
    <t xml:space="preserve">LUVA EM ALUM.SILICIO P/ELETRODUTO, PARAF. AÇO ZINCADO, C/VEDAÇÃO, Ф 1.1/2", FAB. WETZEL, DAISA </t>
  </si>
  <si>
    <t xml:space="preserve">LUVA EM ALUM.SILICIO P/ELETRODUTO, PARAF. AÇO ZINCADO, C/VEDAÇÃO, Ф 2", FAB. WETZEL, DAISA </t>
  </si>
  <si>
    <t xml:space="preserve">LUVA EM ALUM.SILICIO P/ELETRODUTO, PARAF. AÇO ZINCADO, C/VEDAÇÃO, Ф 3", FAB. WETZEL, DAISA </t>
  </si>
  <si>
    <t>TALA DE JUNÇÃO SIMPLES P/LEITO, CURTA A=100mm, 08 FUROS, B=90mm, Ref.: MAX.L.JS.100, NBR-7008, FAB. MAXTIL, VALEMAM, CARMEHIL</t>
  </si>
  <si>
    <t>4.1</t>
  </si>
  <si>
    <t>4.2</t>
  </si>
  <si>
    <t>5.1</t>
  </si>
  <si>
    <t>5.2</t>
  </si>
  <si>
    <t>5.3</t>
  </si>
  <si>
    <t>6.1</t>
  </si>
  <si>
    <t>7.1</t>
  </si>
  <si>
    <t>8.1</t>
  </si>
  <si>
    <t>8.2</t>
  </si>
  <si>
    <t>8.3</t>
  </si>
  <si>
    <t>8.4</t>
  </si>
  <si>
    <t>9.1</t>
  </si>
  <si>
    <t>10.1</t>
  </si>
  <si>
    <t>11.2</t>
  </si>
  <si>
    <t>QL.T-2</t>
  </si>
  <si>
    <t>QF.T-2</t>
  </si>
  <si>
    <t>QF.PRESS</t>
  </si>
  <si>
    <t>QF.NB.T-1</t>
  </si>
  <si>
    <t>QNB.DC-2</t>
  </si>
  <si>
    <t>QB-GERAL</t>
  </si>
  <si>
    <t>QF.COZ-1</t>
  </si>
  <si>
    <t>QF-CAM</t>
  </si>
  <si>
    <t>QB-REC. 2x10CV</t>
  </si>
  <si>
    <t>QB-REC.AQ-1 (1x0,75CV)</t>
  </si>
  <si>
    <t>QB-DREN-2 (3x2CV)</t>
  </si>
  <si>
    <t>QB-DREN-1 (3x2CV)</t>
  </si>
  <si>
    <t>QL.1P-2</t>
  </si>
  <si>
    <t>QL.1P-EXT</t>
  </si>
  <si>
    <t>QF.1P-2</t>
  </si>
  <si>
    <t>QF.NB.1P-1</t>
  </si>
  <si>
    <t>QL.2P-2</t>
  </si>
  <si>
    <t>QF.2P-1</t>
  </si>
  <si>
    <t>QF.NB.2P-1</t>
  </si>
  <si>
    <t>QL.3P-2</t>
  </si>
  <si>
    <t>QF.3P-1</t>
  </si>
  <si>
    <t>QF.NB.3P-1</t>
  </si>
  <si>
    <t>QL.4P-2</t>
  </si>
  <si>
    <t>QL.AP-401...420</t>
  </si>
  <si>
    <t>QF.NB.4P-1</t>
  </si>
  <si>
    <t>QB.REC.AQ-2 (1x0,5CV)</t>
  </si>
  <si>
    <t>QL.5P-2</t>
  </si>
  <si>
    <t>QF.5P-1</t>
  </si>
  <si>
    <t>QL-SOLARIUM</t>
  </si>
  <si>
    <t>QF.NB.5P-1</t>
  </si>
  <si>
    <t>QL.AP-505</t>
  </si>
  <si>
    <t>QL.AP-506</t>
  </si>
  <si>
    <t>QL.AP-515...517</t>
  </si>
  <si>
    <t>QL.6P-2</t>
  </si>
  <si>
    <t>QL.AP-601...604/607...614</t>
  </si>
  <si>
    <t>QL.AP-605</t>
  </si>
  <si>
    <t>QL.AP-606</t>
  </si>
  <si>
    <t>QL.AP-615...617</t>
  </si>
  <si>
    <t>QF.6P-1</t>
  </si>
  <si>
    <t>QF.NB.6P-1</t>
  </si>
  <si>
    <t>QL.AP-501...504/507...514</t>
  </si>
  <si>
    <t>QL.AP-701...703/707...714</t>
  </si>
  <si>
    <t>QL.AP-704</t>
  </si>
  <si>
    <t>QL.AP-705</t>
  </si>
  <si>
    <t>QF.7P-1</t>
  </si>
  <si>
    <t>QF.NB.7P-1</t>
  </si>
  <si>
    <t>QL.AP-706</t>
  </si>
  <si>
    <t>QL.AP-715...716</t>
  </si>
  <si>
    <t>QF.8P-1</t>
  </si>
  <si>
    <t>QF.NB.8P-1</t>
  </si>
  <si>
    <t>QF.NB.9P-1</t>
  </si>
  <si>
    <t>QF.ELEV.1...8</t>
  </si>
  <si>
    <t>QB-TROCADOR (2x0,5CV)</t>
  </si>
  <si>
    <t>1.13.1</t>
  </si>
  <si>
    <t>1.13.2</t>
  </si>
  <si>
    <t>1.13.3</t>
  </si>
  <si>
    <t>1.13.4</t>
  </si>
  <si>
    <t>1.13.5</t>
  </si>
  <si>
    <t>1.13.6</t>
  </si>
  <si>
    <t>1.13.7</t>
  </si>
  <si>
    <t>1.13.8</t>
  </si>
  <si>
    <t>1.13.9</t>
  </si>
  <si>
    <t>1.13.10</t>
  </si>
  <si>
    <t>1.13.11</t>
  </si>
  <si>
    <t>1.13.12</t>
  </si>
  <si>
    <t>1.13.13</t>
  </si>
  <si>
    <t>1.13.14</t>
  </si>
  <si>
    <t>1.13.15</t>
  </si>
  <si>
    <t>1.13.16</t>
  </si>
  <si>
    <t>1.13.17</t>
  </si>
  <si>
    <t>1.13.18</t>
  </si>
  <si>
    <t>1.13.19</t>
  </si>
  <si>
    <t>1.10.1</t>
  </si>
  <si>
    <t>1.10.2</t>
  </si>
  <si>
    <t>1.10.3</t>
  </si>
  <si>
    <t>1.10.4</t>
  </si>
  <si>
    <t>1.10.5</t>
  </si>
  <si>
    <t>1.10.6</t>
  </si>
  <si>
    <t>1.10.7</t>
  </si>
  <si>
    <t>1.10.8</t>
  </si>
  <si>
    <t>1.10.9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</si>
  <si>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</si>
  <si>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</si>
  <si>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</si>
  <si>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</si>
  <si>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</si>
  <si>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</si>
  <si>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</si>
  <si>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</si>
  <si>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</si>
  <si>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</si>
  <si>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</si>
  <si>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</si>
  <si>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</si>
  <si>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</si>
  <si>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</si>
  <si>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</si>
  <si>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</si>
  <si>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</si>
  <si>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</si>
  <si>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</si>
  <si>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</si>
  <si>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</si>
  <si>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</si>
  <si>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</si>
  <si>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</si>
  <si>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</si>
  <si>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</si>
  <si>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</si>
  <si>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</si>
  <si>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</si>
  <si>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</si>
  <si>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</si>
  <si>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</si>
  <si>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</si>
  <si>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1.3.1</t>
  </si>
  <si>
    <t>1.3.2</t>
  </si>
  <si>
    <t>1.3.3</t>
  </si>
  <si>
    <t>1.3.4</t>
  </si>
  <si>
    <t>1.3.5</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</si>
  <si>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</si>
  <si>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</si>
  <si>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</si>
  <si>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</si>
  <si>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</si>
  <si>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</si>
  <si>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</si>
  <si>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</si>
  <si>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</si>
  <si>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</si>
  <si>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</si>
  <si>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</si>
  <si>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</si>
  <si>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</si>
  <si>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</si>
  <si>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</si>
  <si>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</si>
  <si>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</si>
  <si>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</si>
  <si>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</si>
  <si>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</si>
  <si>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</si>
  <si>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</si>
  <si>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</si>
  <si>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</si>
  <si>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</si>
  <si>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</si>
  <si>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</si>
  <si>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</si>
  <si>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</si>
  <si>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</si>
  <si>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</si>
  <si>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</si>
  <si>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</si>
  <si>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</si>
  <si>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</si>
  <si>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</si>
  <si>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</si>
  <si>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</si>
  <si>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</si>
  <si>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</si>
  <si>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</si>
  <si>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r>
      <t xml:space="preserve">ELETRODUTO FLEXÍVEL (GARGANTA), TIPO LEVE (320 N/5cm), AMARELO, </t>
    </r>
    <r>
      <rPr>
        <sz val="8"/>
        <rFont val="Calibri"/>
        <family val="2"/>
      </rPr>
      <t>Ф</t>
    </r>
    <r>
      <rPr>
        <sz val="8"/>
        <rFont val="Arial"/>
        <family val="2"/>
      </rPr>
      <t xml:space="preserve"> 25mm(3/4"), FAB.TIGRE, AMANCO</t>
    </r>
  </si>
  <si>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</si>
  <si>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</si>
  <si>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</si>
  <si>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</si>
  <si>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</si>
  <si>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</si>
  <si>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</si>
  <si>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</si>
  <si>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</si>
  <si>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</si>
  <si>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</si>
  <si>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</si>
  <si>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</si>
  <si>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</si>
  <si>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</si>
  <si>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</si>
  <si>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</si>
  <si>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</si>
  <si>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</si>
  <si>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</si>
  <si>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</si>
  <si>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</si>
  <si>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</si>
  <si>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</si>
  <si>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</si>
  <si>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</si>
  <si>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</si>
  <si>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</si>
  <si>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</si>
  <si>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</si>
  <si>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</si>
  <si>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</si>
  <si>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</si>
  <si>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</si>
  <si>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</si>
  <si>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</si>
  <si>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</si>
  <si>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</si>
  <si>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</si>
  <si>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</si>
  <si>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</si>
  <si>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</si>
  <si>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</si>
  <si>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</si>
  <si>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</si>
  <si>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</si>
  <si>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</si>
  <si>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</si>
  <si>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</si>
  <si>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</si>
  <si>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</si>
  <si>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</si>
  <si>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</si>
  <si>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</si>
  <si>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</si>
  <si>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</si>
  <si>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</si>
  <si>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</si>
  <si>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</si>
  <si>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</si>
  <si>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</si>
  <si>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</si>
  <si>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</si>
  <si>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</si>
  <si>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</si>
  <si>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</si>
  <si>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</si>
  <si>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</si>
  <si>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</si>
  <si>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</si>
  <si>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</si>
  <si>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</si>
  <si>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</si>
  <si>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</si>
  <si>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</si>
  <si>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</si>
  <si>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</si>
  <si>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</si>
  <si>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</si>
  <si>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</si>
  <si>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</si>
  <si>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</si>
  <si>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</si>
  <si>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</si>
  <si>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</si>
  <si>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</si>
  <si>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</si>
  <si>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</si>
  <si>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</si>
  <si>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</si>
  <si>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</si>
  <si>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</si>
  <si>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</si>
  <si>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</si>
  <si>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</si>
  <si>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1.5.1</t>
  </si>
  <si>
    <t>1.5.2</t>
  </si>
  <si>
    <t>1.5.3</t>
  </si>
  <si>
    <t>1.5.4</t>
  </si>
  <si>
    <t>1.5.5</t>
  </si>
  <si>
    <t>1.5.6</t>
  </si>
  <si>
    <t>1.5.7</t>
  </si>
  <si>
    <t>1.5.8</t>
  </si>
  <si>
    <t>1.5.9</t>
  </si>
  <si>
    <t>1.5.10</t>
  </si>
  <si>
    <t>1.5.11</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</si>
  <si>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</si>
  <si>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</si>
  <si>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</si>
  <si>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</si>
  <si>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</si>
  <si>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</si>
  <si>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</si>
  <si>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</si>
  <si>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</si>
  <si>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</si>
  <si>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</si>
  <si>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</si>
  <si>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</si>
  <si>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</si>
  <si>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</si>
  <si>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</si>
  <si>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</si>
  <si>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</si>
  <si>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</si>
  <si>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</si>
  <si>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</si>
  <si>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</si>
  <si>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</si>
  <si>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</si>
  <si>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</si>
  <si>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</si>
  <si>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</si>
  <si>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</si>
  <si>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</si>
  <si>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</si>
  <si>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</si>
  <si>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</si>
  <si>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</si>
  <si>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</si>
  <si>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</si>
  <si>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</si>
  <si>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</si>
  <si>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</si>
  <si>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</si>
  <si>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1.7.1</t>
  </si>
  <si>
    <t>1.7.2</t>
  </si>
  <si>
    <t>1.7.3</t>
  </si>
  <si>
    <t>1.7.4</t>
  </si>
  <si>
    <t>1.8.1</t>
  </si>
  <si>
    <t>1.8.2</t>
  </si>
  <si>
    <t>1.8.3</t>
  </si>
  <si>
    <t>1.8.4</t>
  </si>
  <si>
    <t>1.8.5</t>
  </si>
  <si>
    <t>1.8.6</t>
  </si>
  <si>
    <t>1.8.7</t>
  </si>
  <si>
    <t>1.8.8</t>
  </si>
  <si>
    <t>1.8.9</t>
  </si>
  <si>
    <t>1.8.10</t>
  </si>
  <si>
    <t>1.8.11</t>
  </si>
  <si>
    <t>1.8.12</t>
  </si>
  <si>
    <t>1.8.13</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</si>
  <si>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</si>
  <si>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</si>
  <si>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</si>
  <si>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</si>
  <si>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</si>
  <si>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</si>
  <si>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</si>
  <si>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</si>
  <si>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</si>
  <si>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</si>
  <si>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</si>
  <si>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</si>
  <si>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</si>
  <si>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</si>
  <si>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</si>
  <si>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</si>
  <si>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</si>
  <si>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</si>
  <si>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</si>
  <si>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</si>
  <si>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</si>
  <si>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</si>
  <si>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</si>
  <si>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</si>
  <si>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</si>
  <si>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</si>
  <si>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</si>
  <si>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</si>
  <si>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</si>
  <si>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</si>
  <si>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</si>
  <si>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</si>
  <si>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</si>
  <si>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</si>
  <si>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</si>
  <si>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</si>
  <si>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</si>
  <si>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</si>
  <si>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</si>
  <si>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</si>
  <si>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</si>
  <si>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</si>
  <si>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</si>
  <si>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</si>
  <si>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</si>
  <si>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</si>
  <si>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</si>
  <si>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</si>
  <si>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</si>
  <si>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</si>
  <si>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</si>
  <si>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</si>
  <si>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</si>
  <si>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</si>
  <si>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</si>
  <si>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</si>
  <si>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</si>
  <si>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</si>
  <si>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</si>
  <si>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</si>
  <si>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</si>
  <si>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</si>
  <si>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</si>
  <si>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</si>
  <si>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</si>
  <si>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</si>
  <si>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</si>
  <si>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</si>
  <si>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</si>
  <si>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</si>
  <si>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</si>
  <si>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</si>
  <si>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</si>
  <si>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</si>
  <si>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</si>
  <si>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</si>
  <si>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</si>
  <si>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</si>
  <si>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</si>
  <si>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</si>
  <si>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</si>
  <si>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</si>
  <si>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</si>
  <si>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</si>
  <si>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</si>
  <si>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</si>
  <si>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</si>
  <si>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</si>
  <si>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</si>
  <si>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</si>
  <si>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</si>
  <si>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1.11.1</t>
  </si>
  <si>
    <t>1.11.2</t>
  </si>
  <si>
    <t>1.11.3</t>
  </si>
  <si>
    <t>1.11.4</t>
  </si>
  <si>
    <t>1.11.5</t>
  </si>
  <si>
    <t>1.11.6</t>
  </si>
  <si>
    <t>1.11.7</t>
  </si>
  <si>
    <t>1.11.8</t>
  </si>
  <si>
    <t>1.11.9</t>
  </si>
  <si>
    <t>1.11.10</t>
  </si>
  <si>
    <t>1.11.11</t>
  </si>
  <si>
    <t>1.11.13</t>
  </si>
  <si>
    <t>1.11.14</t>
  </si>
  <si>
    <t>1.11.15</t>
  </si>
  <si>
    <t>1.11.16</t>
  </si>
  <si>
    <t>1.11.17</t>
  </si>
  <si>
    <t>1.11.18</t>
  </si>
  <si>
    <t>1.11.19</t>
  </si>
  <si>
    <t>1.11.20</t>
  </si>
  <si>
    <t>1.11.21</t>
  </si>
  <si>
    <t>1.11.22</t>
  </si>
  <si>
    <t>1.11.23</t>
  </si>
  <si>
    <t>1.11.24</t>
  </si>
  <si>
    <t>1.11.25</t>
  </si>
  <si>
    <t>1.11.26</t>
  </si>
  <si>
    <t>1.11.27</t>
  </si>
  <si>
    <t>1.11.28</t>
  </si>
  <si>
    <t>1.12.1</t>
  </si>
  <si>
    <t>1.12.2</t>
  </si>
  <si>
    <t>1.12.3</t>
  </si>
  <si>
    <t>1.12.4</t>
  </si>
  <si>
    <t>1.14.1</t>
  </si>
  <si>
    <t>1.14.2</t>
  </si>
  <si>
    <t>1.14.3</t>
  </si>
  <si>
    <t>1.14.4</t>
  </si>
  <si>
    <t>1.14.5</t>
  </si>
  <si>
    <t>1.14.6</t>
  </si>
  <si>
    <t>1.14.7</t>
  </si>
  <si>
    <t>1.14.8</t>
  </si>
  <si>
    <t>1.14.9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</si>
  <si>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</si>
  <si>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</si>
  <si>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</si>
  <si>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</si>
  <si>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</si>
  <si>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</si>
  <si>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</si>
  <si>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</si>
  <si>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</si>
  <si>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</si>
  <si>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</si>
  <si>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</si>
  <si>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</si>
  <si>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</si>
  <si>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</si>
  <si>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</si>
  <si>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</si>
  <si>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</si>
  <si>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</si>
  <si>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</si>
  <si>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</si>
  <si>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</si>
  <si>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</si>
  <si>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</si>
  <si>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</si>
  <si>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</si>
  <si>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</si>
  <si>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</si>
  <si>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</si>
  <si>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</si>
  <si>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1.15.1</t>
  </si>
  <si>
    <t>1.15.2</t>
  </si>
  <si>
    <t>1.15.3</t>
  </si>
  <si>
    <t>1.15.4</t>
  </si>
  <si>
    <t>1.15.5</t>
  </si>
  <si>
    <t>1.15.6</t>
  </si>
  <si>
    <t>1.15.7</t>
  </si>
  <si>
    <t>1.15.8</t>
  </si>
  <si>
    <t>1.15.9</t>
  </si>
  <si>
    <t>1.15.10</t>
  </si>
  <si>
    <t>1.15.11</t>
  </si>
  <si>
    <t>1.15.12</t>
  </si>
  <si>
    <t>1.15.13</t>
  </si>
  <si>
    <t>1.15.15</t>
  </si>
  <si>
    <t>1.15.16</t>
  </si>
  <si>
    <t>1.15.17</t>
  </si>
  <si>
    <t>1.15.18</t>
  </si>
  <si>
    <t>1.15.19</t>
  </si>
  <si>
    <t>1.15.20</t>
  </si>
  <si>
    <t>1.15.21</t>
  </si>
  <si>
    <t>1.15.22</t>
  </si>
  <si>
    <t>1.15.23</t>
  </si>
  <si>
    <t>1.15.24</t>
  </si>
  <si>
    <t>1.15.25</t>
  </si>
  <si>
    <t>1.15.26</t>
  </si>
  <si>
    <t>1.15.27</t>
  </si>
  <si>
    <t>1.15.28</t>
  </si>
  <si>
    <t>1.15.29</t>
  </si>
  <si>
    <t>1.15.30</t>
  </si>
  <si>
    <t>1.15.31</t>
  </si>
  <si>
    <r>
      <t>ELETROCALHA C/VIROLA "C" EM CHAPA DE AÇO PERFURADO, CH#18 MSG, Ref.: MAX.EPU-PGF, NBR-7008, DIM.</t>
    </r>
    <r>
      <rPr>
        <b/>
        <sz val="8"/>
        <rFont val="Arial"/>
        <family val="2"/>
      </rPr>
      <t>150x100mm</t>
    </r>
    <r>
      <rPr>
        <sz val="8"/>
        <rFont val="Arial"/>
        <family val="2"/>
      </rPr>
      <t>, FAB. MAXTIL, VALEMAM, CARMEHIL</t>
    </r>
  </si>
  <si>
    <r>
      <t xml:space="preserve">PORCA SEXTAVADA Ref.AF.PS E ARRUELA LISA Ref.AF.AL </t>
    </r>
    <r>
      <rPr>
        <sz val="8"/>
        <rFont val="Calibri"/>
        <family val="2"/>
      </rPr>
      <t xml:space="preserve">Ф </t>
    </r>
    <r>
      <rPr>
        <sz val="8"/>
        <rFont val="Arial"/>
        <family val="2"/>
      </rPr>
      <t>1/4", FAB. MAXTIL, VALEMAM, CARMEHIL</t>
    </r>
  </si>
  <si>
    <r>
      <t xml:space="preserve">VERGALHÃO (TIRANTE) AÇO GALVANIZADO, ROSCA TOTAL </t>
    </r>
    <r>
      <rPr>
        <sz val="8"/>
        <rFont val="Calibri"/>
        <family val="2"/>
      </rPr>
      <t xml:space="preserve">Ф </t>
    </r>
    <r>
      <rPr>
        <sz val="8"/>
        <rFont val="Arial"/>
        <family val="2"/>
      </rPr>
      <t>1/4", Ref. MAX.AF.BR.1/4, FAB. MAXTIL, VALEMAM</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</si>
  <si>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1x4mm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</si>
  <si>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1x6mm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</si>
  <si>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1x10mm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</si>
  <si>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1x16mm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</si>
  <si>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1x25mm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</si>
  <si>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1x35mm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</si>
  <si>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1x50mm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</si>
  <si>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1x70mm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</si>
  <si>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1x95mm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</si>
  <si>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1x120mm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</si>
  <si>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VERDE </t>
    </r>
    <r>
      <rPr>
        <b/>
        <sz val="8"/>
        <rFont val="Arial"/>
        <family val="2"/>
      </rPr>
      <t>1x240mm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</si>
  <si>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PRETO </t>
    </r>
    <r>
      <rPr>
        <b/>
        <sz val="8"/>
        <rFont val="Arial"/>
        <family val="2"/>
      </rPr>
      <t>1x2,5mm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</si>
  <si>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COR PRETO </t>
    </r>
    <r>
      <rPr>
        <b/>
        <sz val="8"/>
        <rFont val="Arial"/>
        <family val="2"/>
      </rPr>
      <t>1x4mm</t>
    </r>
    <r>
      <rPr>
        <b/>
        <vertAlign val="superscript"/>
        <sz val="8"/>
        <rFont val="Arial"/>
        <family val="2"/>
      </rPr>
      <t xml:space="preserve">2 </t>
    </r>
    <r>
      <rPr>
        <sz val="8"/>
        <rFont val="Arial"/>
        <family val="2"/>
      </rPr>
      <t>FAB. PRYSMIAN (Afumex), NEXANS (Afitox)</t>
    </r>
  </si>
  <si>
    <r>
      <t>CABO UNIPOLAR ISOL. 0,6/1KV / HEPR 90</t>
    </r>
    <r>
      <rPr>
        <vertAlign val="superscript"/>
        <sz val="8"/>
        <rFont val="Arial"/>
        <family val="2"/>
      </rPr>
      <t>o</t>
    </r>
    <r>
      <rPr>
        <sz val="8"/>
        <rFont val="Arial"/>
        <family val="2"/>
      </rPr>
      <t>C, CL.4, NBR-13248, COR PRETO, 1x10mm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</si>
  <si>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1x25mm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</si>
  <si>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1x35mm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</si>
  <si>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1x50mm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</si>
  <si>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1x70mm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</si>
  <si>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1x95mm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</si>
  <si>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1x120mm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</si>
  <si>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1x150mm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</si>
  <si>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1x185mm</t>
    </r>
    <r>
      <rPr>
        <vertAlign val="superscript"/>
        <sz val="8"/>
        <rFont val="Arial"/>
        <family val="2"/>
      </rPr>
      <t>2</t>
    </r>
    <r>
      <rPr>
        <sz val="8"/>
        <rFont val="Arial"/>
        <family val="2"/>
      </rPr>
      <t xml:space="preserve"> SUPERATOX, FAB. COBRECOM</t>
    </r>
  </si>
  <si>
    <r>
      <t>CABO UNIPOLAR ISOL. 0,6/1KV / HEPR 90</t>
    </r>
    <r>
      <rPr>
        <vertAlign val="superscript"/>
        <sz val="8"/>
        <rFont val="Arial"/>
        <family val="2"/>
      </rPr>
      <t>o</t>
    </r>
    <r>
      <rPr>
        <sz val="8"/>
        <rFont val="Arial"/>
        <family val="2"/>
      </rPr>
      <t>C, CL.4, NBR-13248, COR PRETO, 1x240mm</t>
    </r>
    <r>
      <rPr>
        <vertAlign val="superscript"/>
        <sz val="8"/>
        <rFont val="Arial"/>
        <family val="2"/>
      </rPr>
      <t>2</t>
    </r>
    <r>
      <rPr>
        <sz val="8"/>
        <rFont val="Arial"/>
        <family val="2"/>
      </rPr>
      <t xml:space="preserve"> SUPERATOX, FAB. COBRECOM</t>
    </r>
  </si>
  <si>
    <r>
      <t>CABO PP FLEX ISOL. 450/750V / PVC 70</t>
    </r>
    <r>
      <rPr>
        <vertAlign val="superscript"/>
        <sz val="8"/>
        <rFont val="Arial"/>
        <family val="2"/>
      </rPr>
      <t>o</t>
    </r>
    <r>
      <rPr>
        <sz val="8"/>
        <rFont val="Arial"/>
        <family val="2"/>
      </rPr>
      <t>C, CL.5, NBR-NM247-5, 2x1,5mm</t>
    </r>
    <r>
      <rPr>
        <vertAlign val="superscript"/>
        <sz val="8"/>
        <rFont val="Arial"/>
        <family val="2"/>
      </rPr>
      <t xml:space="preserve">2 </t>
    </r>
    <r>
      <rPr>
        <sz val="8"/>
        <rFont val="Arial"/>
        <family val="2"/>
      </rPr>
      <t>FAB. PRYSMIAN, NEXANS</t>
    </r>
  </si>
  <si>
    <r>
      <t>CABO PP FLEX ISOL. 450/750V / PVC 70</t>
    </r>
    <r>
      <rPr>
        <vertAlign val="superscript"/>
        <sz val="8"/>
        <rFont val="Arial"/>
        <family val="2"/>
      </rPr>
      <t>o</t>
    </r>
    <r>
      <rPr>
        <sz val="8"/>
        <rFont val="Arial"/>
        <family val="2"/>
      </rPr>
      <t>C, CL.5, NBR-NM247-5, 4x1,5mm</t>
    </r>
    <r>
      <rPr>
        <vertAlign val="superscript"/>
        <sz val="8"/>
        <rFont val="Arial"/>
        <family val="2"/>
      </rPr>
      <t xml:space="preserve">2 </t>
    </r>
    <r>
      <rPr>
        <sz val="8"/>
        <rFont val="Arial"/>
        <family val="2"/>
      </rPr>
      <t>FAB. PRYSMIAN, NEXANS</t>
    </r>
  </si>
  <si>
    <r>
      <t>CABO UNIPOLAR ISOL. 450/750V COMPOSTO NÃO HALOGENADO 70</t>
    </r>
    <r>
      <rPr>
        <vertAlign val="superscript"/>
        <sz val="8"/>
        <rFont val="Arial"/>
        <family val="2"/>
      </rPr>
      <t>o</t>
    </r>
    <r>
      <rPr>
        <sz val="8"/>
        <rFont val="Arial"/>
        <family val="2"/>
      </rPr>
      <t xml:space="preserve">C, FLEX CL.5, NBR-13248, </t>
    </r>
    <r>
      <rPr>
        <b/>
        <sz val="8"/>
        <rFont val="Arial"/>
        <family val="2"/>
      </rPr>
      <t>1x2,5mm</t>
    </r>
    <r>
      <rPr>
        <b/>
        <vertAlign val="superscript"/>
        <sz val="8"/>
        <rFont val="Arial"/>
        <family val="2"/>
      </rPr>
      <t xml:space="preserve">2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</si>
  <si>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t>
    </r>
    <r>
      <rPr>
        <b/>
        <sz val="8"/>
        <rFont val="Arial"/>
        <family val="2"/>
      </rPr>
      <t>1x4mm</t>
    </r>
    <r>
      <rPr>
        <b/>
        <vertAlign val="superscript"/>
        <sz val="8"/>
        <rFont val="Arial"/>
        <family val="2"/>
      </rPr>
      <t>2</t>
    </r>
    <r>
      <rPr>
        <vertAlign val="superscript"/>
        <sz val="8"/>
        <rFont val="Arial"/>
        <family val="2"/>
      </rPr>
      <t xml:space="preserve">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</si>
  <si>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t>
    </r>
    <r>
      <rPr>
        <b/>
        <sz val="8"/>
        <rFont val="Arial"/>
        <family val="2"/>
      </rPr>
      <t>1x10mm</t>
    </r>
    <r>
      <rPr>
        <b/>
        <vertAlign val="superscript"/>
        <sz val="8"/>
        <rFont val="Arial"/>
        <family val="2"/>
      </rPr>
      <t>2</t>
    </r>
    <r>
      <rPr>
        <vertAlign val="superscript"/>
        <sz val="8"/>
        <rFont val="Arial"/>
        <family val="2"/>
      </rPr>
      <t xml:space="preserve">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</si>
  <si>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t>
    </r>
    <r>
      <rPr>
        <b/>
        <sz val="8"/>
        <rFont val="Arial"/>
        <family val="2"/>
      </rPr>
      <t>1x16mm</t>
    </r>
    <r>
      <rPr>
        <b/>
        <vertAlign val="superscript"/>
        <sz val="8"/>
        <rFont val="Arial"/>
        <family val="2"/>
      </rPr>
      <t>2</t>
    </r>
    <r>
      <rPr>
        <vertAlign val="superscript"/>
        <sz val="8"/>
        <rFont val="Arial"/>
        <family val="2"/>
      </rPr>
      <t xml:space="preserve"> </t>
    </r>
    <r>
      <rPr>
        <sz val="8"/>
        <rFont val="Arial"/>
        <family val="2"/>
      </rPr>
      <t>FAB. PRYSMIAN (Afumex), NEXANS (Afitox)</t>
    </r>
  </si>
  <si>
    <r>
      <t>CABO UNIPOLAR ISOL. 450/750V COMPOSTO NÃO HALOGENADO 70</t>
    </r>
    <r>
      <rPr>
        <vertAlign val="superscript"/>
        <sz val="8"/>
        <rFont val="Arial"/>
        <family val="2"/>
      </rPr>
      <t>o</t>
    </r>
    <r>
      <rPr>
        <sz val="8"/>
        <rFont val="Arial"/>
        <family val="2"/>
      </rPr>
      <t xml:space="preserve">C, FLEX CL.5, NBR-13248, </t>
    </r>
    <r>
      <rPr>
        <b/>
        <sz val="8"/>
        <rFont val="Arial"/>
        <family val="2"/>
      </rPr>
      <t>1x6mm</t>
    </r>
    <r>
      <rPr>
        <b/>
        <vertAlign val="superscript"/>
        <sz val="8"/>
        <rFont val="Arial"/>
        <family val="2"/>
      </rPr>
      <t>2</t>
    </r>
    <r>
      <rPr>
        <vertAlign val="superscript"/>
        <sz val="8"/>
        <rFont val="Arial"/>
        <family val="2"/>
      </rPr>
      <t xml:space="preserve"> </t>
    </r>
    <r>
      <rPr>
        <sz val="8"/>
        <rFont val="Arial"/>
        <family val="2"/>
      </rPr>
      <t>FAB. PRYSMIAN (Afumex), NEXANS (Afitox)</t>
    </r>
  </si>
  <si>
    <r>
      <t>CABO UNIPOLAR ISOL. 0,6/1KV / HEPR 90</t>
    </r>
    <r>
      <rPr>
        <vertAlign val="superscript"/>
        <sz val="8"/>
        <rFont val="Arial"/>
        <family val="2"/>
      </rPr>
      <t>o</t>
    </r>
    <r>
      <rPr>
        <sz val="8"/>
        <rFont val="Arial"/>
        <family val="2"/>
      </rPr>
      <t>C, CL.4, NBR-13248, COR PRETO, 1x2,5mm</t>
    </r>
    <r>
      <rPr>
        <vertAlign val="superscript"/>
        <sz val="8"/>
        <rFont val="Arial"/>
        <family val="2"/>
      </rPr>
      <t>2</t>
    </r>
    <r>
      <rPr>
        <sz val="8"/>
        <rFont val="Arial"/>
        <family val="2"/>
      </rPr>
      <t xml:space="preserve"> SUPERATOX, FAB. COBRECOM</t>
    </r>
  </si>
  <si>
    <r>
      <t>CABO PP FLEX ISOL. 450/750V / PVC 70</t>
    </r>
    <r>
      <rPr>
        <vertAlign val="superscript"/>
        <sz val="8"/>
        <rFont val="Arial"/>
        <family val="2"/>
      </rPr>
      <t>o</t>
    </r>
    <r>
      <rPr>
        <sz val="8"/>
        <rFont val="Arial"/>
        <family val="2"/>
      </rPr>
      <t>C, CL.5, NBR-NM247-5, 3x1,5mm</t>
    </r>
    <r>
      <rPr>
        <vertAlign val="superscript"/>
        <sz val="8"/>
        <rFont val="Arial"/>
        <family val="2"/>
      </rPr>
      <t xml:space="preserve">2 </t>
    </r>
    <r>
      <rPr>
        <sz val="8"/>
        <rFont val="Arial"/>
        <family val="2"/>
      </rPr>
      <t>FAB. PRYSMIAN, NEXANS</t>
    </r>
  </si>
  <si>
    <r>
      <t>ELETROCALHA C/VIROLA "C" EM CHAPA DE AÇO PERFURADO, CH#18 MSG, Ref.: MAX.EPU-PGF, NBR-7008, DIM.</t>
    </r>
    <r>
      <rPr>
        <b/>
        <sz val="8"/>
        <rFont val="Arial"/>
        <family val="2"/>
      </rPr>
      <t>200x100mm</t>
    </r>
    <r>
      <rPr>
        <sz val="8"/>
        <rFont val="Arial"/>
        <family val="2"/>
      </rPr>
      <t>, FAB. MAXTIL, VALEMAM, CARMEHIL</t>
    </r>
  </si>
  <si>
    <t>CABOS ALIMENTADORES DO QF-ELEV. 11 (FUTURO)</t>
  </si>
  <si>
    <t>Infraestrutura de Eletrodutos e Perfis</t>
  </si>
  <si>
    <t>4.1.1</t>
  </si>
  <si>
    <t>4.1.2</t>
  </si>
  <si>
    <t>4.1.3</t>
  </si>
  <si>
    <t>4.1.4</t>
  </si>
  <si>
    <t>4.1.5</t>
  </si>
  <si>
    <t>4.1.6</t>
  </si>
  <si>
    <t>4.1.7</t>
  </si>
  <si>
    <t>4.1.8</t>
  </si>
  <si>
    <t>4.1.9</t>
  </si>
  <si>
    <t>4.1.10</t>
  </si>
  <si>
    <t>4.1.11</t>
  </si>
  <si>
    <t>4.1.12</t>
  </si>
  <si>
    <t>4.1.13</t>
  </si>
  <si>
    <t>4.1.14</t>
  </si>
  <si>
    <t>4.1.15</t>
  </si>
  <si>
    <t>4.1.16</t>
  </si>
  <si>
    <t>4.1.17</t>
  </si>
  <si>
    <t>4.1.18</t>
  </si>
  <si>
    <t>4.1.19</t>
  </si>
  <si>
    <t>4.1.20</t>
  </si>
  <si>
    <t>4.1.21</t>
  </si>
  <si>
    <t>Centrais e Acionadores</t>
  </si>
  <si>
    <t xml:space="preserve">PLACA CEGA 4" x 4" C/SUPORTE, PIAL PLUS, SIEMENS, PRIME </t>
  </si>
  <si>
    <t>QUADRO SISTEMA DVI, DISTRIBUIÇÃO DE VOZ E DADOS, SEM EQUIPAMENTOS, DIM. 20x20cm EMBUTIR, FAB. TIGRE</t>
  </si>
  <si>
    <t>4.2.1</t>
  </si>
  <si>
    <t>4.2.2</t>
  </si>
  <si>
    <t>4.2.3</t>
  </si>
  <si>
    <t>4.2.4</t>
  </si>
  <si>
    <t>4.2.5</t>
  </si>
  <si>
    <t>4.2.6</t>
  </si>
  <si>
    <t>4.2.7</t>
  </si>
  <si>
    <t>4.1.22</t>
  </si>
  <si>
    <t>4.1.23</t>
  </si>
  <si>
    <t>4.1.24</t>
  </si>
  <si>
    <t>OBS.:</t>
  </si>
  <si>
    <t>INST. SISTEMA DE SONORIZAÇÃO</t>
  </si>
  <si>
    <t>INST. SISTEMA DE CHAMADA DE ENFERMAGEM</t>
  </si>
  <si>
    <t>INST. SISTEMA DE CONTROLE ACESSO + CFTV</t>
  </si>
  <si>
    <t>Equipamentos</t>
  </si>
  <si>
    <t>3.2.1</t>
  </si>
  <si>
    <t>3.2.2</t>
  </si>
  <si>
    <t>3.2.3</t>
  </si>
  <si>
    <t>3.2.4</t>
  </si>
  <si>
    <t>3.2.5</t>
  </si>
  <si>
    <t>3.2.6</t>
  </si>
  <si>
    <t>3.2.7</t>
  </si>
  <si>
    <t>3.3.</t>
  </si>
  <si>
    <t>3.3.1</t>
  </si>
  <si>
    <t>3.2.8</t>
  </si>
  <si>
    <t>3.2.9</t>
  </si>
  <si>
    <t>3.2.10</t>
  </si>
  <si>
    <t>CONECTOR DE DERIVAÇÃO ISOLADO PARA EMENDA CABOS 0,5 a 6mm TAPLINK</t>
  </si>
  <si>
    <t>3.1.1</t>
  </si>
  <si>
    <t>3.1.2</t>
  </si>
  <si>
    <t>3.1.3</t>
  </si>
  <si>
    <t>3.1.4</t>
  </si>
  <si>
    <t>3.1.5</t>
  </si>
  <si>
    <t>3.1.6</t>
  </si>
  <si>
    <t>3.1.7</t>
  </si>
  <si>
    <t>3.1.8</t>
  </si>
  <si>
    <t>3.1.9</t>
  </si>
  <si>
    <t>3.1.10</t>
  </si>
  <si>
    <t>3.1.11</t>
  </si>
  <si>
    <t>3.1.12</t>
  </si>
  <si>
    <t>3.1.13</t>
  </si>
  <si>
    <t>3.1.14</t>
  </si>
  <si>
    <t>3.1.15</t>
  </si>
  <si>
    <t>3.3.2</t>
  </si>
  <si>
    <t>3.1.16</t>
  </si>
  <si>
    <t>ESTE SISTEMA COMPARTILHA AS ELETROCALHAS DO SISTEMA DE CABEAMENTO ESTRUTURADO</t>
  </si>
  <si>
    <t>3.1.17</t>
  </si>
  <si>
    <t>3.1.18</t>
  </si>
  <si>
    <t>FIO PARALELO BICOLOR (PT/VM) 2x2,5mm2 PARA SONORIZAÇÃO, FAB. CONDUTTI</t>
  </si>
  <si>
    <t>FIO PARALELO BICOLOR (PT/VM) 2x1,0mm2 PARA SONORIZAÇÃO, FAB. CONDUTTI</t>
  </si>
  <si>
    <t>FIO PARALELO BICOLOR (PT/VM) 2x0,5mm2 PARA SONORIZAÇÃO, FAB. CONDUTTI</t>
  </si>
  <si>
    <t>SMART SWITCH T1600G - 28PS  (TL-SG2424P)</t>
  </si>
  <si>
    <t>3.2.11</t>
  </si>
  <si>
    <t>3.2.12</t>
  </si>
  <si>
    <t>3.2.13</t>
  </si>
  <si>
    <t>3.2.14</t>
  </si>
  <si>
    <t>3.2.15</t>
  </si>
  <si>
    <t>3.1.19</t>
  </si>
  <si>
    <t>3.1.20</t>
  </si>
  <si>
    <t>3.1.21</t>
  </si>
  <si>
    <t>CAIXA DE PASSAGEM METÁLICA, EMBUTIR CH.#22, C/TAMPA PARAFUSADA, 150 X 150 X 100mm, FAB. CARMEHIL, TECNELSA</t>
  </si>
  <si>
    <t>CAIXA DE PASSAGEM METÁLICA, SOBREPOR CH.#22, C/TAMPA PARAFUSADA, 150 X 150 X 100mm, FAB. CARMEHIL, TECNELSA</t>
  </si>
  <si>
    <t>3.1.22</t>
  </si>
  <si>
    <t>3.1.23</t>
  </si>
  <si>
    <t>3.3.3</t>
  </si>
  <si>
    <t>3.3.4</t>
  </si>
  <si>
    <t>3.3.5</t>
  </si>
  <si>
    <t xml:space="preserve">CABOS DE ÁUDIO POLARIZADOS COM DOIS CONDUTORES INTERNOS (MALHA TRANÇADA) 2x0,40mm2, FAB. TIAFLEX, PRYSMIAN </t>
  </si>
  <si>
    <t>Tomadas e Conectores</t>
  </si>
  <si>
    <t>DIVISOR DE SINAL BLINDADO PARA TV COM 02 SAÍDAS 1X2 MOD. 1012-E, FAB. THEVEAR, WADT</t>
  </si>
  <si>
    <t>DIVISOR DE SINAL BLINDADO PARA TV COM 03 SAÍDAS 1X3 MOD. 1011-E, FAB. THEVEAR, WADT</t>
  </si>
  <si>
    <t>DIVISOR DE SINAL BLINDADO PARA TV COM 04 SAÍDAS 1X4 MOD. 1010-E, FAB. THEVEAR, WADT</t>
  </si>
  <si>
    <t>TOMADA P/TV CORPORATIVA 1xMOD.F 970-E + SUPORTE, ESPELHO 4x2 - FAB. PIAL / THEVEAR</t>
  </si>
  <si>
    <r>
      <t>TOMADA P/TV DIGITAL + TV POR ASSINATURA 2xMOD.F 970-E + SUPORTE, ESPELHO</t>
    </r>
    <r>
      <rPr>
        <b/>
        <sz val="8"/>
        <rFont val="Arial"/>
        <family val="2"/>
      </rPr>
      <t xml:space="preserve"> </t>
    </r>
    <r>
      <rPr>
        <sz val="8"/>
        <rFont val="Arial"/>
        <family val="2"/>
      </rPr>
      <t>4x2 - FAB. PIAL / THEVEAR</t>
    </r>
  </si>
  <si>
    <t>TOMADA P/TV DIGITAL 1xMOD.F 970-E + SUPORTE, ESPELHO 4x2 - FAB. PIAL / THEVEAR</t>
  </si>
  <si>
    <t>TOMADA P/TV DIGITAL + CHAMADA SENHA 2xMOD.F 970-E + SUPORTE, ESPELHO 4x2 - FAB. PIAL / THEVEAR</t>
  </si>
  <si>
    <r>
      <t xml:space="preserve">TOTEM P/TV DIGITAL + CHAMADA SENHA 2xMOD.F 970-E + SUPORTE, ESPELHO CAIXA </t>
    </r>
    <r>
      <rPr>
        <sz val="8"/>
        <color indexed="10"/>
        <rFont val="Arial"/>
        <family val="2"/>
      </rPr>
      <t>4x2 NO PISO</t>
    </r>
    <r>
      <rPr>
        <sz val="8"/>
        <rFont val="Arial"/>
        <family val="2"/>
      </rPr>
      <t xml:space="preserve"> - FAB. WETZEL / THEVEAR</t>
    </r>
  </si>
  <si>
    <t>CABO DE SINAL TIPO COAXIAL RF 75 OHMS,  MALHA 99%, FAB. CONDUTTI, KMP</t>
  </si>
  <si>
    <t>CABO HDMI</t>
  </si>
  <si>
    <t>SPLITTER DISTRIBUIDOR HDMI 1x4 FULL HD, COM FONTE</t>
  </si>
  <si>
    <t>CARGA DE LINHA 75 OHMS COM CONETOR F-MACHO, MOD. FT-75, FAB. SEGCONECT</t>
  </si>
  <si>
    <t>6.1.1</t>
  </si>
  <si>
    <t>6.1.2</t>
  </si>
  <si>
    <t>6.1.3</t>
  </si>
  <si>
    <t>6.1.4</t>
  </si>
  <si>
    <t>6.1.5</t>
  </si>
  <si>
    <t>6.1.6</t>
  </si>
  <si>
    <t>INSTALAÇÕES DE REDE ESTRUTURADA</t>
  </si>
  <si>
    <t>TAMPA DE PRESSÃO C/REFORÇO EM CHAPA DE AÇO LISA, CH#18 MSG, Ref.: MAX.ET.PP-GF, NBR-7008, P/ELETROCALHA 300mm, FAB. MAXTIL, VALEMAM, CARMEHIL</t>
  </si>
  <si>
    <t xml:space="preserve">CURVA HORIZONTAL 90o EM CHAPA DE AÇO LISA, CH#18 MSG, Ref.: MAX.EL.CH9JI-PGF, NBR-7008, P/ELETROCALHA 300x150mm, FAB. MAXTIL, VALEMAN, CARMEHIL     </t>
  </si>
  <si>
    <t xml:space="preserve">CURVA DE INVERSÃO EM CHAPA DE AÇO LISA, CH#18 MSG, Ref.: MAX.EL.CE9JI-PGF, NBR-7008, P/ELETROCALHA 300x150mm, FAB. MAXTIL, VALEMAM, CARMEHIL     </t>
  </si>
  <si>
    <t xml:space="preserve">TE HORIZONTAL 90o EM CHAPA DE AÇO LISA, CH#18 MSG, Ref.: MAX.EL.TRJI-PGF, NBR-7008, P/ELETROCALHA 300x150mm, FAB. MAXTIL, VALEMAM, CARMEHIL     </t>
  </si>
  <si>
    <t xml:space="preserve">FLANGE P/PAINEL EM CHAPA DE AÇO LISA, CH#18 MSG, Ref.: MAX.E.ACO-PGF, NBR-7008, P/ELETROCALHA 300x150mm, FAB. MAXTIL, VALEMAM, CARMEHIL     </t>
  </si>
  <si>
    <t xml:space="preserve">CURVA HORIZONTAL 90o EM CHAPA DE AÇO LISA, CH#18 MSG, Ref.: MAX.EL.CH9JI-PGF, NBR-7008, P/ELETROCALHA 150x150mm, FAB. MAXTIL, VALEMAN, CARMEHIL     </t>
  </si>
  <si>
    <t xml:space="preserve">TE HORIZONTAL 90o EM CHAPA DE AÇO LISA, CH#18 MSG, Ref.: MAX.EL.TRJI-PGF, NBR-7008, P/ELETROCALHA 150x150mm, FAB. MAXTIL, VALEMAM, CARMEHIL     </t>
  </si>
  <si>
    <t>SUSPENSÃO VERTICAL TIPO "B" EM CHAPA DE AÇO LISA, CH#18 MSG, C/02 FUROS, Ref.: MAX.E.SV-PGF, NBR-7008, P/ELETROCALHA 150x150mm, FAB. MAXTIL, VALEMAM, CARMEHIL</t>
  </si>
  <si>
    <t>CAIXA DE PASSAGEM METÁLICA, SOBREPOR CH.#22, C/TAMPA PARAFUSADA, 200 X 200 X 100mm, FAB. CARMEHIL, TECNELSA</t>
  </si>
  <si>
    <t>TOMADA DE PISO SIMPLES 1xRJ-45 CAT.6 REF.: 35060601 EM PLACA 4" x 2" TP-04.45 C/SUPORTE, FAB. FURUKAWA, TRAMONTINA</t>
  </si>
  <si>
    <t>PORTA EQUIPAMENTOS ALTO DT 51130.00 SIMPLES 1xRJ-45 CAT.6, REF.: 35060601, FAB. FURUKAWA, DUTOTEC</t>
  </si>
  <si>
    <t>PORTA EQUIPAMENTOS ALTO DT 51130.00 DUPLO 2xRJ-45 CAT.6, REF.: 35060601, FAB. FURUKAWA, DUTOTEC</t>
  </si>
  <si>
    <t>2.3.1</t>
  </si>
  <si>
    <t>2.3.2</t>
  </si>
  <si>
    <t>2.3.3</t>
  </si>
  <si>
    <t>2.3.4</t>
  </si>
  <si>
    <t>2.3.5</t>
  </si>
  <si>
    <t>2.3.6</t>
  </si>
  <si>
    <t>2.3.7</t>
  </si>
  <si>
    <t>2.3.8</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</si>
  <si>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</si>
  <si>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</si>
  <si>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</si>
  <si>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</si>
  <si>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</si>
  <si>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</si>
  <si>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</si>
  <si>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</si>
  <si>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</si>
  <si>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</si>
  <si>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</si>
  <si>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</si>
  <si>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</si>
  <si>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</si>
  <si>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</si>
  <si>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</si>
  <si>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</si>
  <si>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</si>
  <si>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</si>
  <si>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</si>
  <si>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</si>
  <si>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</si>
  <si>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</si>
  <si>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</si>
  <si>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</si>
  <si>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</si>
  <si>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</si>
  <si>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</si>
  <si>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</si>
  <si>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</si>
  <si>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</si>
  <si>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</si>
  <si>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</si>
  <si>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r>
      <t>ELETROCALHA C/VIROLA "C" EM CHAPA DE AÇO PERFURADO, CH#18 MSG, Ref.: MAX.EPU-PGF, NBR-7008, DIM.</t>
    </r>
    <r>
      <rPr>
        <b/>
        <sz val="8"/>
        <rFont val="Arial"/>
        <family val="2"/>
      </rPr>
      <t>150x150mm</t>
    </r>
    <r>
      <rPr>
        <sz val="8"/>
        <rFont val="Arial"/>
        <family val="2"/>
      </rPr>
      <t>, FAB. MAXTIL, VALEMAM, CARMEHIL</t>
    </r>
  </si>
  <si>
    <r>
      <t>ELETROCALHA C/VIROLA "C" EM CHAPA DE AÇO PERFURADO, CH#18 MSG, Ref.: MAX.EPU-PGF, NBR-7008, DIM.</t>
    </r>
    <r>
      <rPr>
        <b/>
        <sz val="8"/>
        <rFont val="Arial"/>
        <family val="2"/>
      </rPr>
      <t>300x150mm</t>
    </r>
    <r>
      <rPr>
        <sz val="8"/>
        <rFont val="Arial"/>
        <family val="2"/>
      </rPr>
      <t>, FAB. MAXTIL, VALEMAM, CARMEHIL</t>
    </r>
  </si>
  <si>
    <t>CAIXA DE PASSAGEM EM ALVENARIA T2 100x80x120cm C/TAMPA PADRÃO Oi</t>
  </si>
  <si>
    <t>2.3.9</t>
  </si>
  <si>
    <t>2.4.1</t>
  </si>
  <si>
    <t>2.4.2</t>
  </si>
  <si>
    <t>2.4.3</t>
  </si>
  <si>
    <t>2.4.4</t>
  </si>
  <si>
    <r>
      <t xml:space="preserve">DUTO FLEXÍVEL CORRUGADO EM POLIETILENO (PEAD), NBR-15715, C/ARAME PESCA, </t>
    </r>
    <r>
      <rPr>
        <sz val="8"/>
        <rFont val="Calibri"/>
        <family val="2"/>
      </rPr>
      <t>Ф</t>
    </r>
    <r>
      <rPr>
        <sz val="8"/>
        <rFont val="Arial"/>
        <family val="2"/>
      </rPr>
      <t xml:space="preserve"> 2" x 63mm, FAB. NOVOFLEX, KANAFLEX </t>
    </r>
  </si>
  <si>
    <t>QUADRO METÁLICO P/ TELEFONE, EMBUTIR CH.#18, C/PORTA, TRINCO E FUNDO DE MADEIRA, No.7 TELEBRAS, DIM. 1500X1500X150mm, FAB. CARMEHIL, TECNELSA</t>
  </si>
  <si>
    <t>Racks, Quadros e Acessórios</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</si>
  <si>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</si>
  <si>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</si>
  <si>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</si>
  <si>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</si>
  <si>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</si>
  <si>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</si>
  <si>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</si>
  <si>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</si>
  <si>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</si>
  <si>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</si>
  <si>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</si>
  <si>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</si>
  <si>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</si>
  <si>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</si>
  <si>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</si>
  <si>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</si>
  <si>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</si>
  <si>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</si>
  <si>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</si>
  <si>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</si>
  <si>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</si>
  <si>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</si>
  <si>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</si>
  <si>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</si>
  <si>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</si>
  <si>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</si>
  <si>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</si>
  <si>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</si>
  <si>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</si>
  <si>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</si>
  <si>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</si>
  <si>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</si>
  <si>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</si>
  <si>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</si>
  <si>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</si>
  <si>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</si>
  <si>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</si>
  <si>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</si>
  <si>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</si>
  <si>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2.5.1</t>
  </si>
  <si>
    <t>2.5.2</t>
  </si>
  <si>
    <t>2.5.3</t>
  </si>
  <si>
    <t>2.5.4</t>
  </si>
  <si>
    <t>2.5.5</t>
  </si>
  <si>
    <t>2.5.6</t>
  </si>
  <si>
    <t>2.1.40</t>
  </si>
  <si>
    <t>2.5.7</t>
  </si>
  <si>
    <t>2.5.8</t>
  </si>
  <si>
    <t>2.5.9</t>
  </si>
  <si>
    <t>2.5.10</t>
  </si>
  <si>
    <t>2.5.11</t>
  </si>
  <si>
    <t>2.5.12</t>
  </si>
  <si>
    <t>2.5.13</t>
  </si>
  <si>
    <t>2.5.14</t>
  </si>
  <si>
    <t>2.5.15</t>
  </si>
  <si>
    <t>7.1.1</t>
  </si>
  <si>
    <t>7.1.2</t>
  </si>
  <si>
    <t>7.1.3</t>
  </si>
  <si>
    <t>7.1.4</t>
  </si>
  <si>
    <t>7.1.5</t>
  </si>
  <si>
    <t>7.1.6</t>
  </si>
  <si>
    <t>7.1.7</t>
  </si>
  <si>
    <t>7.1.8</t>
  </si>
  <si>
    <t>7.1.9</t>
  </si>
  <si>
    <t>7.1.10</t>
  </si>
  <si>
    <t>7.1.11</t>
  </si>
  <si>
    <t>7.1.12</t>
  </si>
  <si>
    <t>7.1.13</t>
  </si>
  <si>
    <t>ESTE SISTEMA COMPARTILHA AS ELETROCALHAS, ELETRODUTOS E CABOS DO CABEAMENTO ESTRUTURADO</t>
  </si>
  <si>
    <t xml:space="preserve">ESTE SISTEMA COMPARTILHA A FIAÇÃO ELÉTRICA DO SISTEMA NO-BREAK </t>
  </si>
  <si>
    <r>
      <t xml:space="preserve">ELETRODUTO FLEXÍVEL (GARGANTA), TIPO REFORÇADO (450 N/5cm), LARANJA </t>
    </r>
    <r>
      <rPr>
        <sz val="8"/>
        <rFont val="Calibri"/>
        <family val="2"/>
      </rPr>
      <t>Ф</t>
    </r>
    <r>
      <rPr>
        <sz val="8"/>
        <rFont val="Arial"/>
        <family val="2"/>
      </rPr>
      <t xml:space="preserve"> 25mm(3/4"), FAB.TIGRE, AMANCO</t>
    </r>
  </si>
  <si>
    <t>POSTE TELCÔNICO METÁLICO ALTURA ÚTIL 4,0m FLANGEADO COM JANELA DE INSPEÇÃO, FAB. TRÓPICO</t>
  </si>
  <si>
    <t>2.1.41</t>
  </si>
  <si>
    <t>2.1.42</t>
  </si>
  <si>
    <t>2.1.43</t>
  </si>
  <si>
    <t>2.1.44</t>
  </si>
  <si>
    <t>FIO PARALELO BICOLOR (PT/VM) 2x1,5mm2 PARA C.ACESSO, FAB. CONDUTTI</t>
  </si>
  <si>
    <t>2.4.5</t>
  </si>
  <si>
    <t>2.4.6</t>
  </si>
  <si>
    <t>Cabeamento UTP / Óptico</t>
  </si>
  <si>
    <t>7.2</t>
  </si>
  <si>
    <t>7.3</t>
  </si>
  <si>
    <t>7.4</t>
  </si>
  <si>
    <t>INST. HIDRÁULICA (Agua Fria / Água Quente)</t>
  </si>
  <si>
    <t>TUBO PVC SOLDÁVEL, LINHA PREDIAL, NBR-5648, Ф 32mm x 6,0m, FAB. TIGRE, AMANCO</t>
  </si>
  <si>
    <t>TUBO PVC SOLDÁVEL, LINHA PREDIAL, NBR-5648, Ф 40mm x 6,0m, FAB. TIGRE, AMANCO</t>
  </si>
  <si>
    <t>LUVA SIMPLES PVC SOLDÁVEL, P/TUBO Ф 25mm, FAB.AMANCO</t>
  </si>
  <si>
    <t>LUVA SIMPLES PVC SOLDÁVEL, P/TUBO Ф 32mm, FAB.AMANCO</t>
  </si>
  <si>
    <t>LUVA PVC SOLDÁVEL C/BUCHA DE LATÃO Ф 25x3/4", FAB. TIGRE, AMANCO</t>
  </si>
  <si>
    <t>ADAPTADOR PVC SOLDÁVEL COM ANEL P/CAIXA, Ф 40x1.1/4", FAB.TIGRE, AMANCO</t>
  </si>
  <si>
    <t>BASE REGISTRO DE PRESSÃO ROSCA Ф 3/4", REF. 4416.202, FAB. DECA</t>
  </si>
  <si>
    <t>BASE REGISTRO DE GAVETA ROSCA Ф 3/4", REF. 4509.202, FAB. DECA</t>
  </si>
  <si>
    <t>BASE REGISTRO DE GAVETA ROSCA Ф 1", REF. 4509.302, FAB. DECA</t>
  </si>
  <si>
    <t>BASE REGISTRO DE GAVETA ROSCA Ф 1.1/4", REF. 4509.402, FAB. DECA</t>
  </si>
  <si>
    <t>ADESIVO P/PVC, EMBALAGEM 75g, FAB. AMANCO</t>
  </si>
  <si>
    <r>
      <t>TE 90</t>
    </r>
    <r>
      <rPr>
        <vertAlign val="superscript"/>
        <sz val="8"/>
        <rFont val="Arial"/>
        <family val="2"/>
      </rPr>
      <t>o</t>
    </r>
    <r>
      <rPr>
        <sz val="8"/>
        <rFont val="Arial"/>
        <family val="2"/>
      </rPr>
      <t xml:space="preserve"> PVC SOLDÁVEL, C/BUCHA DE LATÃO Ф 25x1/2", FAB.TIGRE, AMANCO</t>
    </r>
  </si>
  <si>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</si>
  <si>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</si>
  <si>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</si>
  <si>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</si>
  <si>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</si>
  <si>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</si>
  <si>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</si>
  <si>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</si>
  <si>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</si>
  <si>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</si>
  <si>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</si>
  <si>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</si>
  <si>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</si>
  <si>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</si>
  <si>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</si>
  <si>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</si>
  <si>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</si>
  <si>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</si>
  <si>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</si>
  <si>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</si>
  <si>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</si>
  <si>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BASE VÁLVULA DE DESCARGA ROSCA Ф 1.1/4", REF. 4550.404, FAB. DECA</t>
  </si>
  <si>
    <t>7.1.35</t>
  </si>
  <si>
    <t>7.1.36</t>
  </si>
  <si>
    <t>7.1.37</t>
  </si>
  <si>
    <t>TUBO POLIPROPILENO (PPR), RANDOM 3, NBR-15813, PN 25 Ф 25mm, FAB. TIGRE, AMANCO, UNIKAP</t>
  </si>
  <si>
    <r>
      <t xml:space="preserve">LUVA SIMPLES PPR </t>
    </r>
    <r>
      <rPr>
        <sz val="8"/>
        <rFont val="Calibri"/>
        <family val="2"/>
      </rPr>
      <t>Ф</t>
    </r>
    <r>
      <rPr>
        <sz val="8"/>
        <rFont val="Arial"/>
        <family val="2"/>
      </rPr>
      <t xml:space="preserve"> 25mm, FAB. TIGRE, AMANCO, UNIKAP</t>
    </r>
  </si>
  <si>
    <r>
      <t xml:space="preserve">JOELHO 90º PPR ROSCA FÊMEA </t>
    </r>
    <r>
      <rPr>
        <sz val="8"/>
        <rFont val="Calibri"/>
        <family val="2"/>
      </rPr>
      <t>Ф</t>
    </r>
    <r>
      <rPr>
        <sz val="8"/>
        <rFont val="Arial"/>
        <family val="2"/>
      </rPr>
      <t xml:space="preserve"> 25mm x 1/2", FAB. TIGRE, AMANCO, UNIKAP</t>
    </r>
  </si>
  <si>
    <r>
      <t xml:space="preserve">JOELHO 90º  PPR </t>
    </r>
    <r>
      <rPr>
        <sz val="8"/>
        <rFont val="Calibri"/>
        <family val="2"/>
      </rPr>
      <t>Ф</t>
    </r>
    <r>
      <rPr>
        <sz val="8"/>
        <rFont val="Arial"/>
        <family val="2"/>
      </rPr>
      <t xml:space="preserve"> 25mm, FAB. TIGRE, AMANCO, UNIKAP </t>
    </r>
  </si>
  <si>
    <r>
      <t xml:space="preserve">TE 90º PPR </t>
    </r>
    <r>
      <rPr>
        <sz val="8"/>
        <rFont val="Calibri"/>
        <family val="2"/>
      </rPr>
      <t>Ф</t>
    </r>
    <r>
      <rPr>
        <sz val="8"/>
        <rFont val="Arial"/>
        <family val="2"/>
      </rPr>
      <t xml:space="preserve"> 25mm, FAB. TIGRE, AMANCO, UNIKAP  </t>
    </r>
  </si>
  <si>
    <r>
      <t xml:space="preserve">ADAPTADOR MACHO PPR </t>
    </r>
    <r>
      <rPr>
        <sz val="8"/>
        <rFont val="Calibri"/>
        <family val="2"/>
      </rPr>
      <t>Ф</t>
    </r>
    <r>
      <rPr>
        <sz val="8"/>
        <rFont val="Arial"/>
        <family val="2"/>
      </rPr>
      <t xml:space="preserve"> 25mm x 3/4", FAB. TIGRE, AMANCO, UNIKAP</t>
    </r>
  </si>
  <si>
    <t>7.2.1</t>
  </si>
  <si>
    <t>7.2.2</t>
  </si>
  <si>
    <t>7.2.3</t>
  </si>
  <si>
    <t>7.2.4</t>
  </si>
  <si>
    <t>7.2.5</t>
  </si>
  <si>
    <t>7.2.6</t>
  </si>
  <si>
    <t>7.2.7</t>
  </si>
  <si>
    <t>7.2.8</t>
  </si>
  <si>
    <t>7.2.9</t>
  </si>
  <si>
    <r>
      <t xml:space="preserve">JOELHO 90º PPR ROSCA FÊMEA </t>
    </r>
    <r>
      <rPr>
        <sz val="8"/>
        <rFont val="Calibri"/>
        <family val="2"/>
      </rPr>
      <t>Ф</t>
    </r>
    <r>
      <rPr>
        <sz val="8"/>
        <rFont val="Arial"/>
        <family val="2"/>
      </rPr>
      <t xml:space="preserve"> 25mm x 3/4", FAB. TIGRE, AMANCO, UNIKAP</t>
    </r>
  </si>
  <si>
    <r>
      <t xml:space="preserve">ADAPTADOR FÊMEA PPR </t>
    </r>
    <r>
      <rPr>
        <sz val="8"/>
        <rFont val="Calibri"/>
        <family val="2"/>
      </rPr>
      <t>Ф</t>
    </r>
    <r>
      <rPr>
        <sz val="8"/>
        <rFont val="Arial"/>
        <family val="2"/>
      </rPr>
      <t xml:space="preserve"> 25mm x 3/4", FAB. TIGRE, AMANCO, UNIKAP</t>
    </r>
  </si>
  <si>
    <t xml:space="preserve">TUBO PVC SOLDÁVEL, LINHA PREDIAL, NBR-5648, Ф 85mm x 6,0m, FAB. TIGRE, AMANCO </t>
  </si>
  <si>
    <t>LUVA SIMPLES PVC SOLDÁVEL, P/TUBO Ф 85mm, FAB.TIGRE, AMANCO</t>
  </si>
  <si>
    <t>7.3.1</t>
  </si>
  <si>
    <t>7.3.2</t>
  </si>
  <si>
    <t>7.3.3</t>
  </si>
  <si>
    <t>7.3.4</t>
  </si>
  <si>
    <t>7.3.5</t>
  </si>
  <si>
    <t>7.3.6</t>
  </si>
  <si>
    <t>7.3.7</t>
  </si>
  <si>
    <t>7.3.8</t>
  </si>
  <si>
    <t>7.3.9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</si>
  <si>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</si>
  <si>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</si>
  <si>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</si>
  <si>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</si>
  <si>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</si>
  <si>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</si>
  <si>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</si>
  <si>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</si>
  <si>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</si>
  <si>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</si>
  <si>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</si>
  <si>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</si>
  <si>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</si>
  <si>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</si>
  <si>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</si>
  <si>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</si>
  <si>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</si>
  <si>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</si>
  <si>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</si>
  <si>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</si>
  <si>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</si>
  <si>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</si>
  <si>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</si>
  <si>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</si>
  <si>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</si>
  <si>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</si>
  <si>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</si>
  <si>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</si>
  <si>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</si>
  <si>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</si>
  <si>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</si>
  <si>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</si>
  <si>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</si>
  <si>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</si>
  <si>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</si>
  <si>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</si>
  <si>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</si>
  <si>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</si>
  <si>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</si>
  <si>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</si>
  <si>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</si>
  <si>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</si>
  <si>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</si>
  <si>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</si>
  <si>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</si>
  <si>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</si>
  <si>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</si>
  <si>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</si>
  <si>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</si>
  <si>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</si>
  <si>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</si>
  <si>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</si>
  <si>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</si>
  <si>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r>
      <t>JOELHO 90</t>
    </r>
    <r>
      <rPr>
        <vertAlign val="superscript"/>
        <sz val="8"/>
        <rFont val="Arial"/>
        <family val="2"/>
      </rPr>
      <t>o</t>
    </r>
    <r>
      <rPr>
        <sz val="8"/>
        <rFont val="Arial"/>
        <family val="2"/>
      </rPr>
      <t xml:space="preserve"> PVC SOLDÁVEL, P/TUBO Ф 85mm, FAB.TIGRE, AMANCO</t>
    </r>
  </si>
  <si>
    <r>
      <t>TE 90</t>
    </r>
    <r>
      <rPr>
        <vertAlign val="superscript"/>
        <sz val="8"/>
        <rFont val="Arial"/>
        <family val="2"/>
      </rPr>
      <t>o</t>
    </r>
    <r>
      <rPr>
        <sz val="8"/>
        <rFont val="Arial"/>
        <family val="2"/>
      </rPr>
      <t xml:space="preserve"> PVC SOLDÁVEL, P/TUBO Ф 85mm, FAB.TIGRE, AMANCO</t>
    </r>
  </si>
  <si>
    <r>
      <t>TE DE REDUÇÃO 90</t>
    </r>
    <r>
      <rPr>
        <vertAlign val="superscript"/>
        <sz val="8"/>
        <rFont val="Arial"/>
        <family val="2"/>
      </rPr>
      <t>o</t>
    </r>
    <r>
      <rPr>
        <sz val="8"/>
        <rFont val="Arial"/>
        <family val="2"/>
      </rPr>
      <t xml:space="preserve"> PVC SOLDÁVEL, Ф 50x25mm, FAB.TIGRE, AMANCO</t>
    </r>
  </si>
  <si>
    <r>
      <t>TE DE REDUÇÃO 90</t>
    </r>
    <r>
      <rPr>
        <vertAlign val="superscript"/>
        <sz val="8"/>
        <rFont val="Arial"/>
        <family val="2"/>
      </rPr>
      <t>o</t>
    </r>
    <r>
      <rPr>
        <sz val="8"/>
        <rFont val="Arial"/>
        <family val="2"/>
      </rPr>
      <t xml:space="preserve"> PVC SOLDÁVEL, Ф 50x32mm, FAB.TIGRE, AMANCO</t>
    </r>
  </si>
  <si>
    <r>
      <t>TE DE REDUÇÃO 90</t>
    </r>
    <r>
      <rPr>
        <vertAlign val="superscript"/>
        <sz val="8"/>
        <rFont val="Arial"/>
        <family val="2"/>
      </rPr>
      <t>o</t>
    </r>
    <r>
      <rPr>
        <sz val="8"/>
        <rFont val="Arial"/>
        <family val="2"/>
      </rPr>
      <t xml:space="preserve"> PVC SOLDÁVEL, Ф 50x40mm, FAB.TIGRE, AMANCO</t>
    </r>
  </si>
  <si>
    <r>
      <t>TE DE REDUÇÃO 90</t>
    </r>
    <r>
      <rPr>
        <vertAlign val="superscript"/>
        <sz val="8"/>
        <rFont val="Arial"/>
        <family val="2"/>
      </rPr>
      <t>o</t>
    </r>
    <r>
      <rPr>
        <sz val="8"/>
        <rFont val="Arial"/>
        <family val="2"/>
      </rPr>
      <t xml:space="preserve"> PVC SOLDÁVEL, Ф 60x40mm, FAB.TIGRE, AMANCO</t>
    </r>
  </si>
  <si>
    <r>
      <t>TE DE REDUÇÃO 90</t>
    </r>
    <r>
      <rPr>
        <vertAlign val="superscript"/>
        <sz val="8"/>
        <rFont val="Arial"/>
        <family val="2"/>
      </rPr>
      <t>o</t>
    </r>
    <r>
      <rPr>
        <sz val="8"/>
        <rFont val="Arial"/>
        <family val="2"/>
      </rPr>
      <t xml:space="preserve"> PVC SOLDÁVEL, Ф 60x32mm, FAB.TIGRE, AMANCO</t>
    </r>
  </si>
  <si>
    <r>
      <t>TE DE REDUÇÃO 90</t>
    </r>
    <r>
      <rPr>
        <vertAlign val="superscript"/>
        <sz val="8"/>
        <rFont val="Arial"/>
        <family val="2"/>
      </rPr>
      <t>o</t>
    </r>
    <r>
      <rPr>
        <sz val="8"/>
        <rFont val="Arial"/>
        <family val="2"/>
      </rPr>
      <t xml:space="preserve"> PVC SOLDÁVEL, Ф 60x25mm, FAB.TIGRE, AMANCO</t>
    </r>
  </si>
  <si>
    <r>
      <t>TE DE REDUÇÃO 90</t>
    </r>
    <r>
      <rPr>
        <vertAlign val="superscript"/>
        <sz val="8"/>
        <rFont val="Arial"/>
        <family val="2"/>
      </rPr>
      <t>o</t>
    </r>
    <r>
      <rPr>
        <sz val="8"/>
        <rFont val="Arial"/>
        <family val="2"/>
      </rPr>
      <t xml:space="preserve"> PVC SOLDÁVEL, Ф 75x40mm, FAB.TIGRE, AMANCO</t>
    </r>
  </si>
  <si>
    <r>
      <t>TE DE REDUÇÃO 90</t>
    </r>
    <r>
      <rPr>
        <vertAlign val="superscript"/>
        <sz val="8"/>
        <rFont val="Arial"/>
        <family val="2"/>
      </rPr>
      <t>o</t>
    </r>
    <r>
      <rPr>
        <sz val="8"/>
        <rFont val="Arial"/>
        <family val="2"/>
      </rPr>
      <t xml:space="preserve"> PVC SOLDÁVEL, Ф 75x32mm, FAB.TIGRE, AMANCO</t>
    </r>
  </si>
  <si>
    <t>BUCHA DE REDUÇÃO PVC SOLDÁVEL CURTA, Ф 85x75mm, FAB.TIGRE, AMANCO</t>
  </si>
  <si>
    <t>BUCHA DE REDUÇÃO PVC SOLDÁVEL LONGA, Ф 50x25mm, FAB.TIGRE, AMANCO</t>
  </si>
  <si>
    <t>BUCHA DE REDUÇÃO PVC SOLDÁVEL CURTA, Ф 60x25mm, FAB.TIGRE, AMANCO</t>
  </si>
  <si>
    <t>BUCHA DE REDUÇÃO PVC SOLDÁVEL LONGA, Ф 60x40mm, FAB.TIGRE, AMANCO</t>
  </si>
  <si>
    <r>
      <t xml:space="preserve">REGISTRO DE GAVETA BRUTO ABNT NBR-15705, CLASSE 150, ROSCA BSP </t>
    </r>
    <r>
      <rPr>
        <sz val="8"/>
        <rFont val="Calibri"/>
        <family val="2"/>
      </rPr>
      <t>Ф 1.1/4</t>
    </r>
    <r>
      <rPr>
        <sz val="8"/>
        <rFont val="Arial"/>
        <family val="2"/>
      </rPr>
      <t>", FAB. DOCOL, MIPEL, DECA</t>
    </r>
  </si>
  <si>
    <r>
      <t xml:space="preserve">REGISTRO DE GAVETA BRUTO ABNT NBR-15705, CLASSE 150, ROSCA BSP </t>
    </r>
    <r>
      <rPr>
        <sz val="8"/>
        <rFont val="Calibri"/>
        <family val="2"/>
      </rPr>
      <t>Ф 1.1/2</t>
    </r>
    <r>
      <rPr>
        <sz val="8"/>
        <rFont val="Arial"/>
        <family val="2"/>
      </rPr>
      <t>", FAB. DOCOL, MIPEL, DECA</t>
    </r>
  </si>
  <si>
    <r>
      <t xml:space="preserve">REGISTRO DE GAVETA BRUTO ABNT NBR-15705, CLASSE 150, ROSCA BSP </t>
    </r>
    <r>
      <rPr>
        <sz val="8"/>
        <rFont val="Calibri"/>
        <family val="2"/>
      </rPr>
      <t>Ф 1/2</t>
    </r>
    <r>
      <rPr>
        <sz val="8"/>
        <rFont val="Arial"/>
        <family val="2"/>
      </rPr>
      <t>", FAB. DOCOL, MIPEL, DECA</t>
    </r>
  </si>
  <si>
    <t>MEDIDOR DE VAZÃO (HIDRÔMETRO) MULTIJATO mnf CLASSE-A  1,5m3/h Ф 3/4", FAB. FAE, ACTARIS</t>
  </si>
  <si>
    <r>
      <t>TE DE REDUÇÃO 90</t>
    </r>
    <r>
      <rPr>
        <vertAlign val="superscript"/>
        <sz val="8"/>
        <rFont val="Arial"/>
        <family val="2"/>
      </rPr>
      <t>o</t>
    </r>
    <r>
      <rPr>
        <sz val="8"/>
        <rFont val="Arial"/>
        <family val="2"/>
      </rPr>
      <t xml:space="preserve"> PVC SOLDÁVEL, Ф 75x25mm, FAB.TIGRE, AMANCO</t>
    </r>
  </si>
  <si>
    <t>ADAPTADOR PVC SOLDÁVEL CURTO P/REGISTRO, Ф 75x2.1/2", FAB.TIGRE, AMANCO</t>
  </si>
  <si>
    <t>ADAPTADOR PVC SOLDÁVEL CURTO P/REGISTRO, Ф 85x3", FAB.TIGRE, AMANCO</t>
  </si>
  <si>
    <t>ADAPTADOR PVC SOLDÁVEL CURTO P/REGISTRO, Ф 110x4", FAB.TIGRE, AMANCO</t>
  </si>
  <si>
    <t>LUVA DE UNIÃO PVC SOLDÁVEL, P/TUBO Ф 25mm, FAB.TIGRE, AMANCO</t>
  </si>
  <si>
    <t>LUVA DE UNIÃO PVC SOLDÁVEL, P/TUBO Ф 40mm, FAB.TIGRE, AMANCO</t>
  </si>
  <si>
    <t>LUVA DE UNIÃO PVC SOLDÁVEL, P/TUBO Ф 50mm, FAB.TIGRE, AMANCO</t>
  </si>
  <si>
    <t>LUVA DE UNIÃO PVC SOLDÁVEL, P/TUBO Ф 85mm, FAB.TIGRE, AMANCO</t>
  </si>
  <si>
    <t>TUBO POLIPROPILENO (PPR), RANDOM 3, NBR-15813, PN 25 Ф 32mm, FAB. TIGRE, AMANCO, UNIKAP</t>
  </si>
  <si>
    <t>TUBO POLIPROPILENO (PPR), RANDOM 3, NBR-15813, PN 25 Ф 40mm, FAB. TIGRE, AMANCO, UNIKAP</t>
  </si>
  <si>
    <t>TUBO POLIPROPILENO (PPR), RANDOM 3, NBR-15813, PN 25 Ф 50mm, FAB. TIGRE, AMANCO, UNIKAP</t>
  </si>
  <si>
    <t>TUBO POLIPROPILENO (PPR), RANDOM 3, NBR-15813, PN 25 Ф 63mm, FAB. TIGRE, AMANCO, UNIKAP</t>
  </si>
  <si>
    <r>
      <t xml:space="preserve">LUVA SIMPLES PPR </t>
    </r>
    <r>
      <rPr>
        <sz val="8"/>
        <rFont val="Calibri"/>
        <family val="2"/>
      </rPr>
      <t>Ф</t>
    </r>
    <r>
      <rPr>
        <sz val="8"/>
        <rFont val="Arial"/>
        <family val="2"/>
      </rPr>
      <t xml:space="preserve"> 32mm, FAB. TIGRE, AMANCO, UNIKAP</t>
    </r>
  </si>
  <si>
    <r>
      <t xml:space="preserve">LUVA SIMPLES PPR </t>
    </r>
    <r>
      <rPr>
        <sz val="8"/>
        <rFont val="Calibri"/>
        <family val="2"/>
      </rPr>
      <t>Ф</t>
    </r>
    <r>
      <rPr>
        <sz val="8"/>
        <rFont val="Arial"/>
        <family val="2"/>
      </rPr>
      <t xml:space="preserve"> 40mm, FAB. TIGRE, AMANCO, UNIKAP</t>
    </r>
  </si>
  <si>
    <r>
      <t xml:space="preserve">LUVA SIMPLES PPR </t>
    </r>
    <r>
      <rPr>
        <sz val="8"/>
        <rFont val="Calibri"/>
        <family val="2"/>
      </rPr>
      <t>Ф</t>
    </r>
    <r>
      <rPr>
        <sz val="8"/>
        <rFont val="Arial"/>
        <family val="2"/>
      </rPr>
      <t xml:space="preserve"> 50mm, FAB. TIGRE, AMANCO, UNIKAP</t>
    </r>
  </si>
  <si>
    <r>
      <t xml:space="preserve">JOELHO 90º  PPR </t>
    </r>
    <r>
      <rPr>
        <sz val="8"/>
        <rFont val="Calibri"/>
        <family val="2"/>
      </rPr>
      <t>Ф</t>
    </r>
    <r>
      <rPr>
        <sz val="8"/>
        <rFont val="Arial"/>
        <family val="2"/>
      </rPr>
      <t xml:space="preserve"> 32mm, FAB. TIGRE, AMANCO, UNIKAP </t>
    </r>
  </si>
  <si>
    <r>
      <t xml:space="preserve">JOELHO 90º  PPR </t>
    </r>
    <r>
      <rPr>
        <sz val="8"/>
        <rFont val="Calibri"/>
        <family val="2"/>
      </rPr>
      <t>Ф</t>
    </r>
    <r>
      <rPr>
        <sz val="8"/>
        <rFont val="Arial"/>
        <family val="2"/>
      </rPr>
      <t xml:space="preserve"> 40mm, FAB. TIGRE, AMANCO, UNIKAP </t>
    </r>
  </si>
  <si>
    <r>
      <t xml:space="preserve">JOELHO 90º  PPR </t>
    </r>
    <r>
      <rPr>
        <sz val="8"/>
        <rFont val="Calibri"/>
        <family val="2"/>
      </rPr>
      <t>Ф</t>
    </r>
    <r>
      <rPr>
        <sz val="8"/>
        <rFont val="Arial"/>
        <family val="2"/>
      </rPr>
      <t xml:space="preserve"> 50mm, FAB. TIGRE, AMANCO, UNIKAP </t>
    </r>
  </si>
  <si>
    <r>
      <t xml:space="preserve">TE 90º PPR </t>
    </r>
    <r>
      <rPr>
        <sz val="8"/>
        <rFont val="Calibri"/>
        <family val="2"/>
      </rPr>
      <t>Ф</t>
    </r>
    <r>
      <rPr>
        <sz val="8"/>
        <rFont val="Arial"/>
        <family val="2"/>
      </rPr>
      <t xml:space="preserve"> 32mm, FAB. TIGRE, AMANCO, UNIKAP  </t>
    </r>
  </si>
  <si>
    <r>
      <t xml:space="preserve">TE 90º PPR </t>
    </r>
    <r>
      <rPr>
        <sz val="8"/>
        <rFont val="Calibri"/>
        <family val="2"/>
      </rPr>
      <t>Ф</t>
    </r>
    <r>
      <rPr>
        <sz val="8"/>
        <rFont val="Arial"/>
        <family val="2"/>
      </rPr>
      <t xml:space="preserve"> 40mm, FAB. TIGRE, AMANCO, UNIKAP  </t>
    </r>
  </si>
  <si>
    <r>
      <t xml:space="preserve">TE 90º PPR </t>
    </r>
    <r>
      <rPr>
        <sz val="8"/>
        <rFont val="Calibri"/>
        <family val="2"/>
      </rPr>
      <t>Ф</t>
    </r>
    <r>
      <rPr>
        <sz val="8"/>
        <rFont val="Arial"/>
        <family val="2"/>
      </rPr>
      <t xml:space="preserve"> 50mm, FAB. TIGRE, AMANCO, UNIKAP  </t>
    </r>
  </si>
  <si>
    <r>
      <t>TE DE REDUÇÃO 90</t>
    </r>
    <r>
      <rPr>
        <vertAlign val="superscript"/>
        <sz val="8"/>
        <rFont val="Arial"/>
        <family val="2"/>
      </rPr>
      <t>o</t>
    </r>
    <r>
      <rPr>
        <sz val="8"/>
        <rFont val="Arial"/>
        <family val="2"/>
      </rPr>
      <t xml:space="preserve"> PPR </t>
    </r>
    <r>
      <rPr>
        <sz val="8"/>
        <rFont val="Calibri"/>
        <family val="2"/>
      </rPr>
      <t>Ф</t>
    </r>
    <r>
      <rPr>
        <sz val="8"/>
        <rFont val="Arial"/>
        <family val="2"/>
      </rPr>
      <t xml:space="preserve"> 32 x 25mm, FAB. TIGRE, AMANCO, UNIKAP</t>
    </r>
  </si>
  <si>
    <r>
      <t>TE DE REDUÇÃO 90</t>
    </r>
    <r>
      <rPr>
        <vertAlign val="superscript"/>
        <sz val="8"/>
        <rFont val="Arial"/>
        <family val="2"/>
      </rPr>
      <t>o</t>
    </r>
    <r>
      <rPr>
        <sz val="8"/>
        <rFont val="Arial"/>
        <family val="2"/>
      </rPr>
      <t xml:space="preserve"> PPR </t>
    </r>
    <r>
      <rPr>
        <sz val="8"/>
        <rFont val="Calibri"/>
        <family val="2"/>
      </rPr>
      <t>Ф</t>
    </r>
    <r>
      <rPr>
        <sz val="8"/>
        <rFont val="Arial"/>
        <family val="2"/>
      </rPr>
      <t xml:space="preserve"> 40 x 32mm, FAB. TIGRE, AMANCO, UNIKAP</t>
    </r>
  </si>
  <si>
    <r>
      <t>TE DE REDUÇÃO 90</t>
    </r>
    <r>
      <rPr>
        <vertAlign val="superscript"/>
        <sz val="8"/>
        <rFont val="Arial"/>
        <family val="2"/>
      </rPr>
      <t>o</t>
    </r>
    <r>
      <rPr>
        <sz val="8"/>
        <rFont val="Arial"/>
        <family val="2"/>
      </rPr>
      <t xml:space="preserve"> PPR </t>
    </r>
    <r>
      <rPr>
        <sz val="8"/>
        <rFont val="Calibri"/>
        <family val="2"/>
      </rPr>
      <t>Ф</t>
    </r>
    <r>
      <rPr>
        <sz val="8"/>
        <rFont val="Arial"/>
        <family val="2"/>
      </rPr>
      <t xml:space="preserve"> 50 x 40mm, FAB. TIGRE, AMANCO, UNIKAP</t>
    </r>
  </si>
  <si>
    <r>
      <t>TE DE REDUÇÃO 90</t>
    </r>
    <r>
      <rPr>
        <vertAlign val="superscript"/>
        <sz val="8"/>
        <rFont val="Arial"/>
        <family val="2"/>
      </rPr>
      <t>o</t>
    </r>
    <r>
      <rPr>
        <sz val="8"/>
        <rFont val="Arial"/>
        <family val="2"/>
      </rPr>
      <t xml:space="preserve"> PPR </t>
    </r>
    <r>
      <rPr>
        <sz val="8"/>
        <rFont val="Calibri"/>
        <family val="2"/>
      </rPr>
      <t>Ф</t>
    </r>
    <r>
      <rPr>
        <sz val="8"/>
        <rFont val="Arial"/>
        <family val="2"/>
      </rPr>
      <t xml:space="preserve"> 63 x 40mm, FAB. TIGRE, AMANCO, UNIKAP</t>
    </r>
  </si>
  <si>
    <r>
      <t xml:space="preserve">BUCHA DE REDUÇÃO PPR </t>
    </r>
    <r>
      <rPr>
        <sz val="8"/>
        <rFont val="Calibri"/>
        <family val="2"/>
      </rPr>
      <t>Ф</t>
    </r>
    <r>
      <rPr>
        <sz val="8"/>
        <rFont val="Arial"/>
        <family val="2"/>
      </rPr>
      <t xml:space="preserve"> 40 x 32mm, FAB. TIGRE, AMANCO, UNIKAP</t>
    </r>
  </si>
  <si>
    <r>
      <t xml:space="preserve">BUCHA DE REDUÇÃO PPR </t>
    </r>
    <r>
      <rPr>
        <sz val="8"/>
        <rFont val="Calibri"/>
        <family val="2"/>
      </rPr>
      <t>Ф</t>
    </r>
    <r>
      <rPr>
        <sz val="8"/>
        <rFont val="Arial"/>
        <family val="2"/>
      </rPr>
      <t xml:space="preserve"> 50 x 40mm, FAB. TIGRE, AMANCO, UNIKAP</t>
    </r>
  </si>
  <si>
    <r>
      <t xml:space="preserve">BUCHA DE REDUÇÃO PPR </t>
    </r>
    <r>
      <rPr>
        <sz val="8"/>
        <rFont val="Calibri"/>
        <family val="2"/>
      </rPr>
      <t>Ф</t>
    </r>
    <r>
      <rPr>
        <sz val="8"/>
        <rFont val="Arial"/>
        <family val="2"/>
      </rPr>
      <t xml:space="preserve"> 63 x 50mm, FAB. TIGRE, AMANCO, UNIKAP</t>
    </r>
  </si>
  <si>
    <r>
      <t xml:space="preserve">ADAPTADOR MACHO PPR </t>
    </r>
    <r>
      <rPr>
        <sz val="8"/>
        <rFont val="Calibri"/>
        <family val="2"/>
      </rPr>
      <t>Ф</t>
    </r>
    <r>
      <rPr>
        <sz val="8"/>
        <rFont val="Arial"/>
        <family val="2"/>
      </rPr>
      <t xml:space="preserve"> 32mm x 1", FAB. TIGRE, AMANCO, UNIKAP</t>
    </r>
  </si>
  <si>
    <r>
      <t xml:space="preserve">ADAPTADOR MACHO PPR </t>
    </r>
    <r>
      <rPr>
        <sz val="8"/>
        <rFont val="Calibri"/>
        <family val="2"/>
      </rPr>
      <t>Ф</t>
    </r>
    <r>
      <rPr>
        <sz val="8"/>
        <rFont val="Arial"/>
        <family val="2"/>
      </rPr>
      <t xml:space="preserve"> 40mm x 1.1/4", FAB. TIGRE, AMANCO, UNIKAP</t>
    </r>
  </si>
  <si>
    <r>
      <t xml:space="preserve">ADAPTADOR MACHO PPR </t>
    </r>
    <r>
      <rPr>
        <sz val="8"/>
        <rFont val="Calibri"/>
        <family val="2"/>
      </rPr>
      <t>Ф</t>
    </r>
    <r>
      <rPr>
        <sz val="8"/>
        <rFont val="Arial"/>
        <family val="2"/>
      </rPr>
      <t xml:space="preserve"> 50mm x 1.1/2", FAB. TIGRE, AMANCO, UNIKAP</t>
    </r>
  </si>
  <si>
    <r>
      <t xml:space="preserve">UNIÃO DUPLA COM FLANGES PPR </t>
    </r>
    <r>
      <rPr>
        <sz val="8"/>
        <rFont val="Calibri"/>
        <family val="2"/>
      </rPr>
      <t>Ф</t>
    </r>
    <r>
      <rPr>
        <sz val="8"/>
        <rFont val="Arial"/>
        <family val="2"/>
      </rPr>
      <t xml:space="preserve"> 40mm, FAB. TIGRE, AMANCO, UNIKAP</t>
    </r>
  </si>
  <si>
    <r>
      <t xml:space="preserve">UNIÃO DUPLA COM FLANGES PPR </t>
    </r>
    <r>
      <rPr>
        <sz val="8"/>
        <rFont val="Calibri"/>
        <family val="2"/>
      </rPr>
      <t>Ф</t>
    </r>
    <r>
      <rPr>
        <sz val="8"/>
        <rFont val="Arial"/>
        <family val="2"/>
      </rPr>
      <t xml:space="preserve"> 50mm, FAB. TIGRE, AMANCO, UNIKAP</t>
    </r>
  </si>
  <si>
    <r>
      <t xml:space="preserve">VÁLVULA DE RETENÇÃO HORIZONTAL, NBR-15055, ROSCA BSP </t>
    </r>
    <r>
      <rPr>
        <sz val="8"/>
        <rFont val="Calibri"/>
        <family val="2"/>
      </rPr>
      <t xml:space="preserve">Ф </t>
    </r>
    <r>
      <rPr>
        <sz val="8"/>
        <rFont val="Arial"/>
        <family val="2"/>
      </rPr>
      <t>1.1/2", FAB. DOCOL, MIPEL, DECA</t>
    </r>
  </si>
  <si>
    <r>
      <t xml:space="preserve">VÁLVULA ESFERA LATÃO/INOX, MONOBLOCO, ROSCA BSP </t>
    </r>
    <r>
      <rPr>
        <sz val="8"/>
        <rFont val="Calibri"/>
        <family val="2"/>
      </rPr>
      <t>Ф 1</t>
    </r>
    <r>
      <rPr>
        <sz val="8"/>
        <rFont val="Arial"/>
        <family val="2"/>
      </rPr>
      <t>", FAB. DOCOL, MIPEL, DECA</t>
    </r>
  </si>
  <si>
    <t>7.4.1</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</si>
  <si>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</si>
  <si>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</si>
  <si>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</si>
  <si>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</si>
  <si>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</si>
  <si>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</si>
  <si>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</si>
  <si>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</si>
  <si>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</si>
  <si>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</si>
  <si>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</si>
  <si>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</si>
  <si>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</si>
  <si>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</si>
  <si>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</si>
  <si>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</si>
  <si>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</si>
  <si>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</si>
  <si>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</si>
  <si>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</si>
  <si>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</si>
  <si>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</si>
  <si>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</si>
  <si>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TUBO POLIPROPILENO (PPR), RANDOM 3, NBR-15813, PN 25 Ф 75mm, FAB. TIGRE, AMANCO, UNIKAP</t>
  </si>
  <si>
    <r>
      <t xml:space="preserve">LUVA SIMPLES PPR </t>
    </r>
    <r>
      <rPr>
        <sz val="8"/>
        <rFont val="Calibri"/>
        <family val="2"/>
      </rPr>
      <t>Ф</t>
    </r>
    <r>
      <rPr>
        <sz val="8"/>
        <rFont val="Arial"/>
        <family val="2"/>
      </rPr>
      <t xml:space="preserve"> 75mm, FAB. TIGRE, AMANCO, UNIKAP</t>
    </r>
  </si>
  <si>
    <r>
      <t xml:space="preserve">JOELHO 90º  PPR </t>
    </r>
    <r>
      <rPr>
        <sz val="8"/>
        <rFont val="Calibri"/>
        <family val="2"/>
      </rPr>
      <t>Ф</t>
    </r>
    <r>
      <rPr>
        <sz val="8"/>
        <rFont val="Arial"/>
        <family val="2"/>
      </rPr>
      <t xml:space="preserve"> 75mm, FAB. TIGRE, AMANCO, UNIKAP </t>
    </r>
  </si>
  <si>
    <r>
      <t>TE DE REDUÇÃO 90</t>
    </r>
    <r>
      <rPr>
        <vertAlign val="superscript"/>
        <sz val="8"/>
        <rFont val="Arial"/>
        <family val="2"/>
      </rPr>
      <t>o</t>
    </r>
    <r>
      <rPr>
        <sz val="8"/>
        <rFont val="Arial"/>
        <family val="2"/>
      </rPr>
      <t xml:space="preserve"> PPR </t>
    </r>
    <r>
      <rPr>
        <sz val="8"/>
        <rFont val="Calibri"/>
        <family val="2"/>
      </rPr>
      <t>Ф</t>
    </r>
    <r>
      <rPr>
        <sz val="8"/>
        <rFont val="Arial"/>
        <family val="2"/>
      </rPr>
      <t xml:space="preserve"> 40 x 25mm, FAB. TIGRE, AMANCO, UNIKAP</t>
    </r>
  </si>
  <si>
    <r>
      <t xml:space="preserve">BUCHA DE REDUÇÃO PPR </t>
    </r>
    <r>
      <rPr>
        <sz val="8"/>
        <rFont val="Calibri"/>
        <family val="2"/>
      </rPr>
      <t>Ф</t>
    </r>
    <r>
      <rPr>
        <sz val="8"/>
        <rFont val="Arial"/>
        <family val="2"/>
      </rPr>
      <t xml:space="preserve"> 32 x 25mm, FAB. TIGRE, AMANCO, UNIKAP</t>
    </r>
  </si>
  <si>
    <r>
      <t xml:space="preserve">BUCHA DE REDUÇÃO PPR </t>
    </r>
    <r>
      <rPr>
        <sz val="8"/>
        <rFont val="Calibri"/>
        <family val="2"/>
      </rPr>
      <t>Ф</t>
    </r>
    <r>
      <rPr>
        <sz val="8"/>
        <rFont val="Arial"/>
        <family val="2"/>
      </rPr>
      <t xml:space="preserve"> 40 x 25mm, FAB. TIGRE, AMANCO, UNIKAP</t>
    </r>
  </si>
  <si>
    <r>
      <t xml:space="preserve">VÁLVULA DE RETENÇÃO VERTICAL, NBR-15055, ROSCA BSP </t>
    </r>
    <r>
      <rPr>
        <sz val="8"/>
        <rFont val="Calibri"/>
        <family val="2"/>
      </rPr>
      <t xml:space="preserve">Ф </t>
    </r>
    <r>
      <rPr>
        <sz val="8"/>
        <rFont val="Arial"/>
        <family val="2"/>
      </rPr>
      <t>1", FAB. DOCOL, MIPEL, DECA</t>
    </r>
  </si>
  <si>
    <t>BOMBA CENTRÍFUGA DE RECIRCULAÇÃO ÁGUA QUENTE, 1,50m3/h X 50mca X 0,5CV/220V</t>
  </si>
  <si>
    <t>BOMBA CENTRÍFUGA DE RECIRCULAÇÃO ÁGUA QUENTE, 1,50m3/h X 30mca X 0,5CV/220V</t>
  </si>
  <si>
    <r>
      <t>TE DE REDUÇÃO 90</t>
    </r>
    <r>
      <rPr>
        <vertAlign val="superscript"/>
        <sz val="8"/>
        <rFont val="Arial"/>
        <family val="2"/>
      </rPr>
      <t>o</t>
    </r>
    <r>
      <rPr>
        <sz val="8"/>
        <rFont val="Arial"/>
        <family val="2"/>
      </rPr>
      <t xml:space="preserve"> PPR </t>
    </r>
    <r>
      <rPr>
        <sz val="8"/>
        <rFont val="Calibri"/>
        <family val="2"/>
      </rPr>
      <t>Ф</t>
    </r>
    <r>
      <rPr>
        <sz val="8"/>
        <rFont val="Arial"/>
        <family val="2"/>
      </rPr>
      <t xml:space="preserve"> 75 x 63mm, FAB. TIGRE, AMANCO, UNIKAP</t>
    </r>
  </si>
  <si>
    <r>
      <t xml:space="preserve">BUCHA DE REDUÇÃO PPR </t>
    </r>
    <r>
      <rPr>
        <sz val="8"/>
        <rFont val="Calibri"/>
        <family val="2"/>
      </rPr>
      <t>Ф</t>
    </r>
    <r>
      <rPr>
        <sz val="8"/>
        <rFont val="Arial"/>
        <family val="2"/>
      </rPr>
      <t xml:space="preserve"> 75 x 63mm, FAB. TIGRE, AMANCO, UNIKAP</t>
    </r>
  </si>
  <si>
    <r>
      <t xml:space="preserve">VÁLVULA DE RETENÇÃO VERTICAL, NBR-15055, ROSCA BSP </t>
    </r>
    <r>
      <rPr>
        <sz val="8"/>
        <rFont val="Calibri"/>
        <family val="2"/>
      </rPr>
      <t xml:space="preserve">Ф </t>
    </r>
    <r>
      <rPr>
        <sz val="8"/>
        <rFont val="Arial"/>
        <family val="2"/>
      </rPr>
      <t>1.1/2", FAB. DOCOL, MIPEL, DECA</t>
    </r>
  </si>
  <si>
    <t>BOMBA CENTRÍFUGA DE RECIRCULAÇÃO ÁGUA QUENTE, 2,00m3/h X 8mca X 0,5CV/220V</t>
  </si>
  <si>
    <r>
      <t xml:space="preserve">TE 90º PPR </t>
    </r>
    <r>
      <rPr>
        <sz val="8"/>
        <rFont val="Calibri"/>
        <family val="2"/>
      </rPr>
      <t>Ф</t>
    </r>
    <r>
      <rPr>
        <sz val="8"/>
        <rFont val="Arial"/>
        <family val="2"/>
      </rPr>
      <t xml:space="preserve"> 75mm, FAB. TIGRE, AMANCO, UNIKAP  </t>
    </r>
  </si>
  <si>
    <t>BUCHA DE REDUÇÃO PVC SOLDÁVEL CURTA, Ф 110x85mm, FAB.TIGRE, AMANCO</t>
  </si>
  <si>
    <t>TUBO POLIPROPILENO (PPR), RANDOM 3, NBR-15813, PN 25 Ф 90mm, FAB. TIGRE, AMANCO, UNIKAP</t>
  </si>
  <si>
    <r>
      <t xml:space="preserve">JOELHO 90º  PPR </t>
    </r>
    <r>
      <rPr>
        <sz val="8"/>
        <rFont val="Calibri"/>
        <family val="2"/>
      </rPr>
      <t>Ф</t>
    </r>
    <r>
      <rPr>
        <sz val="8"/>
        <rFont val="Arial"/>
        <family val="2"/>
      </rPr>
      <t xml:space="preserve"> 90mm, FAB. TIGRE, AMANCO, UNIKAP </t>
    </r>
  </si>
  <si>
    <r>
      <t xml:space="preserve">LUVA SIMPLES PPR </t>
    </r>
    <r>
      <rPr>
        <sz val="8"/>
        <rFont val="Calibri"/>
        <family val="2"/>
      </rPr>
      <t>Ф</t>
    </r>
    <r>
      <rPr>
        <sz val="8"/>
        <rFont val="Arial"/>
        <family val="2"/>
      </rPr>
      <t xml:space="preserve"> 90mm, FAB. TIGRE, AMANCO, UNIKAP</t>
    </r>
  </si>
  <si>
    <r>
      <t>JOELHO 45</t>
    </r>
    <r>
      <rPr>
        <vertAlign val="superscript"/>
        <sz val="8"/>
        <rFont val="Arial"/>
        <family val="2"/>
      </rPr>
      <t>o</t>
    </r>
    <r>
      <rPr>
        <sz val="8"/>
        <rFont val="Arial"/>
        <family val="2"/>
      </rPr>
      <t xml:space="preserve"> PVC SOLDÁVEL, P/TUBO Ф 75mm, FAB.TIGRE, AMANCO</t>
    </r>
  </si>
  <si>
    <r>
      <t xml:space="preserve">VÁLVULA DE RETENÇÃO VERTICAL, NBR-15055, ROSCA BSP </t>
    </r>
    <r>
      <rPr>
        <sz val="8"/>
        <rFont val="Calibri"/>
        <family val="2"/>
      </rPr>
      <t>Ф 3</t>
    </r>
    <r>
      <rPr>
        <sz val="8"/>
        <rFont val="Arial"/>
        <family val="2"/>
      </rPr>
      <t>", FAB. DOCOL, MIPEL, DECA</t>
    </r>
  </si>
  <si>
    <r>
      <t xml:space="preserve">TE 90º  PPR </t>
    </r>
    <r>
      <rPr>
        <sz val="8"/>
        <rFont val="Calibri"/>
        <family val="2"/>
      </rPr>
      <t>Ф</t>
    </r>
    <r>
      <rPr>
        <sz val="8"/>
        <rFont val="Arial"/>
        <family val="2"/>
      </rPr>
      <t xml:space="preserve"> 90mm, FAB. TIGRE, AMANCO, UNIKAP </t>
    </r>
  </si>
  <si>
    <t>7.2.10</t>
  </si>
  <si>
    <t>7.2.11</t>
  </si>
  <si>
    <t>7.2.12</t>
  </si>
  <si>
    <t>7.3.86</t>
  </si>
  <si>
    <t>7.3.87</t>
  </si>
  <si>
    <t>7.3.88</t>
  </si>
  <si>
    <t>7.3.89</t>
  </si>
  <si>
    <t>7.3.90</t>
  </si>
  <si>
    <t>7.3.91</t>
  </si>
  <si>
    <t>7.3.92</t>
  </si>
  <si>
    <t>7.3.93</t>
  </si>
  <si>
    <t>7.3.94</t>
  </si>
  <si>
    <t>7.3.95</t>
  </si>
  <si>
    <t>7.3.96</t>
  </si>
  <si>
    <t>7.3.97</t>
  </si>
  <si>
    <t>7.3.98</t>
  </si>
  <si>
    <r>
      <t xml:space="preserve">UNIÃO DUPLA COM FLANGES PPR </t>
    </r>
    <r>
      <rPr>
        <sz val="8"/>
        <rFont val="Calibri"/>
        <family val="2"/>
      </rPr>
      <t>Ф</t>
    </r>
    <r>
      <rPr>
        <sz val="8"/>
        <rFont val="Arial"/>
        <family val="2"/>
      </rPr>
      <t xml:space="preserve"> 75mm, FAB. TIGRE, AMANCO, UNIKAP</t>
    </r>
  </si>
  <si>
    <t>7.4.2</t>
  </si>
  <si>
    <t>7.4.3</t>
  </si>
  <si>
    <t>7.4.4</t>
  </si>
  <si>
    <t>7.4.5</t>
  </si>
  <si>
    <t>7.4.6</t>
  </si>
  <si>
    <t>7.4.7</t>
  </si>
  <si>
    <t>7.4.8</t>
  </si>
  <si>
    <t>7.4.9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</si>
  <si>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</si>
  <si>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</si>
  <si>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</si>
  <si>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</si>
  <si>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</si>
  <si>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</si>
  <si>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</si>
  <si>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</si>
  <si>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</si>
  <si>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</si>
  <si>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</si>
  <si>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</si>
  <si>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</si>
  <si>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</si>
  <si>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</si>
  <si>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</si>
  <si>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</si>
  <si>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</si>
  <si>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</si>
  <si>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</si>
  <si>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</si>
  <si>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</si>
  <si>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</si>
  <si>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</si>
  <si>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</si>
  <si>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</si>
  <si>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</si>
  <si>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</si>
  <si>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</si>
  <si>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</si>
  <si>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</si>
  <si>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</si>
  <si>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</si>
  <si>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</si>
  <si>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</si>
  <si>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</si>
  <si>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</si>
  <si>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</si>
  <si>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</si>
  <si>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</si>
  <si>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</si>
  <si>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</si>
  <si>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7.5</t>
  </si>
  <si>
    <t>7.5.1</t>
  </si>
  <si>
    <t>7.5.2</t>
  </si>
  <si>
    <t>7.5.3</t>
  </si>
  <si>
    <t>7.5.4</t>
  </si>
  <si>
    <t>7.5.5</t>
  </si>
  <si>
    <t>7.5.6</t>
  </si>
  <si>
    <t>7.5.7</t>
  </si>
  <si>
    <t>7.5.8</t>
  </si>
  <si>
    <t>7.5.9</t>
  </si>
  <si>
    <t>7.5.10</t>
  </si>
  <si>
    <t>7.5.11</t>
  </si>
  <si>
    <t>7.5.12</t>
  </si>
  <si>
    <t>7.5.13</t>
  </si>
  <si>
    <t>7.5.14</t>
  </si>
  <si>
    <t>7.5.15</t>
  </si>
  <si>
    <t>7.5.16</t>
  </si>
  <si>
    <t>7.5.17</t>
  </si>
  <si>
    <t>7.5.18</t>
  </si>
  <si>
    <t>7.5.19</t>
  </si>
  <si>
    <t>7.5.20</t>
  </si>
  <si>
    <t>7.5.21</t>
  </si>
  <si>
    <t>7.5.22</t>
  </si>
  <si>
    <t>Sistema de Ventilação Esgoto em PVC</t>
  </si>
  <si>
    <t xml:space="preserve">Sistema de Drenagem </t>
  </si>
  <si>
    <t>Águas Pluvias e Drenos</t>
  </si>
  <si>
    <t>TUBO PVC ESGOTO, PONTA-BOLSA e VIROLA, SÉRIE-R, NBR-5688, Ф 50mm x 3,0m, FAB. TIGRE, AMANCO</t>
  </si>
  <si>
    <r>
      <t>JOELHO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50mm, FAB. TIGRE, AMANCO</t>
    </r>
  </si>
  <si>
    <t>INST. SANITÁRIAS e ÁGUAS PLUVIAIS / REUSO</t>
  </si>
  <si>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100x50mm, FAB. TIGRE, AMANCO</t>
    </r>
  </si>
  <si>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150x150mm, FAB. TIGRE, AMANCO</t>
    </r>
  </si>
  <si>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75x50mm, FAB. TIGRE, AMANCO</t>
    </r>
  </si>
  <si>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50x50mm, FAB. TIGRE, AMANCO</t>
    </r>
  </si>
  <si>
    <r>
      <t>TE 90</t>
    </r>
    <r>
      <rPr>
        <vertAlign val="superscript"/>
        <sz val="8"/>
        <rFont val="Arial"/>
        <family val="2"/>
      </rPr>
      <t>o</t>
    </r>
    <r>
      <rPr>
        <sz val="8"/>
        <rFont val="Arial"/>
        <family val="2"/>
      </rPr>
      <t xml:space="preserve"> PVC ESGOTO SERIE R </t>
    </r>
    <r>
      <rPr>
        <sz val="8"/>
        <rFont val="Calibri"/>
        <family val="2"/>
      </rPr>
      <t>Ф</t>
    </r>
    <r>
      <rPr>
        <sz val="8"/>
        <rFont val="Arial"/>
        <family val="2"/>
      </rPr>
      <t xml:space="preserve"> 50mm, FAB. TIGRE, AMANCO</t>
    </r>
  </si>
  <si>
    <r>
      <t>TE DE REDUÇÃO 90</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100x75mm, FAB. TIGRE, AMANCO</t>
    </r>
  </si>
  <si>
    <r>
      <t>TE DE REDUÇÃO 90</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100x50mm, FAB. TIGRE, AMANCO</t>
    </r>
  </si>
  <si>
    <r>
      <t>TE DE REDUÇÃO 90</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75x50mm, FAB. TIGRE, AMANCO</t>
    </r>
  </si>
  <si>
    <r>
      <t xml:space="preserve">REDUÇÃO EXCÊNTRICA PVC ESGOTO SÉRIE-R, </t>
    </r>
    <r>
      <rPr>
        <sz val="8"/>
        <rFont val="Calibri"/>
        <family val="2"/>
      </rPr>
      <t>Ф</t>
    </r>
    <r>
      <rPr>
        <sz val="8"/>
        <rFont val="Arial"/>
        <family val="2"/>
      </rPr>
      <t xml:space="preserve"> 100x50mm, FAB. TIGRE, AMANCO</t>
    </r>
  </si>
  <si>
    <r>
      <t xml:space="preserve">REDUÇÃO EXCÊNTRICA PVC ESGOTO SÉRIE-R, </t>
    </r>
    <r>
      <rPr>
        <sz val="8"/>
        <rFont val="Calibri"/>
        <family val="2"/>
      </rPr>
      <t>Ф</t>
    </r>
    <r>
      <rPr>
        <sz val="8"/>
        <rFont val="Arial"/>
        <family val="2"/>
      </rPr>
      <t xml:space="preserve"> 75x50mm, FAB. TIGRE, AMANCO</t>
    </r>
  </si>
  <si>
    <t>GRELHA C/PORTA-GRELHA INOX 150x150mm, FAB. MOLDENOX, AMANCO</t>
  </si>
  <si>
    <t xml:space="preserve">Esgoto Primário e Secundário em PVC </t>
  </si>
  <si>
    <r>
      <t xml:space="preserve">CAP PVC ESGOTO SÉRIE-R, </t>
    </r>
    <r>
      <rPr>
        <sz val="8"/>
        <rFont val="Calibri"/>
        <family val="2"/>
      </rPr>
      <t>Ф</t>
    </r>
    <r>
      <rPr>
        <sz val="8"/>
        <rFont val="Arial"/>
        <family val="2"/>
      </rPr>
      <t xml:space="preserve"> 150mm, FAB. TIGRE, AMANCO</t>
    </r>
  </si>
  <si>
    <r>
      <t xml:space="preserve">ANEL DE BORRACHA P/VIROLA ESGOTO SÉRIE-R </t>
    </r>
    <r>
      <rPr>
        <sz val="8"/>
        <rFont val="Calibri"/>
        <family val="2"/>
      </rPr>
      <t>Ф</t>
    </r>
    <r>
      <rPr>
        <sz val="8"/>
        <rFont val="Arial"/>
        <family val="2"/>
      </rPr>
      <t xml:space="preserve"> 50mm, FAB. TIGRE, AMANCO</t>
    </r>
  </si>
  <si>
    <t>LUVA SIMPLES PVC ESGOTO SÉRIE-R Ф 50mm, FAB. TIGRE, AMANCO</t>
  </si>
  <si>
    <r>
      <t>JOELHO 90</t>
    </r>
    <r>
      <rPr>
        <vertAlign val="superscript"/>
        <sz val="8"/>
        <rFont val="Arial"/>
        <family val="2"/>
      </rPr>
      <t>o</t>
    </r>
    <r>
      <rPr>
        <sz val="8"/>
        <rFont val="Arial"/>
        <family val="2"/>
      </rPr>
      <t xml:space="preserve"> SÉRIE-R </t>
    </r>
    <r>
      <rPr>
        <sz val="8"/>
        <rFont val="Calibri"/>
        <family val="2"/>
      </rPr>
      <t>Ф</t>
    </r>
    <r>
      <rPr>
        <sz val="8"/>
        <rFont val="Arial"/>
        <family val="2"/>
      </rPr>
      <t xml:space="preserve"> 150mm COM FIBRA DE VIDRO, FAB. TIGRE - PÉ DE COLUNA</t>
    </r>
  </si>
  <si>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</si>
  <si>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</si>
  <si>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</si>
  <si>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</si>
  <si>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</si>
  <si>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</si>
  <si>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</si>
  <si>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</si>
  <si>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</si>
  <si>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</si>
  <si>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</si>
  <si>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</si>
  <si>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</si>
  <si>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</si>
  <si>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</si>
  <si>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</si>
  <si>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</si>
  <si>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</si>
  <si>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</si>
  <si>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</si>
  <si>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</si>
  <si>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</si>
  <si>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</si>
  <si>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</si>
  <si>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</si>
  <si>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</si>
  <si>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</si>
  <si>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</si>
  <si>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</si>
  <si>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</si>
  <si>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</si>
  <si>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</si>
  <si>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</si>
  <si>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</si>
  <si>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</si>
  <si>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</si>
  <si>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</si>
  <si>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</si>
  <si>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</si>
  <si>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</si>
  <si>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</si>
  <si>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</si>
  <si>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</si>
  <si>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</si>
  <si>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</si>
  <si>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</si>
  <si>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</si>
  <si>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</si>
  <si>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</si>
  <si>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</si>
  <si>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</si>
  <si>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</si>
  <si>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</si>
  <si>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</si>
  <si>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</si>
  <si>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</si>
  <si>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</si>
  <si>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</si>
  <si>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</si>
  <si>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</si>
  <si>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</si>
  <si>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</si>
  <si>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8.2.1</t>
  </si>
  <si>
    <t>8.2.2</t>
  </si>
  <si>
    <t>8.2.3</t>
  </si>
  <si>
    <t>8.2.4</t>
  </si>
  <si>
    <t>8.2.5</t>
  </si>
  <si>
    <t>8.2.6</t>
  </si>
  <si>
    <t>8.2.7</t>
  </si>
  <si>
    <t>8.2.8</t>
  </si>
  <si>
    <t>8.2.9</t>
  </si>
  <si>
    <t>8.2.10</t>
  </si>
  <si>
    <t>8.2.11</t>
  </si>
  <si>
    <t>8.2.12</t>
  </si>
  <si>
    <t>8.2.13</t>
  </si>
  <si>
    <t>8.2.14</t>
  </si>
  <si>
    <t>8.2.15</t>
  </si>
  <si>
    <t>8.2.16</t>
  </si>
  <si>
    <t>8.2.17</t>
  </si>
  <si>
    <t>8.2.18</t>
  </si>
  <si>
    <t>8.2.19</t>
  </si>
  <si>
    <t>8.2.20</t>
  </si>
  <si>
    <t>8.2.21</t>
  </si>
  <si>
    <t>8.2.22</t>
  </si>
  <si>
    <t>8.2.23</t>
  </si>
  <si>
    <t>8.2.24</t>
  </si>
  <si>
    <t>8.2.25</t>
  </si>
  <si>
    <t>TUBO COLETOR PVC ESGOTO, PONTA-BOLSA e VIROLA COM JEI. SÉRIE VINILFORT, COR OCRE, NBR-7362-1, Ф 200mm x 6,0m, FAB. TIGRE, AMANCO</t>
  </si>
  <si>
    <r>
      <t xml:space="preserve">TE 90o RADIAL COM INSPEÇÃO PVC ESGOTO SERIE R </t>
    </r>
    <r>
      <rPr>
        <sz val="8"/>
        <rFont val="Calibri"/>
        <family val="2"/>
      </rPr>
      <t>Ф</t>
    </r>
    <r>
      <rPr>
        <sz val="8"/>
        <rFont val="Arial"/>
        <family val="2"/>
      </rPr>
      <t xml:space="preserve"> 100x75mm, FAB. TIGRE, AMANCO</t>
    </r>
  </si>
  <si>
    <r>
      <t>JUNÇÃO SIMPLES 45</t>
    </r>
    <r>
      <rPr>
        <vertAlign val="superscript"/>
        <sz val="8"/>
        <rFont val="Arial"/>
        <family val="2"/>
      </rPr>
      <t>o</t>
    </r>
    <r>
      <rPr>
        <sz val="8"/>
        <rFont val="Arial"/>
        <family val="2"/>
      </rPr>
      <t xml:space="preserve"> PVC ESGOTO SÉRIE-R </t>
    </r>
    <r>
      <rPr>
        <sz val="8"/>
        <rFont val="Calibri"/>
        <family val="2"/>
      </rPr>
      <t>Ф</t>
    </r>
    <r>
      <rPr>
        <sz val="8"/>
        <rFont val="Arial"/>
        <family val="2"/>
      </rPr>
      <t xml:space="preserve"> 150x75mm, FAB. TIGRE, AMANCO</t>
    </r>
  </si>
  <si>
    <r>
      <t xml:space="preserve">REDUÇÃO EXCÊNTRICA PVC ESGOTO SÉRIE-R, </t>
    </r>
    <r>
      <rPr>
        <sz val="8"/>
        <rFont val="Calibri"/>
        <family val="2"/>
      </rPr>
      <t>Ф</t>
    </r>
    <r>
      <rPr>
        <sz val="8"/>
        <rFont val="Arial"/>
        <family val="2"/>
      </rPr>
      <t xml:space="preserve"> 150x100mm, FAB. TIGRE, AMANCO</t>
    </r>
  </si>
  <si>
    <t>MULTISIFÃO COM VÁLVULA DE RETENÇÃO E PROTEÇÃO CONTRA ROEDORES Ф 100mm</t>
  </si>
  <si>
    <r>
      <t xml:space="preserve">MANGUEIRA FLEXÍVEL REFORÇADA </t>
    </r>
    <r>
      <rPr>
        <sz val="8"/>
        <color indexed="8"/>
        <rFont val="Calibri"/>
        <family val="2"/>
      </rPr>
      <t>Ф</t>
    </r>
    <r>
      <rPr>
        <sz val="8"/>
        <color indexed="8"/>
        <rFont val="Arial"/>
        <family val="2"/>
      </rPr>
      <t xml:space="preserve"> 85mm, FAB. GOODYEAR</t>
    </r>
  </si>
  <si>
    <t>BOMBA CENTRÍFUGA SUBMERSA MOD. DS 56-40 POTÊNCIA 2,0CV /380V, 46,9m³/h, AMT=6mca, MAX=15mca, FAB. DANCOR, SCHNEIDER</t>
  </si>
  <si>
    <r>
      <t xml:space="preserve">ABRAÇADEIRA DE PRESSÃO P/MANGUEIRA, ROSCA SEM FIM </t>
    </r>
    <r>
      <rPr>
        <sz val="8"/>
        <rFont val="Calibri"/>
        <family val="2"/>
      </rPr>
      <t>Ф</t>
    </r>
    <r>
      <rPr>
        <sz val="8"/>
        <rFont val="Arial"/>
        <family val="2"/>
      </rPr>
      <t xml:space="preserve"> 3", FAB. NORTON</t>
    </r>
  </si>
  <si>
    <t>8.3.1</t>
  </si>
  <si>
    <t>8.3.2</t>
  </si>
  <si>
    <t>8.3.3</t>
  </si>
  <si>
    <t>8.3.4</t>
  </si>
  <si>
    <t>8.3.5</t>
  </si>
  <si>
    <t>8.3.6</t>
  </si>
  <si>
    <t>8.3.7</t>
  </si>
  <si>
    <t>8.3.8</t>
  </si>
  <si>
    <t>8.3.9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</si>
  <si>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</si>
  <si>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</si>
  <si>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</si>
  <si>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</si>
  <si>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</si>
  <si>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</si>
  <si>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</si>
  <si>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</si>
  <si>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</si>
  <si>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</si>
  <si>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</si>
  <si>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</si>
  <si>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</si>
  <si>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</si>
  <si>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</si>
  <si>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</si>
  <si>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</si>
  <si>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</si>
  <si>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</si>
  <si>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</si>
  <si>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</si>
  <si>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</si>
  <si>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</si>
  <si>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</si>
  <si>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</si>
  <si>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</si>
  <si>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8.5</t>
  </si>
  <si>
    <t>8.5.1</t>
  </si>
  <si>
    <t>8.5.2</t>
  </si>
  <si>
    <t>8.5.3</t>
  </si>
  <si>
    <t>8.5.4</t>
  </si>
  <si>
    <t>8.5.5</t>
  </si>
  <si>
    <t>8.5.6</t>
  </si>
  <si>
    <t>8.5.7</t>
  </si>
  <si>
    <t>8.6</t>
  </si>
  <si>
    <r>
      <t>JOELHO 45</t>
    </r>
    <r>
      <rPr>
        <vertAlign val="superscript"/>
        <sz val="8"/>
        <rFont val="Arial"/>
        <family val="2"/>
      </rPr>
      <t>o</t>
    </r>
    <r>
      <rPr>
        <sz val="8"/>
        <rFont val="Arial"/>
        <family val="2"/>
      </rPr>
      <t xml:space="preserve"> PVC SOLDÁVEL, P/TUBO Ф 85mm, FAB.TIGRE, AMANCO</t>
    </r>
  </si>
  <si>
    <t>8.6.1</t>
  </si>
  <si>
    <t>8.6.2</t>
  </si>
  <si>
    <t>8.6.3</t>
  </si>
  <si>
    <t>8.6.4</t>
  </si>
  <si>
    <t>8.6.5</t>
  </si>
  <si>
    <t>8.6.6</t>
  </si>
  <si>
    <t>8.6.7</t>
  </si>
  <si>
    <t>8.6.8</t>
  </si>
  <si>
    <t>8.6.9</t>
  </si>
  <si>
    <t>8.6.10</t>
  </si>
  <si>
    <t>8.6.11</t>
  </si>
  <si>
    <t>8.6.12</t>
  </si>
  <si>
    <r>
      <t>JOELHO 45</t>
    </r>
    <r>
      <rPr>
        <vertAlign val="superscript"/>
        <sz val="8"/>
        <rFont val="Arial"/>
        <family val="2"/>
      </rPr>
      <t>o</t>
    </r>
    <r>
      <rPr>
        <sz val="8"/>
        <rFont val="Arial"/>
        <family val="2"/>
      </rPr>
      <t xml:space="preserve"> PVC SOLDÁVEL, P/TUBO Ф 32mm, FAB.TIGRE, AMANCO</t>
    </r>
  </si>
  <si>
    <r>
      <t xml:space="preserve">REDUÇÃO PVC ESGOTO </t>
    </r>
    <r>
      <rPr>
        <sz val="8"/>
        <rFont val="Calibri"/>
        <family val="2"/>
      </rPr>
      <t>Ф</t>
    </r>
    <r>
      <rPr>
        <sz val="8"/>
        <rFont val="Arial"/>
        <family val="2"/>
      </rPr>
      <t xml:space="preserve"> 50x40mm, FAB. TIGRE, AMANCO</t>
    </r>
  </si>
  <si>
    <t>8.4.1</t>
  </si>
  <si>
    <t>8.4.2</t>
  </si>
  <si>
    <t>8.4.3</t>
  </si>
  <si>
    <t>8.4.4</t>
  </si>
  <si>
    <t>8.4.5</t>
  </si>
  <si>
    <t>8.4.6</t>
  </si>
  <si>
    <t>8.4.7</t>
  </si>
  <si>
    <t>8.4.8</t>
  </si>
  <si>
    <t>8.4.9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</si>
  <si>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</si>
  <si>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</si>
  <si>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</si>
  <si>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</si>
  <si>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</si>
  <si>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</si>
  <si>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</si>
  <si>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</si>
  <si>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</si>
  <si>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</si>
  <si>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</si>
  <si>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</si>
  <si>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</si>
  <si>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</si>
  <si>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</si>
  <si>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</si>
  <si>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</si>
  <si>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</si>
  <si>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</si>
  <si>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</si>
  <si>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</si>
  <si>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</si>
  <si>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</si>
  <si>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</si>
  <si>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</si>
  <si>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</si>
  <si>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</si>
  <si>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</si>
  <si>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</si>
  <si>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</si>
  <si>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TUBO FERRO FUNDIDO CENTRIFUGADO, ESGOTO LINHA HL Ф 75mm, FAB. SAINT-GOBAIN</t>
  </si>
  <si>
    <t>TUBO FERRO FUNDIDO CENTRIFUGADO, ESGOTO LINHA HL Ф 50mm, FAB. SAINT-GOBAIN</t>
  </si>
  <si>
    <t>TUBO FERRO FUNDIDO CENTRIFUGADO, ESGOTO LINHA HL Ф 100mm, FAB. SAINT-GOBAIN</t>
  </si>
  <si>
    <t>JOELHO 90o EM  FERRO FUNDIDO BB, ESGOTO LINHA HL Ф 50mm, FAB. SAINT-GOBAIN</t>
  </si>
  <si>
    <t>JOELHO 90o EM  FERRO FUNDIDO BB, ESGOTO LINHA HL Ф 75mm, FAB. SAINT-GOBAIN</t>
  </si>
  <si>
    <t>JOELHO 90o EM  FERRO FUNDIDO BB, ESGOTO LINHA HL Ф 100mm, FAB. SAINT-GOBAIN</t>
  </si>
  <si>
    <t>JOELHO 45o EM  FERRO FUNDIDO BB, ESGOTO LINHA HL Ф 50mm, FAB. SAINT-GOBAIN</t>
  </si>
  <si>
    <t>JOELHO 45o EM  FERRO FUNDIDO BB, ESGOTO LINHA HL Ф 75mm, FAB. SAINT-GOBAIN</t>
  </si>
  <si>
    <t>JOELHO 45o EM  FERRO FUNDIDO BB, ESGOTO LINHA HL Ф 100mm, FAB. SAINT-GOBAIN</t>
  </si>
  <si>
    <t>JUNÇÃO SIMPLES 45o EM FERRO FUNDIDO BBB, ESGOTO LINHA HL Ф 100x100mm, FAB. SAINT-GOBAIN</t>
  </si>
  <si>
    <t>JUNÇÃO SIMPLES 45o EM FERRO FUNDIDO BBB, ESGOTO LINHA HL Ф 75x50mm, FAB. SAINT-GOBAIN</t>
  </si>
  <si>
    <t>LUVA SIMPLES CPVC Ф 42mm, FAB. TIGRE, AMANCO</t>
  </si>
  <si>
    <t>LUVA SIMPLES CPVC Ф 28mm, FAB. TIGRE, AMANCO</t>
  </si>
  <si>
    <t>LUVA SIMPLES CPVC Ф 35mm, FAB. TIGRE, AMANCO</t>
  </si>
  <si>
    <r>
      <t xml:space="preserve">VÁLVULA ESFERA LATÃO/INOX, MONOBLOCO, ROSCA BSP </t>
    </r>
    <r>
      <rPr>
        <sz val="8"/>
        <rFont val="Calibri"/>
        <family val="2"/>
      </rPr>
      <t>Ф 1.1/4</t>
    </r>
    <r>
      <rPr>
        <sz val="8"/>
        <rFont val="Arial"/>
        <family val="2"/>
      </rPr>
      <t>", FAB. DOCOL, MIPEL, DECA</t>
    </r>
  </si>
  <si>
    <r>
      <t xml:space="preserve">VÁLVULA ESFERA LATÃO/INOX, MONOBLOCO, ROSCA BSP </t>
    </r>
    <r>
      <rPr>
        <sz val="8"/>
        <rFont val="Calibri"/>
        <family val="2"/>
      </rPr>
      <t>Ф 1.1/2</t>
    </r>
    <r>
      <rPr>
        <sz val="8"/>
        <rFont val="Arial"/>
        <family val="2"/>
      </rPr>
      <t>", FAB. DOCOL, MIPEL, DECA</t>
    </r>
  </si>
  <si>
    <r>
      <t>JOELHO 90</t>
    </r>
    <r>
      <rPr>
        <vertAlign val="superscript"/>
        <sz val="8"/>
        <rFont val="Arial"/>
        <family val="2"/>
      </rPr>
      <t>o</t>
    </r>
    <r>
      <rPr>
        <sz val="8"/>
        <rFont val="Arial"/>
        <family val="2"/>
      </rPr>
      <t xml:space="preserve"> CPVC SOLDÁVEL, PARA TUBO Ф 28mm, FAB.TIGRE, AMANCO</t>
    </r>
  </si>
  <si>
    <r>
      <t>JOELHO 90</t>
    </r>
    <r>
      <rPr>
        <vertAlign val="superscript"/>
        <sz val="8"/>
        <rFont val="Arial"/>
        <family val="2"/>
      </rPr>
      <t>o</t>
    </r>
    <r>
      <rPr>
        <sz val="8"/>
        <rFont val="Arial"/>
        <family val="2"/>
      </rPr>
      <t xml:space="preserve"> CPVC SOLDÁVEL, PARA TUBO Ф 35mm, FAB.TIGRE, AMANCO</t>
    </r>
  </si>
  <si>
    <r>
      <t>JOELHO 90</t>
    </r>
    <r>
      <rPr>
        <vertAlign val="superscript"/>
        <sz val="8"/>
        <rFont val="Arial"/>
        <family val="2"/>
      </rPr>
      <t>o</t>
    </r>
    <r>
      <rPr>
        <sz val="8"/>
        <rFont val="Arial"/>
        <family val="2"/>
      </rPr>
      <t xml:space="preserve"> CPVC SOLDÁVEL, PARA TUBO Ф 42mm, FAB.TIGRE, AMANCO</t>
    </r>
  </si>
  <si>
    <r>
      <t>JOELHO 45</t>
    </r>
    <r>
      <rPr>
        <vertAlign val="superscript"/>
        <sz val="8"/>
        <rFont val="Arial"/>
        <family val="2"/>
      </rPr>
      <t>o</t>
    </r>
    <r>
      <rPr>
        <sz val="8"/>
        <rFont val="Arial"/>
        <family val="2"/>
      </rPr>
      <t xml:space="preserve"> CPVC SOLDÁVEL, PARA TUBO Ф 42mm, FAB.TIGRE, AMANCO</t>
    </r>
  </si>
  <si>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</si>
  <si>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</si>
  <si>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</si>
  <si>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</si>
  <si>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</si>
  <si>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</si>
  <si>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</si>
  <si>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</si>
  <si>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</si>
  <si>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</si>
  <si>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</si>
  <si>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</si>
  <si>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</si>
  <si>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</si>
  <si>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</si>
  <si>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</si>
  <si>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</si>
  <si>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</si>
  <si>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</si>
  <si>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</si>
  <si>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</si>
  <si>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</si>
  <si>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</si>
  <si>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</si>
  <si>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</si>
  <si>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Louças, Metais e Acessórios</t>
  </si>
  <si>
    <t>ASSENTO SANITÁRIO EM POLIÉSTER C/PROTEKTO P/BACIA LINHA VOGUE PLUS, REF. AP.51-17, FAB. DECA</t>
  </si>
  <si>
    <t>BARRA DE APOIO P/LAVATÓRIO DEFICIENTE FÍSICO, ACABAMENTO CROMADO, REF. 2310.I.040.ESC, FAB. DECA</t>
  </si>
  <si>
    <t>KIT DE ACESÓRIOS P/WC - 05 PEÇAS CROMADAS: PORTA-TOALHA ARO, PORTA-TOALHA BARRA, CABIDE, SABONETEIRA e PAPELEIRA, REF.: 5000 CA, FAB. FABRIMAR</t>
  </si>
  <si>
    <t>8.1.88</t>
  </si>
  <si>
    <t>8.1.89</t>
  </si>
  <si>
    <t>8.1.90</t>
  </si>
  <si>
    <t>8.1.91</t>
  </si>
  <si>
    <t>8.1.92</t>
  </si>
  <si>
    <t>KIT DE INSTALAÇÃO DE BACIA LINHA VOGUE PLUS, FIXAÇÃO LATERAL (PARAF.+ANEL), REF. 1201.C.KIT.P, FAB. DECA</t>
  </si>
  <si>
    <t>QUADRO DE ÁREAS DO HOSPITAL ICM</t>
  </si>
  <si>
    <t>TÉRREO</t>
  </si>
  <si>
    <t>1º PAVIMENTO</t>
  </si>
  <si>
    <t>2º PAVIMENTO</t>
  </si>
  <si>
    <t>3º PAVIMENTO</t>
  </si>
  <si>
    <t>4º PAVIMENTO</t>
  </si>
  <si>
    <t>5º PAVIMENTO</t>
  </si>
  <si>
    <t>6º PAVIMENTO</t>
  </si>
  <si>
    <t>7º PAVIMENTO</t>
  </si>
  <si>
    <t>8º PAVIMENTO</t>
  </si>
  <si>
    <t>9º PAVIMENTO</t>
  </si>
  <si>
    <t>10º PAVIMENTO</t>
  </si>
  <si>
    <t>11º PAVIMENTO</t>
  </si>
  <si>
    <t>12º PAVIMENTO</t>
  </si>
  <si>
    <t>13º PAVIMENTO</t>
  </si>
  <si>
    <t>14º PAVIMENTO</t>
  </si>
  <si>
    <t>15º PAVIMENTO</t>
  </si>
  <si>
    <t>TUBO DE DESCARGA PARA VÁLVULA DE DESCARGA C/JOELHO AZUL 1.1/4" X 82cm , COD. TVDV, FAB.ASTRA</t>
  </si>
  <si>
    <t>ACABAMENTO CROMADO P/VÁLVULA DE DESCARGA Ф 1.1/4", FAB. DECA, DOCOL</t>
  </si>
  <si>
    <r>
      <t xml:space="preserve">VÁLVULA DE DESCARGA COM ACABAMENTO CROMADO, P/MICTÓRIO </t>
    </r>
    <r>
      <rPr>
        <sz val="8"/>
        <rFont val="Calibri"/>
        <family val="2"/>
      </rPr>
      <t>Ф</t>
    </r>
    <r>
      <rPr>
        <sz val="8"/>
        <rFont val="Arial"/>
        <family val="2"/>
      </rPr>
      <t xml:space="preserve"> 3/4", FAB. DECA, DOCOL</t>
    </r>
  </si>
  <si>
    <t>9.1.1</t>
  </si>
  <si>
    <t>9.1.2</t>
  </si>
  <si>
    <t>9.1.3</t>
  </si>
  <si>
    <t>9.1.4</t>
  </si>
  <si>
    <t>9.1.5</t>
  </si>
  <si>
    <t>9.1.6</t>
  </si>
  <si>
    <t>9.1.7</t>
  </si>
  <si>
    <t>9.1.8</t>
  </si>
  <si>
    <t>9.1.9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</si>
  <si>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</si>
  <si>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</si>
  <si>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</si>
  <si>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</si>
  <si>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</si>
  <si>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</si>
  <si>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</si>
  <si>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</si>
  <si>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</si>
  <si>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</si>
  <si>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</si>
  <si>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</si>
  <si>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</si>
  <si>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</si>
  <si>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</si>
  <si>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</si>
  <si>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</si>
  <si>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</si>
  <si>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</si>
  <si>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</si>
  <si>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</si>
  <si>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</si>
  <si>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</si>
  <si>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</si>
  <si>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</si>
  <si>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</si>
  <si>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</si>
  <si>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</si>
  <si>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</si>
  <si>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</si>
  <si>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</si>
  <si>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</si>
  <si>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</si>
  <si>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</si>
  <si>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</si>
  <si>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</si>
  <si>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SIFÃO EM AÇO INOX PARA CUBA DE EXPURGO</t>
  </si>
  <si>
    <t>9.1.46</t>
  </si>
  <si>
    <t>BOMBA DE RECIRCULAÇÃO OSMOSE REVERSA</t>
  </si>
  <si>
    <t>CAIXA DE INSPEÇÃO EM ALVENARIA 40x40cm C/TAMPA DE CONCRETO e MOLDURA DE FERRO - RG ÁGUA</t>
  </si>
  <si>
    <r>
      <t xml:space="preserve">VÁLVULA ESFERA LATÃO/INOX, MONOBLOCO, ROSCA BSP </t>
    </r>
    <r>
      <rPr>
        <sz val="8"/>
        <rFont val="Calibri"/>
        <family val="2"/>
      </rPr>
      <t>Ф 1/2</t>
    </r>
    <r>
      <rPr>
        <sz val="8"/>
        <rFont val="Arial"/>
        <family val="2"/>
      </rPr>
      <t>", FAB. DOCOL, MIPEL, DECA</t>
    </r>
  </si>
  <si>
    <t>FILTRO "Y" ROSCA Ф 1.1/2" COM TELA AÇO INOX FY-250R - FAB. NIAGARA, MIPEL ou COMPACT DA BERMAD</t>
  </si>
  <si>
    <t>FILTRO "Y" ROSCA Ф 3" COM TELA AÇO INOX FY-250R - FAB. NIAGARA, MIPEL ou COMPACT DA BERMAD</t>
  </si>
  <si>
    <t>TERMOSTATO PARA SISTEMA DE ÁGUA QUENTE, TLZ-220V, FAB. EMMETI, THOLZ</t>
  </si>
  <si>
    <t>CAIXA METÁLICA DE EMBUTIR COM TAMPA EM AÇO INOX, DIM. 25 x 40 x 10cm</t>
  </si>
  <si>
    <r>
      <t xml:space="preserve">CAP PVC ESGOTO </t>
    </r>
    <r>
      <rPr>
        <sz val="8"/>
        <rFont val="Calibri"/>
        <family val="2"/>
      </rPr>
      <t>Ф</t>
    </r>
    <r>
      <rPr>
        <sz val="8"/>
        <rFont val="Arial"/>
        <family val="2"/>
      </rPr>
      <t xml:space="preserve"> 40mm, FAB. TIGRE, AMANCO</t>
    </r>
  </si>
  <si>
    <t>8.1.93</t>
  </si>
  <si>
    <t>9.1.47</t>
  </si>
  <si>
    <t>CAIXA DE INSPEÇÃO EM ALVENARIA 60x60cm C/TAMPA DE CONCRETO e MOLDURA DE FERRO + ANEL DE BORRACHA e SOBRETAMPA REMOVÍVEL - ESGOTO</t>
  </si>
  <si>
    <t>CAIXA DE GORDURA EM ALVENARIA 100x130cm C/TAMPA DE CONCRETO e MOLDURA DE FERRO + ANEL DE BORRACHA e SOBRETAMPA REMOVÍVEL - 880 LITROS</t>
  </si>
  <si>
    <t>CAIXA DE GORDURA EM ALVENARIA 80x130cm C/TAMPA DE CONCRETO e MOLDURA DE FERRO + ANEL DE BORRACHA e SOBRETAMPA REMOVÍVEL - 480 LITROS</t>
  </si>
  <si>
    <t>8.5.8</t>
  </si>
  <si>
    <t>CAIXA DE GORDURA PVC 100N COM SIFÃO E CESTO DE LIMPEZA, FAB. TIGRE, AMANCO</t>
  </si>
  <si>
    <t>CAIXA SEPARADORA DE ÁGUA E ÓLEO EM ALVENARIA 110x130cm C/TAMPA DE CONCRETO e MOLDURA DE FERRO + ANEL DE BORRACHA e SOBRETAMPA REMOVÍVEL - 1000 LITROS</t>
  </si>
  <si>
    <t>CAIXA DE GORDURA EM ALVENARIA 60x80cm C/TAMPA DE CONCRETO e MOLDURA DE FERRO + ANEL DE BORRACHA e SOBRETAMPA REMOVÍVEL - 216 LITROS</t>
  </si>
  <si>
    <t>BOCA DE LOBO EM EM CONCRETO - ÁGUAS PLUVIAIS</t>
  </si>
  <si>
    <t>CAIXA DE PASSAGEM EM ALVENARIA 30x30cm C/TAMPA DE CONCRETO - TELEFONE</t>
  </si>
  <si>
    <t>CAIXA DE PASSAGEM EM ALVENARIA 60x60cm C/TAMPA DE CONCRETO - ELÉTRICA</t>
  </si>
  <si>
    <t>CAIXA DE PASSAGEM EM ALVENARIA 20x20cm C/TAMPA DE CONCRETO - ELÉTRICA</t>
  </si>
  <si>
    <t>Canalização Preventiva - Hidrantes</t>
  </si>
  <si>
    <t>Hidrantes / Extintores / Sinalização</t>
  </si>
  <si>
    <t>10.1.1</t>
  </si>
  <si>
    <t>10.1.2</t>
  </si>
  <si>
    <t>10.1.3</t>
  </si>
  <si>
    <t>10.1.4</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</si>
  <si>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</si>
  <si>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</si>
  <si>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</si>
  <si>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</si>
  <si>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</si>
  <si>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</si>
  <si>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</si>
  <si>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</si>
  <si>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</si>
  <si>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</si>
  <si>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</si>
  <si>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</si>
  <si>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</si>
  <si>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</si>
  <si>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</si>
  <si>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</si>
  <si>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</si>
  <si>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</si>
  <si>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</si>
  <si>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</si>
  <si>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</si>
  <si>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</si>
  <si>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</si>
  <si>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</si>
  <si>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</si>
  <si>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</si>
  <si>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</si>
  <si>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</si>
  <si>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</si>
  <si>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</si>
  <si>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r>
      <t xml:space="preserve">ADAPTADOR STORZ </t>
    </r>
    <r>
      <rPr>
        <sz val="8"/>
        <rFont val="Calibri"/>
        <family val="2"/>
      </rPr>
      <t>Ф</t>
    </r>
    <r>
      <rPr>
        <sz val="8"/>
        <rFont val="Arial"/>
        <family val="2"/>
      </rPr>
      <t xml:space="preserve"> 2.1/2" X 1.1/2", FAB. KIDDE, ZEUS</t>
    </r>
  </si>
  <si>
    <t>ESGUICHO JATO REGULÁVEL 1.1/2" X 13mm, FAB. KIDDE, ZEUS</t>
  </si>
  <si>
    <r>
      <t xml:space="preserve">TAMPAO P/REGISTRO GLOBO </t>
    </r>
    <r>
      <rPr>
        <sz val="8"/>
        <rFont val="Calibri"/>
        <family val="2"/>
      </rPr>
      <t>Ф</t>
    </r>
    <r>
      <rPr>
        <sz val="8"/>
        <rFont val="Arial"/>
        <family val="2"/>
      </rPr>
      <t xml:space="preserve"> 2.1/2" C/CORRENTE, FAB. KIDDE, ZEUS</t>
    </r>
  </si>
  <si>
    <t>HIDRANTE URBANO - BARBARA ou KIDDE</t>
  </si>
  <si>
    <r>
      <t xml:space="preserve">MANGUEIRA INCÊNDIO TIPO-2 (COMERCIAL) NBR-11861 </t>
    </r>
    <r>
      <rPr>
        <sz val="8"/>
        <rFont val="Calibri"/>
        <family val="2"/>
      </rPr>
      <t xml:space="preserve">Ф </t>
    </r>
    <r>
      <rPr>
        <sz val="8"/>
        <rFont val="Arial"/>
        <family val="2"/>
      </rPr>
      <t>1.1/2" X 15m, FAB. KIDDE, AEROTEX</t>
    </r>
  </si>
  <si>
    <t>SINALIZAÇÃO HIDRANTE, FOTOLUMINESCENTE NBR-13434 DIM. 20x15cm, FAB. KIDDE, AEROTEX</t>
  </si>
  <si>
    <t>SINALIZAÇÃO EXTINTOR, FOTOLUMINESCENTE NBR-13434 DIM. 24x12cm, FAB. KIDDE, AEROTEX</t>
  </si>
  <si>
    <t>SINALIZAÇÃO ALARME, FOTOLUMINESCENTE NBR-13434 DIM. 20x15cm, FAB. KIDDE, AEROTEX</t>
  </si>
  <si>
    <t>SINALIZAÇÃO USO ELEVADOR, FOTOLUMINESCENTE NBR-13434 DIM. 10x30cm, FAB. KIDDE, AEROTEX</t>
  </si>
  <si>
    <t>SINALIZAÇÃO PORTA CORTA-FOGO, FOTOLUMINESCENTE NBR-13434 DIM. 10x30cm, FAB. KIDDE, AEROTEX</t>
  </si>
  <si>
    <t>SINALIZAÇÃO DE PAVIMENTO, FOTOLUMINESCENTE NBR-13434 DIM. 20x15cm, FAB. KIDDE, AEROTEX</t>
  </si>
  <si>
    <t>SINALIZAÇÃO SAÍDA DE EMERGÊNCIA, FOTOLUMINESCENTE NBR-13434 DIM. 12x24cm, FAB. KIDDE, AEROTEX</t>
  </si>
  <si>
    <t>SINALIZAÇÃO ROTA DE FUGA, FOTOLUMINESCENTE NBR-13434 DIM. 12x24cm, FAB. KIDDE, AEROTEX</t>
  </si>
  <si>
    <t>ISOLANTE  FLEXÍVEL EM POLIETILENO EXPANDIDO PARA TUBO PVC 32mm - DRENO AC</t>
  </si>
  <si>
    <t>ISOLANTE  FLEXÍVEL EM POLIETILENO EXPANDIDO PARA TUBO PVC 40mm - DRENO AC</t>
  </si>
  <si>
    <t>ISOLANTE  FLEXÍVEL EM POLIETILENO EXPANDIDO PARA TUBO PVC 50mm - DRENO AC</t>
  </si>
  <si>
    <t>ISOLANTE  FLEXÍVEL EM POLIETILENO EXPANDIDO PARA TUBO PVC 75mm - DRENO AC</t>
  </si>
  <si>
    <t>10.2</t>
  </si>
  <si>
    <t>10.2.1</t>
  </si>
  <si>
    <t>10.3</t>
  </si>
  <si>
    <t>Sistema de Proteção SPDA</t>
  </si>
  <si>
    <t xml:space="preserve">CAIXA DE EQUIPOTENCIAL 400x400x155mm, COM BARRAS DE COBRE E 11 TERMINAIS DE PRESSÃO TEL-900, FAB. TERMOTÉCNICA, TECNELSA </t>
  </si>
  <si>
    <r>
      <t>CONECTOR CABO-HASTE EM LATÃO ESTANHADO, PARA HASTE ATÉ 16mm E CABO 16-70mm</t>
    </r>
    <r>
      <rPr>
        <vertAlign val="superscript"/>
        <sz val="8"/>
        <rFont val="Arial"/>
        <family val="2"/>
      </rPr>
      <t>2</t>
    </r>
    <r>
      <rPr>
        <sz val="8"/>
        <rFont val="Arial"/>
        <family val="2"/>
      </rPr>
      <t>, TEL-584, FAB. TERMOTÉCNICA</t>
    </r>
  </si>
  <si>
    <t>10.3.1</t>
  </si>
  <si>
    <t>10.3.2</t>
  </si>
  <si>
    <t>10.3.3</t>
  </si>
  <si>
    <t>10.3.4</t>
  </si>
  <si>
    <t>10.3.5</t>
  </si>
  <si>
    <t>10.3.6</t>
  </si>
  <si>
    <t>10.3.7</t>
  </si>
  <si>
    <t>10.3.8</t>
  </si>
  <si>
    <t>10.3.9</t>
  </si>
  <si>
    <t>10.3.10</t>
  </si>
  <si>
    <t>10.3.11</t>
  </si>
  <si>
    <t>GRAMPO (CLIPS), GALVANIZADO, PARA CABO DE AÇO Ф3/8" VONDER</t>
  </si>
  <si>
    <t>10.3.12</t>
  </si>
  <si>
    <t>10.3.13</t>
  </si>
  <si>
    <t>INST. DE GÁS COMBUSTÍVEL (GN)</t>
  </si>
  <si>
    <t>Tubulação e Conexões em Cobre</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</si>
  <si>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</si>
  <si>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</si>
  <si>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</si>
  <si>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</si>
  <si>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</si>
  <si>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</si>
  <si>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</si>
  <si>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</si>
  <si>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</si>
  <si>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</si>
  <si>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</si>
  <si>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</si>
  <si>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</si>
  <si>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</si>
  <si>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</si>
  <si>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</si>
  <si>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</si>
  <si>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</si>
  <si>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</si>
  <si>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</si>
  <si>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</si>
  <si>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</si>
  <si>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</si>
  <si>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</si>
  <si>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TUBO DE COBRE, CLASSE A, NBR-13206, Ф 15 x 0,80mm, FAB. ELUMA</t>
  </si>
  <si>
    <t>TUBO DE COBRE, CLASSE A, NBR-13206, Ф 22 x 0,90mm, FAB. ELUMA</t>
  </si>
  <si>
    <t>TUBO DE COBRE, CLASSE A, NBR-13206, Ф 28 x 0,90mm, FAB. ELUMA</t>
  </si>
  <si>
    <t>LUVA SIMPLES DE COBRE BB 600 Ф 15mm, FAB. ELUMA</t>
  </si>
  <si>
    <t>LUVA SIMPLES DE COBRE BB 600 Ф 22mm, FAB. ELUMA</t>
  </si>
  <si>
    <t>LUVA SIMPLES DE COBRE BB 600 Ф 28mm, FAB. ELUMA</t>
  </si>
  <si>
    <r>
      <t>COTOVELO 90</t>
    </r>
    <r>
      <rPr>
        <vertAlign val="superscript"/>
        <sz val="8"/>
        <rFont val="Arial"/>
        <family val="2"/>
      </rPr>
      <t>o</t>
    </r>
    <r>
      <rPr>
        <sz val="8"/>
        <rFont val="Arial"/>
        <family val="2"/>
      </rPr>
      <t xml:space="preserve"> ROSCA RF 707-3 15mm X 1/2", FAB. ELUMA</t>
    </r>
  </si>
  <si>
    <r>
      <t>COTOVELO DE COBRE 90</t>
    </r>
    <r>
      <rPr>
        <vertAlign val="superscript"/>
        <sz val="8"/>
        <rFont val="Arial"/>
        <family val="2"/>
      </rPr>
      <t>o</t>
    </r>
    <r>
      <rPr>
        <sz val="8"/>
        <rFont val="Arial"/>
        <family val="2"/>
      </rPr>
      <t xml:space="preserve"> BB 607 Ф 15mm, FAB. ELUMA</t>
    </r>
  </si>
  <si>
    <r>
      <t>COTOVELO DE COBRE 90</t>
    </r>
    <r>
      <rPr>
        <vertAlign val="superscript"/>
        <sz val="8"/>
        <rFont val="Arial"/>
        <family val="2"/>
      </rPr>
      <t>o</t>
    </r>
    <r>
      <rPr>
        <sz val="8"/>
        <rFont val="Arial"/>
        <family val="2"/>
      </rPr>
      <t xml:space="preserve"> BB 607 Ф 22mm, FAB. ELUMA</t>
    </r>
  </si>
  <si>
    <r>
      <t>TE 90</t>
    </r>
    <r>
      <rPr>
        <vertAlign val="superscript"/>
        <sz val="8"/>
        <rFont val="Arial"/>
        <family val="2"/>
      </rPr>
      <t>o</t>
    </r>
    <r>
      <rPr>
        <sz val="8"/>
        <rFont val="Arial"/>
        <family val="2"/>
      </rPr>
      <t xml:space="preserve"> DE COBRE BBB 611 Ф 15mm, FAB. ELUMA</t>
    </r>
  </si>
  <si>
    <r>
      <t xml:space="preserve">BUCHA DE REDUÇÃO BP 600-2 </t>
    </r>
    <r>
      <rPr>
        <sz val="8"/>
        <rFont val="Calibri"/>
        <family val="2"/>
      </rPr>
      <t>Ф</t>
    </r>
    <r>
      <rPr>
        <sz val="8"/>
        <rFont val="Arial"/>
        <family val="2"/>
      </rPr>
      <t xml:space="preserve"> 22x15mm, FAB. ELUMA</t>
    </r>
  </si>
  <si>
    <t>CONECTOR DE COBRE RF 603 Ф 15x1/2", FAB. ELUMA</t>
  </si>
  <si>
    <t>CONECTOR DE COBRE RM 604 Ф 15x1/2", FAB. ELUMA</t>
  </si>
  <si>
    <r>
      <t>COTOVELO DE COBRE 90</t>
    </r>
    <r>
      <rPr>
        <vertAlign val="superscript"/>
        <sz val="8"/>
        <rFont val="Arial"/>
        <family val="2"/>
      </rPr>
      <t>o</t>
    </r>
    <r>
      <rPr>
        <sz val="8"/>
        <rFont val="Arial"/>
        <family val="2"/>
      </rPr>
      <t xml:space="preserve"> BB 607 Ф 28mm, FAB. ELUMA</t>
    </r>
  </si>
  <si>
    <r>
      <t>TE 90</t>
    </r>
    <r>
      <rPr>
        <vertAlign val="superscript"/>
        <sz val="8"/>
        <rFont val="Arial"/>
        <family val="2"/>
      </rPr>
      <t>o</t>
    </r>
    <r>
      <rPr>
        <sz val="8"/>
        <rFont val="Arial"/>
        <family val="2"/>
      </rPr>
      <t xml:space="preserve"> DE COBRE BBB 611 Ф 22mm, FAB. ELUMA</t>
    </r>
  </si>
  <si>
    <r>
      <t>REGISTRO 90</t>
    </r>
    <r>
      <rPr>
        <vertAlign val="superscript"/>
        <sz val="8"/>
        <rFont val="Arial"/>
        <family val="2"/>
      </rPr>
      <t>o</t>
    </r>
    <r>
      <rPr>
        <sz val="8"/>
        <rFont val="Arial"/>
        <family val="2"/>
      </rPr>
      <t xml:space="preserve"> TIPO BICO DE MAMADEIDA 1/2" X 3/8"- VÁLVULA BLOQUEIO, FAB. JACKWALL</t>
    </r>
  </si>
  <si>
    <t>VÁLVULA DE RETENÇÃO TIPO GVU-1/2", FAB. COMAP</t>
  </si>
  <si>
    <t>REGULADOR YANNES 2o. ESTÁGIO 5/8NCx3/8</t>
  </si>
  <si>
    <t>KIT DE TUBOS E CONEXÕES DE COBRE FLEXÍVEL Ф3/8"</t>
  </si>
  <si>
    <t xml:space="preserve">CAIXA MEDIÇÃO EMBUTIR EM CHAPA DE ALUMÍNIO #20BWG, DIM. 30x60x17cm P/01 MEDIDOR, FAB. TECNELSA, AÇOBRAS </t>
  </si>
  <si>
    <t>EXTINTOR PORTÁTIL, PÓ QUIMICO (FOSFATO MONOAMÔNICO), NBR-10121 PQS-6Kg TRICLASSE (3A-20B-EN010), FAB. KIDDE, ZEUS</t>
  </si>
  <si>
    <t>CAIXA DE INCENDIO METÁLICA DIM. 90 X 60 X 17cm, TIPO EMBUTIR, COM VISOR / INSCRIÇÃO / SUPORTE MANG. FAB. TECNELSA, AÇOBRAS</t>
  </si>
  <si>
    <t>Canalização Chuveiros - Sprinklers</t>
  </si>
  <si>
    <t>Bombeamento / Registros - Sprinklers</t>
  </si>
  <si>
    <t>VÁLVULA DE BLOQUEIO TIPO SOLENÓIDE 1/2", ACIONADA POR DETECTOR DE VAZAMENTO DE GÁS</t>
  </si>
  <si>
    <t>11.2.1</t>
  </si>
  <si>
    <t>11.2.2</t>
  </si>
  <si>
    <t>11.2.3</t>
  </si>
  <si>
    <t>11.2.4</t>
  </si>
  <si>
    <t>11.2.5</t>
  </si>
  <si>
    <t>11.2.6</t>
  </si>
  <si>
    <t>11.2.7</t>
  </si>
  <si>
    <t>11.2.8</t>
  </si>
  <si>
    <t>11.2.9</t>
  </si>
  <si>
    <t>11.2.10</t>
  </si>
  <si>
    <t>11.2.11</t>
  </si>
  <si>
    <t>11.2.12</t>
  </si>
  <si>
    <t>11.2.13</t>
  </si>
  <si>
    <t>11.2.14</t>
  </si>
  <si>
    <t>11.2.15</t>
  </si>
  <si>
    <t>11.2.16</t>
  </si>
  <si>
    <t>COTOVELO 45o FERRO MALEÁVEL GALVANIZADO Ф 1.1/4", FAB. TUPY</t>
  </si>
  <si>
    <t>TE 90o FERRO MALEÁVEL GALVANIZADO Ф 1.1/4", FAB. TUPY</t>
  </si>
  <si>
    <t>TE 90o FERRO MALEÁVEL GALVANIZADO Ф 1.1/2", FAB. TUPY</t>
  </si>
  <si>
    <r>
      <t>TE 90</t>
    </r>
    <r>
      <rPr>
        <vertAlign val="superscript"/>
        <sz val="8"/>
        <rFont val="Arial"/>
        <family val="2"/>
      </rPr>
      <t>o</t>
    </r>
    <r>
      <rPr>
        <sz val="8"/>
        <rFont val="Arial"/>
        <family val="2"/>
      </rPr>
      <t xml:space="preserve"> GALVANIZADO REDUÇÃO Ф 3" x 2", FAB. TUPY</t>
    </r>
  </si>
  <si>
    <r>
      <t>TE 90</t>
    </r>
    <r>
      <rPr>
        <vertAlign val="superscript"/>
        <sz val="8"/>
        <rFont val="Arial"/>
        <family val="2"/>
      </rPr>
      <t>o</t>
    </r>
    <r>
      <rPr>
        <sz val="8"/>
        <rFont val="Arial"/>
        <family val="2"/>
      </rPr>
      <t xml:space="preserve"> GALVANIZADO REDUÇÃO Ф 3" x 1.1/2", FAB. TUPY</t>
    </r>
  </si>
  <si>
    <r>
      <t>TE 90</t>
    </r>
    <r>
      <rPr>
        <vertAlign val="superscript"/>
        <sz val="8"/>
        <rFont val="Arial"/>
        <family val="2"/>
      </rPr>
      <t>o</t>
    </r>
    <r>
      <rPr>
        <sz val="8"/>
        <rFont val="Arial"/>
        <family val="2"/>
      </rPr>
      <t xml:space="preserve"> GALVANIZADO REDUÇÃO LATERAL Ф 1.1/4" x 1" x 1", FAB. TUPY</t>
    </r>
  </si>
  <si>
    <r>
      <t>TE 90</t>
    </r>
    <r>
      <rPr>
        <vertAlign val="superscript"/>
        <sz val="8"/>
        <rFont val="Arial"/>
        <family val="2"/>
      </rPr>
      <t>o</t>
    </r>
    <r>
      <rPr>
        <sz val="8"/>
        <rFont val="Arial"/>
        <family val="2"/>
      </rPr>
      <t xml:space="preserve"> GALVANIZADO REDUÇÃO LATERAL Ф 1.1/2" x 1" x 1.1/4", FAB. TUPY</t>
    </r>
  </si>
  <si>
    <r>
      <t>TE 90</t>
    </r>
    <r>
      <rPr>
        <vertAlign val="superscript"/>
        <sz val="8"/>
        <rFont val="Arial"/>
        <family val="2"/>
      </rPr>
      <t>o</t>
    </r>
    <r>
      <rPr>
        <sz val="8"/>
        <rFont val="Arial"/>
        <family val="2"/>
      </rPr>
      <t xml:space="preserve"> GALVANIZADO REDUÇÃO LATERAL Ф 2" x 1" x 1.1/2", FAB. TUPY</t>
    </r>
  </si>
  <si>
    <r>
      <t>TE 90</t>
    </r>
    <r>
      <rPr>
        <vertAlign val="superscript"/>
        <sz val="8"/>
        <rFont val="Arial"/>
        <family val="2"/>
      </rPr>
      <t>o</t>
    </r>
    <r>
      <rPr>
        <sz val="8"/>
        <rFont val="Arial"/>
        <family val="2"/>
      </rPr>
      <t xml:space="preserve"> GALVANIZADO REDUÇÃO Ф 2.1/2" x 1.1/2", FAB. TUPY</t>
    </r>
  </si>
  <si>
    <r>
      <t>TE 90</t>
    </r>
    <r>
      <rPr>
        <vertAlign val="superscript"/>
        <sz val="8"/>
        <rFont val="Arial"/>
        <family val="2"/>
      </rPr>
      <t>o</t>
    </r>
    <r>
      <rPr>
        <sz val="8"/>
        <rFont val="Arial"/>
        <family val="2"/>
      </rPr>
      <t xml:space="preserve"> GALVANIZADO REDUÇÃO Ф 3" x 1.1/4", FAB. TUPY</t>
    </r>
  </si>
  <si>
    <r>
      <t>TE 90</t>
    </r>
    <r>
      <rPr>
        <vertAlign val="superscript"/>
        <sz val="8"/>
        <rFont val="Arial"/>
        <family val="2"/>
      </rPr>
      <t>o</t>
    </r>
    <r>
      <rPr>
        <sz val="8"/>
        <rFont val="Arial"/>
        <family val="2"/>
      </rPr>
      <t xml:space="preserve"> GALVANIZADO REDUÇÃO Ф 4" x 2.1/2", FAB. TUPY</t>
    </r>
  </si>
  <si>
    <t>BUCHA DE REDUCAO FERRO GALVANIZADO Ф 3 x 1.1/4", FAB. TUPY</t>
  </si>
  <si>
    <t>NIPLE DUPLO SEXTAVADO FERRO GALVANIZADO Ф 1.1/4", FAB. TUPY</t>
  </si>
  <si>
    <t>NIPLE DUPLO SEXTAVADO FERRO GALVANIZADO Ф 1.1/2", FAB. TUPY</t>
  </si>
  <si>
    <t>LUVA UNIÃO FERRO GALVANIZADO ASSENTO PLANO Ф 1.1/4", FAB. TUPY</t>
  </si>
  <si>
    <t>LUVA UNIÃO FERRO GALVANIZADO ASSENTO PLANO Ф 1.1/2", FAB. TUPY</t>
  </si>
  <si>
    <t>11.1</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</si>
  <si>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</si>
  <si>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</si>
  <si>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</si>
  <si>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</si>
  <si>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</si>
  <si>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</si>
  <si>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</si>
  <si>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</si>
  <si>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</si>
  <si>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</si>
  <si>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</si>
  <si>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</si>
  <si>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</si>
  <si>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</si>
  <si>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</si>
  <si>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</si>
  <si>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</si>
  <si>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</si>
  <si>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</si>
  <si>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</si>
  <si>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</si>
  <si>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</si>
  <si>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</si>
  <si>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</si>
  <si>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</si>
  <si>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</si>
  <si>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</si>
  <si>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</si>
  <si>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</si>
  <si>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</si>
  <si>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</si>
  <si>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</si>
  <si>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</si>
  <si>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</si>
  <si>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</si>
  <si>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</si>
  <si>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</si>
  <si>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</si>
  <si>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</si>
  <si>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</si>
  <si>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</si>
  <si>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</si>
  <si>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</si>
  <si>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</si>
  <si>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</si>
  <si>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</si>
  <si>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</si>
  <si>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</si>
  <si>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</si>
  <si>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</si>
  <si>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</si>
  <si>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</si>
  <si>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</si>
  <si>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</si>
  <si>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</si>
  <si>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</si>
  <si>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</si>
  <si>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</si>
  <si>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</si>
  <si>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</si>
  <si>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</si>
  <si>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</si>
  <si>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</si>
  <si>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</si>
  <si>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</si>
  <si>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</si>
  <si>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</si>
  <si>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</si>
  <si>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</si>
  <si>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</si>
  <si>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</si>
  <si>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</si>
  <si>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</si>
  <si>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</si>
  <si>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</si>
  <si>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</si>
  <si>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</si>
  <si>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</si>
  <si>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</si>
  <si>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</si>
  <si>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</si>
  <si>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</si>
  <si>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</si>
  <si>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</si>
  <si>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</si>
  <si>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</si>
  <si>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</si>
  <si>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</si>
  <si>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</si>
  <si>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</si>
  <si>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</si>
  <si>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</si>
  <si>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</si>
  <si>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</si>
  <si>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</si>
  <si>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</si>
  <si>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HIDRANTE DE RECALQUE FERRO FUNDIDO 60x40cm COMPLETO-VERMELHO</t>
  </si>
  <si>
    <t>HIDRANTE DE RECALQUE FERRO FUNDIDO 60x40cm COMPLETO-AMARELO</t>
  </si>
  <si>
    <t>CRM - CENTRAL DE REGULAÇÃO E MEDIÇÃO, PADRÃO CEGÁS</t>
  </si>
  <si>
    <t>1.15.32</t>
  </si>
  <si>
    <r>
      <t>CURVA 90</t>
    </r>
    <r>
      <rPr>
        <vertAlign val="superscript"/>
        <sz val="8"/>
        <rFont val="Arial"/>
        <family val="2"/>
      </rPr>
      <t>o</t>
    </r>
    <r>
      <rPr>
        <sz val="8"/>
        <rFont val="Arial"/>
        <family val="2"/>
      </rPr>
      <t xml:space="preserve"> P/ELETRODUTO EM AÇO-CARBONO (GE), ROSCA </t>
    </r>
    <r>
      <rPr>
        <sz val="8"/>
        <rFont val="Calibri"/>
        <family val="2"/>
      </rPr>
      <t>Ф</t>
    </r>
    <r>
      <rPr>
        <sz val="8"/>
        <rFont val="Arial"/>
        <family val="2"/>
      </rPr>
      <t xml:space="preserve"> 1", FAB.ELECON, CARBINOX</t>
    </r>
  </si>
  <si>
    <r>
      <t>CURVA 90</t>
    </r>
    <r>
      <rPr>
        <vertAlign val="superscript"/>
        <sz val="8"/>
        <rFont val="Arial"/>
        <family val="2"/>
      </rPr>
      <t>o</t>
    </r>
    <r>
      <rPr>
        <sz val="8"/>
        <rFont val="Arial"/>
        <family val="2"/>
      </rPr>
      <t xml:space="preserve"> P/ELETRODUTO EM AÇO-CARBONO (GE), ROSCA </t>
    </r>
    <r>
      <rPr>
        <sz val="8"/>
        <rFont val="Calibri"/>
        <family val="2"/>
      </rPr>
      <t>Ф</t>
    </r>
    <r>
      <rPr>
        <sz val="8"/>
        <rFont val="Arial"/>
        <family val="2"/>
      </rPr>
      <t xml:space="preserve"> 1.1/4", FAB.ELECON, CARBINOX</t>
    </r>
  </si>
  <si>
    <r>
      <t xml:space="preserve">LUVA P/ELETRODUTO EM AÇO-CARBONO (GE), ROSCA </t>
    </r>
    <r>
      <rPr>
        <sz val="8"/>
        <rFont val="Calibri"/>
        <family val="2"/>
      </rPr>
      <t>Ф</t>
    </r>
    <r>
      <rPr>
        <sz val="8"/>
        <rFont val="Arial"/>
        <family val="2"/>
      </rPr>
      <t xml:space="preserve"> 1", FAB.ELECON, CARBINOX</t>
    </r>
  </si>
  <si>
    <r>
      <t xml:space="preserve">LUVA P/ELETRODUTO EM AÇO-CARBONO (GE), ROSCA </t>
    </r>
    <r>
      <rPr>
        <sz val="8"/>
        <rFont val="Calibri"/>
        <family val="2"/>
      </rPr>
      <t>Ф</t>
    </r>
    <r>
      <rPr>
        <sz val="8"/>
        <rFont val="Arial"/>
        <family val="2"/>
      </rPr>
      <t xml:space="preserve"> 1.1/4", FAB.ELECON, CARBINOX</t>
    </r>
  </si>
  <si>
    <t>CAIXA DE ALUMÍNIO QUADRADA 4"x4", FAB. WETZEL, TRAMONTINA</t>
  </si>
  <si>
    <t xml:space="preserve">CONDULETE EM LIGA DE ALUMÍNIO, PARAF. AÇO ZINCADO, JUNTA DE VEDAÇÃO, TIPO "L", ROSCA Ф 1", FAB. WETZEL  </t>
  </si>
  <si>
    <t>12.1</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</si>
  <si>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</si>
  <si>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</si>
  <si>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</si>
  <si>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</si>
  <si>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</si>
  <si>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</si>
  <si>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</si>
  <si>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</si>
  <si>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</si>
  <si>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</si>
  <si>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</si>
  <si>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</si>
  <si>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</si>
  <si>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</si>
  <si>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</si>
  <si>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</si>
  <si>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</si>
  <si>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</si>
  <si>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</si>
  <si>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</si>
  <si>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</si>
  <si>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</si>
  <si>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</si>
  <si>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</si>
  <si>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</si>
  <si>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QUADRO METÁLICO COM PORTA DE 40x40x12cm PARA ABRIGAR MÓDULOS DE COMANDO</t>
  </si>
  <si>
    <t>12.2</t>
  </si>
  <si>
    <t>12.2.1</t>
  </si>
  <si>
    <t>12.3</t>
  </si>
  <si>
    <t>12.3.1</t>
  </si>
  <si>
    <t>12.3.2</t>
  </si>
  <si>
    <t>12.3.3</t>
  </si>
  <si>
    <t>12.3.4</t>
  </si>
  <si>
    <t>12.3.5</t>
  </si>
  <si>
    <t>12.3.6</t>
  </si>
  <si>
    <t>12.3.7</t>
  </si>
  <si>
    <t>12.3.8</t>
  </si>
  <si>
    <t>12.3.9</t>
  </si>
  <si>
    <t>12.3.10</t>
  </si>
  <si>
    <t>12.3.11</t>
  </si>
  <si>
    <t>12.3.12</t>
  </si>
  <si>
    <t>12.3.13</t>
  </si>
  <si>
    <t>12.3.14</t>
  </si>
  <si>
    <t>12.3.15</t>
  </si>
  <si>
    <t>12.3.16</t>
  </si>
  <si>
    <t>SISTEMA DETECÇÃO E ALARME INCÊNDIO - SDAI</t>
  </si>
  <si>
    <r>
      <t>SPRINKLER PENDENTE, MOD. RTR H15, POSIÇÃO H, K-80, ROSCA 1/2", TEMP. 68</t>
    </r>
    <r>
      <rPr>
        <vertAlign val="superscript"/>
        <sz val="8"/>
        <rFont val="Arial"/>
        <family val="2"/>
      </rPr>
      <t>o</t>
    </r>
    <r>
      <rPr>
        <sz val="8"/>
        <rFont val="Arial"/>
        <family val="2"/>
      </rPr>
      <t>C (BULBO VERMELHO), ACAB. CROMADO, ABNT, UL-BR, FAB. SKOP, KIDDE</t>
    </r>
  </si>
  <si>
    <r>
      <t>SPRINKLER LATERAL HORIZONTAL, MOD. RTR H15, POSIÇÃO LH, K-80, ROSCA 1/2", TEMP. 68</t>
    </r>
    <r>
      <rPr>
        <vertAlign val="superscript"/>
        <sz val="8"/>
        <rFont val="Arial"/>
        <family val="2"/>
      </rPr>
      <t>o</t>
    </r>
    <r>
      <rPr>
        <sz val="8"/>
        <rFont val="Arial"/>
        <family val="2"/>
      </rPr>
      <t>C (BULBO VERMELHO), ACAB. CROMADO, ABNT, UL-BR, FAB. SKOP, KIDDE</t>
    </r>
  </si>
  <si>
    <t>CABO BLINDADO PARA DETECÇÃO DE INCÊNDIO 600V COM CONDUTORES SÓLIDOS DE 2x1,50mm2, TORCIDOS PARALELAMENTE + FIO DRENO,  COM BLINDAGEM FITA DE POLIESTER ALUMINIZADA, FAB. POLIRON, FCI</t>
  </si>
  <si>
    <r>
      <t xml:space="preserve">ADAPTADOR MACHO PPR </t>
    </r>
    <r>
      <rPr>
        <sz val="8"/>
        <rFont val="Calibri"/>
        <family val="2"/>
      </rPr>
      <t>Ф</t>
    </r>
    <r>
      <rPr>
        <sz val="8"/>
        <rFont val="Arial"/>
        <family val="2"/>
      </rPr>
      <t xml:space="preserve"> 90mm x 3", FAB. TIGRE, AMANCO, UNIKAP</t>
    </r>
  </si>
  <si>
    <r>
      <t>ELETROCALHA C/VIROLA "C" EM CHAPA DE AÇO PERFURADO, CH#18 MSG, Ref.: MAX.EPU-PGF, NBR-7008, DIM.</t>
    </r>
    <r>
      <rPr>
        <b/>
        <sz val="8"/>
        <rFont val="Arial"/>
        <family val="2"/>
      </rPr>
      <t>250x100mm</t>
    </r>
    <r>
      <rPr>
        <sz val="8"/>
        <rFont val="Arial"/>
        <family val="2"/>
      </rPr>
      <t>, FAB. MAXTIL, VALEMAM, CARMEHIL</t>
    </r>
  </si>
  <si>
    <t>TAMPA DE PRESSÃO C/REFORÇO EM CHAPA DE AÇO LISA, CH#18 MSG, Ref.: MAX.ET.PP-GF, NBR-7008, P/ELETROCALHA 250mm, FAB. MAXTIL, VALEMAM, CARMEHIL</t>
  </si>
  <si>
    <t xml:space="preserve">CURVA HORIZONTAL 90o EM CHAPA DE AÇO LISA, CH#18 MSG, Ref.: MAX.EL.CH9JI-PGF, NBR-7008, P/ELETROCALHA 250x100mm, FAB. MAXTIL, VALEMAN, CARMEHIL     </t>
  </si>
  <si>
    <t xml:space="preserve">TE HORIZONTAL 90o EM CHAPA DE AÇO LISA, CH#18 MSG, Ref.: MAX.EL.TRJI-PGF, NBR-7008, P/ELETROCALHA 250x100mm, FAB. MAXTIL, VALEMAM, CARMEHIL     </t>
  </si>
  <si>
    <t>SUSPENSÃO VERTICAL TIPO "B" EM CHAPA DE AÇO LISA, CH#18 MSG, C/02 FUROS, Ref.: MAX.E.SV-PGF, NBR-7008, P/ELETROCALHA 250x100mm, FAB. MAXTIL, VALEMAM, CARMEHIL</t>
  </si>
  <si>
    <t>KIT DE INSTALAÇÃO DE BACIA LINHA VOGUE PLUS, FIXAÇÃO LATERAL (PARAF.+ANEL), REF.: 1201.C.KIT.P, FAB. DECA</t>
  </si>
  <si>
    <t xml:space="preserve">TUBO DE LIGAÇÃO COM CANOPLA DE PAREDE CROMADA E ESPUDE 1.1/2" X 25cm, COD. CLA2, FAB.ASTRA </t>
  </si>
  <si>
    <t>ASSENTO SANITÁRIO EM PLÁSTICO P/BACIA LINHA MONTE CARLO, REF.: AP.80-17, FAB. DECA</t>
  </si>
  <si>
    <r>
      <t xml:space="preserve">DUCHA HIGIÊNICA ACTIVE, GATILHO BRANCO E REGISTRO </t>
    </r>
    <r>
      <rPr>
        <sz val="8"/>
        <rFont val="Calibri"/>
        <family val="2"/>
      </rPr>
      <t>Ф</t>
    </r>
    <r>
      <rPr>
        <sz val="8"/>
        <rFont val="Arial"/>
        <family val="2"/>
      </rPr>
      <t xml:space="preserve"> 1/2", LINHA TARGA, REF.: 1984.C40.ACT.CR, FAB. DECA</t>
    </r>
  </si>
  <si>
    <r>
      <t>BARRA DE APOIO HOSPITALAR ONESELF 90</t>
    </r>
    <r>
      <rPr>
        <vertAlign val="superscript"/>
        <sz val="8"/>
        <rFont val="Arial"/>
        <family val="2"/>
      </rPr>
      <t>o</t>
    </r>
    <r>
      <rPr>
        <sz val="8"/>
        <rFont val="Arial"/>
        <family val="2"/>
      </rPr>
      <t xml:space="preserve"> X 70cm P/CHUVEIRO (PcD), ACAB. CROMADO, REF.: 21.05.132.042.08, FAB. CRISMOE</t>
    </r>
  </si>
  <si>
    <t>BARRA DE APOIO HOSPITALAR ONESELF RETA 70cm P/VASO SANITÁRIO (PcD), ACAB. CROMADO, REF.: 37.OS05.CR, FAB. CRISMOE</t>
  </si>
  <si>
    <t>BARRA DE APOIO HOSPITALAR ONESELF ARTICULADA 60cm P/VASO SANITÁRIO (PcD), ACAB. CROMADO, REF.: 47.OS03.CR, FAB. CRISMOE</t>
  </si>
  <si>
    <t>9.1.48</t>
  </si>
  <si>
    <t>9.1.49</t>
  </si>
  <si>
    <t>9.1.50</t>
  </si>
  <si>
    <t>CABIDE LINHA TARGA, REF.: 2060.C40,CR, FAB. DECA</t>
  </si>
  <si>
    <t>9.1.51</t>
  </si>
  <si>
    <t>9.1.52</t>
  </si>
  <si>
    <t>ASSENTO SANITÁRIO TERMOFIXO SLOW CLOSE P/BACIA NUOVA, REF.: AP.236-17, FAB. DECA</t>
  </si>
  <si>
    <t>CANOPLA P/BACIA COM SAÍDA HORIZONTAL, REF.: CH.01.17, FAB. DECA</t>
  </si>
  <si>
    <t>CAIXA DE DESCARGA EMBUTIR LINHA M9000, COM ACIONAMENTO FRONTAL ABS CROMADO, FAB. MONTANA</t>
  </si>
  <si>
    <t>CUBA DE LOUÇA EMBUTIR REDONDA 42cm, COR BRANCA, REF.: L.56, FAB. DECA</t>
  </si>
  <si>
    <t>LAVATÓRIO SUSPENSO DE CANTO COM MESA, COR BRANCA, REF.: L.76.17, FAB. DECA</t>
  </si>
  <si>
    <t>LAVATÓRIO COLUNA SUSPENSA (CS.1.17), COR BRANCA, LINHA VOGUE PLUS, REF.: L.51.17, FAB. DECA</t>
  </si>
  <si>
    <t>MICTÓRIO SIFONADO C/KIT DE LIGAÇÃO, LOUÇA BRANCA, REF.: M.714.17, FAB. DECA</t>
  </si>
  <si>
    <t>CONJUNTO PARA FIXAÇÃO MICTÓRIO REF.: FM.714.01, FAB. DECA</t>
  </si>
  <si>
    <t>FIXACAO P/LAVATORIO REF.: SP.7.01, FAB. DECA</t>
  </si>
  <si>
    <t>FIXACAO P/COLUNA REF.: SP.13.01, FAB. DECA</t>
  </si>
  <si>
    <t>TORNEIRA DE PRESSÃO CROMADA P/LAVATÓRIO - MESA, LINHA PRESMATIC, REF.: 1170.C, FAB. DECA</t>
  </si>
  <si>
    <t>TORNEIRA DE PRESSÃO CROMADA P/LAVATÓRIO - MESA, LINHA PRESMATIC ECO, REF.: 1173.C, FAB. DECA</t>
  </si>
  <si>
    <t>TORNEIRA DE PRESSÃO CROMADA P/LAVATÓRIO - MESA BICA ALTA, LINHA PRESMATIC ECO, REF.: 1175.C, FAB. DECA</t>
  </si>
  <si>
    <t>TORNEIRA ELETRÔNICA DE PAREDE COM SENSOR DE ACIONAMENTO, LINHA QUADRAT CROMADA, REF.: 80.351, FAB. DRACO</t>
  </si>
  <si>
    <t>ENGATE FLEXÍVEL METÁLICO Ф 1/2"x 40cm, REF.: 4607.C, FAB.DECA</t>
  </si>
  <si>
    <t>SIFÃO METÁLICO CROMADO COM COPO DE 1" x 1.1/2" LV, REF.: 1680.C100, FAB. DECA</t>
  </si>
  <si>
    <t>VÁLVULA DE ESCOAMENTO METÁLICA CROMADA REF.: 1602-C.PLA UNIVERSAL P/ LV-TQ, FAB. DECA</t>
  </si>
  <si>
    <t>SIFÃO METÁLICO CROMADO COM COPO DE 1.1/2" x 2" PIA/TQ, REF.: 1680.C112, FAB. DECA</t>
  </si>
  <si>
    <t>TANQUE DE LAVAR ROUPA 56x43cm CAP.20L C/COLUNA (CT.11.17), LOUÇA BRANCA, REF.: TQ.01.17, FAB. DECA</t>
  </si>
  <si>
    <t>TORNEIRA DE PAREDE P/TANQUE, LINHA STANDARD, REF.: 1153.C, FAB. DECA</t>
  </si>
  <si>
    <t>TORNEIRA DE PAREDE P/PIA COZINHA, LINHA CONFORTO LINK, REF.: 1176.C.LNK, FAB. DECA</t>
  </si>
  <si>
    <t>MISTURADOR PARA PIA DE COZINHA BICA MÓVEL - PAREDE, LINHA IZY, REF.: 1258.C37, FAB. DECA</t>
  </si>
  <si>
    <t xml:space="preserve">CHUVEIRO METÁLICO CROMADO DE PAREDE, COM TUBO Ф 1/2" DESVIADOR E DUCHA MANUAL, LINHA DUCHA MAX, REF.: 1975.C, FAB. DECA </t>
  </si>
  <si>
    <t xml:space="preserve">CHUVEIRO METÁLICO CROMADO DE PAREDE, COM TUBO Ф 1/2", LINHA SPOT, REF. 1973.C.CT, FAB. DECA </t>
  </si>
  <si>
    <t>TORNEIRA DE JARDIM C/ADAPTADOR P/MANGUEIRA, LINHA STANDARD, REF.: 1153.C, FAB. DECA</t>
  </si>
  <si>
    <t>ACABAMENTO CROMADO P/REGISTRO Ф 3/4", LINHA TARGA, REF.: 1509.C40, FAB. DECA</t>
  </si>
  <si>
    <t>ACABAMENTO CROMADO P/REGISTRO Ф 1", LINHA TARGA, REF.: 1509.C40, FAB. DECA</t>
  </si>
  <si>
    <t>ACABAMENTO CROMADO P/REGISTRO Ф 1.1/4", LINHA TARGA, REF.: 1509.C40, FAB. DECA</t>
  </si>
  <si>
    <t>CHUVEIRO LAVA-OLHO DE EMERGÊNCIA EM AÇO INOX, REF.: CL.001i, FAB; HAWSAVLIS</t>
  </si>
  <si>
    <t>TOALHEIRO RACK 45cm COM ALÇA CROMADA, REF.: 12.AF.00, FAB. CRISMOE</t>
  </si>
  <si>
    <t>9.1.53</t>
  </si>
  <si>
    <t>9.1.54</t>
  </si>
  <si>
    <t>9.1.55</t>
  </si>
  <si>
    <t>9.1.56</t>
  </si>
  <si>
    <t>9.1.57</t>
  </si>
  <si>
    <t>MISTURADOR TERMOSTATO DECATERM P/CHUVEIRO, REG.20ºC a 60ºC, ROSCA Ф 3/4", REF.: 2430.C.034, FAB. DECA</t>
  </si>
  <si>
    <t>SÓ TEM ESPECIFICAÇÃO DO CABIDE e TOALHEIRO RACK</t>
  </si>
  <si>
    <t>CAIXA SIFONADA EM PVC COM GRELHA INOX 100 x 150 x 50mm, FAB. TIGRE, AMANCO</t>
  </si>
  <si>
    <t>CAIXA SIFONADA EM PVC COM GRELHA INOX 150 x 150 x 50mm, FAB. TIGRE, AMANCO</t>
  </si>
  <si>
    <t>CAIXA SIFONADA EM PVC COM GRELHA INOX 150 x 185 x 75mm, FAB. TIGRE, AMANCO</t>
  </si>
  <si>
    <t>CAIXA SIFONADA EM PVC COM GRELHA CEGA INOX 150 x 150 x 50mm, FAB. TIGRE, AMANCO</t>
  </si>
  <si>
    <t>RALO SAIDA VERTICAL COM GRELHA INOX 100 x 100 x 40mm, FAB. TIGRE, AMANCO</t>
  </si>
  <si>
    <t>TOMADA P/DADOS SIMPLES 1xRJ-45 CAT.6, REF.: 35060601 + PLACA 4x4 + SUPORTE, FAB. FURUKAWA, PIAL PLUS</t>
  </si>
  <si>
    <t>TOMADA P/DADOS DUPLA 2xRJ-45 CAT.6, REF.: 35060601 + PLACA 4x4 + SUPORTE, FAB. FURUKAWA, PIAL PLUS</t>
  </si>
  <si>
    <t>TOMADA P/DADOS QUADRUPLA 4xRJ-45 CAT.6, REF.: 35060601 + PLACA 4x4 + SUPORTE, FAB. FURUKAWA, PIAL PLUS</t>
  </si>
  <si>
    <t>TOMADA P/DADOS SIMPLES 1xRJ-45 CAT.6A, REF.: 35080011 + PLACA 4x4 + SUPORTE, FAB. FURUKAWA, PIAL PLUS</t>
  </si>
  <si>
    <t>TOMADA P/DADOS DUPLA 2xRJ-45 CAT.6A, REF.: 35080011 + PLACA 4x4 + SUPORTE, FAB. FURUKAWA, PIAL PLUS</t>
  </si>
  <si>
    <t xml:space="preserve">Equipamentos No-Break </t>
  </si>
  <si>
    <t>PAINEL DE SINAL STW2</t>
  </si>
  <si>
    <t>QF.IT.SC-1...6 800 x 600 x 120mm (ALP) - EMBUTIR</t>
  </si>
  <si>
    <t>7.6</t>
  </si>
  <si>
    <t>AQ - Equipamentos, Válvulas e Registros</t>
  </si>
  <si>
    <t>AF - Bombas, Válvulas e Registros</t>
  </si>
  <si>
    <t>AQ - Tubulação em PPR (Distribuição)</t>
  </si>
  <si>
    <t>AF - Tubulação em PVC (Distribuição)</t>
  </si>
  <si>
    <t>AQ - Tubulação em PPR (Isométricos)</t>
  </si>
  <si>
    <t>AF - Tubulação em PVC Soldável (Isométricos)</t>
  </si>
  <si>
    <t>7.6.1</t>
  </si>
  <si>
    <t>7.6.2</t>
  </si>
  <si>
    <t>7.6.3</t>
  </si>
  <si>
    <t>7.6.4</t>
  </si>
  <si>
    <t>7.6.5</t>
  </si>
  <si>
    <t>7.6.6</t>
  </si>
  <si>
    <t>7.6.7</t>
  </si>
  <si>
    <t>7.6.8</t>
  </si>
  <si>
    <t>7.6.9</t>
  </si>
  <si>
    <t>7.6.10</t>
  </si>
  <si>
    <t>7.6.11</t>
  </si>
  <si>
    <t>7.6.12</t>
  </si>
  <si>
    <t>7.6.13</t>
  </si>
  <si>
    <t>7.6.14</t>
  </si>
  <si>
    <t>7.6.15</t>
  </si>
  <si>
    <t>7.6.16</t>
  </si>
  <si>
    <t>7.6.17</t>
  </si>
  <si>
    <t>7.6.18</t>
  </si>
  <si>
    <t>7.6.19</t>
  </si>
  <si>
    <t>7.6.20</t>
  </si>
  <si>
    <t>7.7</t>
  </si>
  <si>
    <t>7.7.1</t>
  </si>
  <si>
    <t>7.7.2</t>
  </si>
  <si>
    <t>7.7.3</t>
  </si>
  <si>
    <t>7.7.4</t>
  </si>
  <si>
    <t>7.7.5</t>
  </si>
  <si>
    <t>7.7.6</t>
  </si>
  <si>
    <t>7.7.7</t>
  </si>
  <si>
    <t>7.7.8</t>
  </si>
  <si>
    <t>7.7.9</t>
  </si>
  <si>
    <t>7.7.10</t>
  </si>
  <si>
    <t>7.7.11</t>
  </si>
  <si>
    <t>7.7.12</t>
  </si>
  <si>
    <t>,</t>
  </si>
  <si>
    <t>7.8</t>
  </si>
  <si>
    <t>Sistema de Irrigação Automatizada</t>
  </si>
  <si>
    <t>PLD-ESD 16mm Drip Line 2,2 360º, FAB. HUNTER</t>
  </si>
  <si>
    <t>ASPERSOR MP ROTATOR MP 1000, FAB. HUNTER</t>
  </si>
  <si>
    <t>ASPERSOR PGJ 2.0 VERMELHO 360º, FAB. HUNTER</t>
  </si>
  <si>
    <t>ASPERSOR PGJ 2.0 VERMELHO ADJº, FAB. HUNTER</t>
  </si>
  <si>
    <t>ASPERSOR PGJ 5.0 VERMELHO ADJº, FAB. HUNTER</t>
  </si>
  <si>
    <t>ASPERSOR MP ROTATOR MPLCS515, FAB. HUNTER</t>
  </si>
  <si>
    <t>ASPERSOR MP ROTATOR MPRCS515, FAB. HUNTER</t>
  </si>
  <si>
    <t>ASPERSOR MP ROTATOR MPRSS530, FAB. HUNTER</t>
  </si>
  <si>
    <t>ASPERSOR RZWS RZWS-18-25 360º, FAB. HUNTER</t>
  </si>
  <si>
    <t>CONEXÃO FLEXIVEL SJ 512 1/2" 30CM, FAB. HUNTER</t>
  </si>
  <si>
    <t>VÁLVULA ELÉTRICA MOD. ICV.101G, FAB. HUNTER</t>
  </si>
  <si>
    <t>CONTROLADOR MODULAR MOD. HCC 800PL WiFi EZ Decoder, FAB. HUNTER</t>
  </si>
  <si>
    <t>MEDIDOR DE FLUXO MOD. HC-100-FLOW-B, ROSCA BSP 25mm(1"), FAB. HUNTER</t>
  </si>
  <si>
    <t>VÁLVULA ANTE-DRENO MOD. HC-50F-50F: ENTRA F.1/2" x SAI F.1/2" , FAB. HUNTER</t>
  </si>
  <si>
    <t>SENSOR DE UMIDADE DO SOLO SOIL-CLIK, FAB. HUNTER</t>
  </si>
  <si>
    <t>SISTEMA ET - WIND EVAPOTRANSPIRAÇÃO, FAB. HUNTER</t>
  </si>
  <si>
    <t>7.8.1</t>
  </si>
  <si>
    <t>CORPO DE ASPERSOR PRÓ-SPRAY 04, FAB. HUNTER</t>
  </si>
  <si>
    <t>CONJUNTO DE SUCÇÃO E RECALQUE 1.1/4" X 1" X 50m</t>
  </si>
  <si>
    <t xml:space="preserve">CONJUNTO DE CONEXÕES EM PVC </t>
  </si>
  <si>
    <t>QUADRO DE FORÇA E COMANDO</t>
  </si>
  <si>
    <t>Sistema IT Médico (Equipos)</t>
  </si>
  <si>
    <r>
      <t xml:space="preserve">POSTE DECORATIVO EM AÇO TRATADO E ZINCADO ALTURA ÚTIL 3,0m, 01 PÉTALA EM ALUMÍNIO MOLDADO E VIDRO TEMPERADO FOSCO, MÓDULO LED </t>
    </r>
    <r>
      <rPr>
        <b/>
        <sz val="8"/>
        <rFont val="Arial"/>
        <family val="2"/>
      </rPr>
      <t>24,8W</t>
    </r>
    <r>
      <rPr>
        <sz val="8"/>
        <rFont val="Arial"/>
        <family val="2"/>
      </rPr>
      <t>, FLUXO 2881Lm, COR 3000K, MOD. PA003, FAB. GRADO</t>
    </r>
  </si>
  <si>
    <t>LUMINÁRIA CIRCULAR DE EMBUTIR, CORPO EM ALUMÍNIO REPUXADO, FACHO ORIENTÁVEL, COM LÂMPADA LED 1xPAR20 5W/220V, MOD. ER05-1PAR20, FAB. LUMICENTER</t>
  </si>
  <si>
    <t>LUMINÁRIA CIRCULAR DE SOBREPOR, CORPO EM ALUMÍNIO REPUXADO, DIFUSOR RECUADO EM ACRÍLICO LEITOSO (PMMA), COM LED e DRIVER 27,5W/220V, MOD. NC071719-B, FAB. LUMICENTER</t>
  </si>
  <si>
    <t>LUMINÁRIA PENDENTE, COM LÂMPADA LED 1xML830AB 4W/220V, MOD. PD65-P3LED3K, FAB. LUMICENTER</t>
  </si>
  <si>
    <t>10.2.2</t>
  </si>
  <si>
    <t>10.2.3</t>
  </si>
  <si>
    <t>10.2.4</t>
  </si>
  <si>
    <t>10.2.5</t>
  </si>
  <si>
    <t>10.2.6</t>
  </si>
  <si>
    <t>10.2.7</t>
  </si>
  <si>
    <t>10.2.8</t>
  </si>
  <si>
    <t>10.2.9</t>
  </si>
  <si>
    <t>10.2.10</t>
  </si>
  <si>
    <t>10.2.11</t>
  </si>
  <si>
    <t>10.2.12</t>
  </si>
  <si>
    <t>10.2.13</t>
  </si>
  <si>
    <t>10.2.14</t>
  </si>
  <si>
    <t>10.2.15</t>
  </si>
  <si>
    <t>10.2.16</t>
  </si>
  <si>
    <t>10.2.17</t>
  </si>
  <si>
    <t>10.2.18</t>
  </si>
  <si>
    <r>
      <t xml:space="preserve">LUMINÁRIA DE </t>
    </r>
    <r>
      <rPr>
        <b/>
        <sz val="8"/>
        <rFont val="Arial"/>
        <family val="2"/>
      </rPr>
      <t>SOBREPOR</t>
    </r>
    <r>
      <rPr>
        <sz val="8"/>
        <rFont val="Arial"/>
        <family val="2"/>
      </rPr>
      <t xml:space="preserve"> (PENDENTE), CORPO EM ALUMÍNIO EXTRUDADO, DIFUSOR EXTRUDADO EM ACRÍLICO LEITOSO, COM LEDs SMD </t>
    </r>
    <r>
      <rPr>
        <b/>
        <sz val="8"/>
        <rFont val="Arial"/>
        <family val="2"/>
      </rPr>
      <t>19W</t>
    </r>
    <r>
      <rPr>
        <sz val="8"/>
        <rFont val="Arial"/>
        <family val="2"/>
      </rPr>
      <t>/220V, MOD. LLN02-P1600840, FAB. LUMICENTER</t>
    </r>
  </si>
  <si>
    <r>
      <t>ARANDELA 45</t>
    </r>
    <r>
      <rPr>
        <vertAlign val="superscript"/>
        <sz val="8"/>
        <rFont val="Arial"/>
        <family val="2"/>
      </rPr>
      <t>o</t>
    </r>
    <r>
      <rPr>
        <sz val="8"/>
        <rFont val="Arial"/>
        <family val="2"/>
      </rPr>
      <t xml:space="preserve"> À PROVA DE EXPLOSÃO, CORPO E GRADE EM ALUMÍNIO COPPER FREE, VISOR BOROSILICATO, ROSCA BSP 3/4", COM LÂMPADA PLE-1x23W, MOD. IPE-03/2, FAB. WETZEL  - CENTRAL OXIGÊNIO</t>
    </r>
  </si>
  <si>
    <r>
      <t xml:space="preserve">LUMINÁRIA DE </t>
    </r>
    <r>
      <rPr>
        <b/>
        <sz val="8"/>
        <rFont val="Arial"/>
        <family val="2"/>
      </rPr>
      <t>SOBREPOR</t>
    </r>
    <r>
      <rPr>
        <sz val="8"/>
        <rFont val="Arial"/>
        <family val="2"/>
      </rPr>
      <t xml:space="preserve"> (PENDENTE), CORPO EM CHAPA DE AÇO, REFLETOR EM ALUMÍNIO ANODIZADO, </t>
    </r>
    <r>
      <rPr>
        <b/>
        <sz val="8"/>
        <rFont val="Arial"/>
        <family val="2"/>
      </rPr>
      <t>DIFUSOR ACRÍLICO</t>
    </r>
    <r>
      <rPr>
        <sz val="8"/>
        <rFont val="Arial"/>
        <family val="2"/>
      </rPr>
      <t xml:space="preserve"> TRANSLÚCIDO, COM 01 LÂMPADA LED T5 </t>
    </r>
    <r>
      <rPr>
        <b/>
        <sz val="8"/>
        <rFont val="Arial"/>
        <family val="2"/>
      </rPr>
      <t>1x15W</t>
    </r>
    <r>
      <rPr>
        <sz val="8"/>
        <rFont val="Arial"/>
        <family val="2"/>
      </rPr>
      <t>/220V, MOD. FHT05-S128.ACL, FAB. LUMICENTER</t>
    </r>
  </si>
  <si>
    <t>1.11.12</t>
  </si>
  <si>
    <r>
      <t xml:space="preserve">LUMINÁRIA DE PISO EM ALUMÍNO, VIDRO TEMPERADO, MÓDULO LED </t>
    </r>
    <r>
      <rPr>
        <b/>
        <sz val="8"/>
        <rFont val="Arial"/>
        <family val="2"/>
      </rPr>
      <t>4W</t>
    </r>
    <r>
      <rPr>
        <sz val="8"/>
        <rFont val="Arial"/>
        <family val="2"/>
      </rPr>
      <t xml:space="preserve">, FLUXO 250Lm, COR 2700K, Ф 55mm, MOD. RE013, FAB. GRADO  </t>
    </r>
  </si>
  <si>
    <r>
      <t xml:space="preserve">LUMINÁRIA DE PISO EM ALUMÍNO, VIDRO TEMPERADO, MÓDULO LED </t>
    </r>
    <r>
      <rPr>
        <b/>
        <sz val="8"/>
        <rFont val="Arial"/>
        <family val="2"/>
      </rPr>
      <t>7W</t>
    </r>
    <r>
      <rPr>
        <sz val="8"/>
        <rFont val="Arial"/>
        <family val="2"/>
      </rPr>
      <t>, FLUXO 500Lm, COR 2700K, Ф 130mm, MOD. BE008, FAB. GRADO</t>
    </r>
  </si>
  <si>
    <r>
      <t xml:space="preserve">LUMINÁRIA DE PISO EM ALUMÍNO, VIDRO TEMPERADO, MÓDULO LED </t>
    </r>
    <r>
      <rPr>
        <b/>
        <sz val="8"/>
        <rFont val="Arial"/>
        <family val="2"/>
      </rPr>
      <t>12W</t>
    </r>
    <r>
      <rPr>
        <sz val="8"/>
        <rFont val="Arial"/>
        <family val="2"/>
      </rPr>
      <t>, FLUXO 750Lm, COR 2700K, Ф 205mm, MOD. RE015, FAB. GRADO</t>
    </r>
  </si>
  <si>
    <t>PERFILADO EM CHAPA DE AÇO PERFURADO, CH#16 MSG, Ref.: MAX.PPR-PGF, NBR-7008, DIM.38x38mm, FAB. MAXTIL, CARMEHIL</t>
  </si>
  <si>
    <t>SAÍDA LATERAL SIMPLES DE ELETROCALHA P/PERFIL 38x38mm C/02 FUROS, Ref.: MAX.E.SP, FAB. MAXTIL, CARMEHIL</t>
  </si>
  <si>
    <t>EMENDA INTERNA "T" 90o P/PERFIL PERFURADO 38x38mm C/06 FUROS, REF.: MAX.P.JIT, FAB. MAXTIL, CARMEHIL</t>
  </si>
  <si>
    <t>EMENDA INTERNA "X" 90o P/PERFIL PERFURADO 38x38mm C/08 FUROS, REF.: MAX.P.JIX, FAB. MAXTIL, CARMEHIL</t>
  </si>
  <si>
    <t>SAPATA EXTERNA (APOIO) P/PERFIL 38x38mm C/01 FURO, REF.: MAX.P.SEP, FAB. MAXTIL, CARMEHIL</t>
  </si>
  <si>
    <t>SAÍDA LATERAL SIMPLES DE PERFIL 38x38mm C/02 FUROS P/ELETRODUTO Ф3/4", Ref.: MAX.E.SHE, FAB. MAXTIL, CARMEHIL</t>
  </si>
  <si>
    <t>CAIXA PARA TOMADA EM PERFIL 38x38mm C/02 FUROS, REF.: MAX.P.CTL, FAB. MAXTIL, CARMEHIL</t>
  </si>
  <si>
    <t>TOMADA LOSANGULAR C/HASTE 2P+T 10A/250V, REF.: MAX.AT.RTH2PT, FAB. MAXTIL, CARMEHIL</t>
  </si>
  <si>
    <t>GANCHO CURTO P/PERFIL 38x38mm C/02 FUROS, REF.: MAX.P.GCP, FAB. MAXTIL, CARMEHIL</t>
  </si>
  <si>
    <t>ABRAÇADEIRA AÇO GALVANIZADO, TIPO "D" C/CUNHA Ф 3/4", Ref. MAX.AA.TDC, FAB. MAXTIL, CARMEHIL</t>
  </si>
  <si>
    <t>ABRAÇADEIRA AÇO GALVANIZADO, TIPO "D" C/CUNHA Ф 1", Ref. MAX.AA.TDC, FAB. MAXTIL, CARMEHIL</t>
  </si>
  <si>
    <t>ABRAÇADEIRA AÇO GALVANIZADO, TIPO "D" C/CUNHA Ф 1.1/4", Ref. MAX.AA.TDC, FAB. MAXTIL, CARMEHIL</t>
  </si>
  <si>
    <t>ABRAÇADEIRA AÇO GALVANIZADO, TIPO "D" C/CUNHA Ф 1.1/2", Ref. MAX.AA.TDC, FAB. MAXTIL, CARMEHIL</t>
  </si>
  <si>
    <t>EMENDA INTERNA "L" 90o P/PERFIL PERFURADO 38x38mm C/06 FUROS, REF.: MAX.P.JIT, FAB. MAXTIL, CARMEHIL</t>
  </si>
  <si>
    <t>SAÍDA LATERAL SIMPLES DE PERFIL 38x38mm C/02 FUROS P/ELETRODUTO Ф1", Ref.: MAX.E.SHE, FAB. MAXTIL, CARMEHIL</t>
  </si>
  <si>
    <t xml:space="preserve">CURVA HORIZONTAL 90o P/LEITO PESADO, CH#16 MSG, Ref.: MAX.CH9-PGF, NBR-7008, 600x100mm, FAB. MAXTIL, CARMEHIL     </t>
  </si>
  <si>
    <t xml:space="preserve">CURVA HORIZONTAL 90o P/LEITO PESADO, CH#16 MSG, Ref.: MAX.CH9-PGF, NBR-7008, 800x100mm, FAB. MAXTIL, CARMEHIL     </t>
  </si>
  <si>
    <t xml:space="preserve">TE HORIZONTAL 90o P/LEITO PESADO, CH#16 MSG, Ref.: MAX.TH9-PGF, NBR-7008, 800x100mm, FAB. MAXTIL, CARMEHIL     </t>
  </si>
  <si>
    <t xml:space="preserve">TE HORIZONTAL 90o P/LEITO PESADO, CH#16 MSG, Ref.: MAX.TH9-PGF, NBR-7008, 1200x100mm, FAB. MAXTIL, CARMEHIL     </t>
  </si>
  <si>
    <t xml:space="preserve">REDUÇÃO EXCÊNTRICA P/LEITO PESADO, CH#16 MSG, Ref.: MAX.RD-PGF, NBR-7008, 800x700x100mm, FAB. MAXTIL, CARMEHIL     </t>
  </si>
  <si>
    <t xml:space="preserve">REDUÇÃO EXCÊNTRICA P/LEITO PESADO, CH#16 MSG, Ref.: MAX.RD-PGF, NBR-7008, 1200x800x100mm, FAB. MAXTIL, CARMEHIL     </t>
  </si>
  <si>
    <t>ABRAÇADEIRA AÇO GALVANIZADO, TIPO "D" C/CUNHA Ф 2", Ref. MAX.AA.TDC, FAB. MAXTIL, CARMEHIL</t>
  </si>
  <si>
    <t>ABRAÇADEIRA AÇO GALVANIZADO, TIPO "D" C/CUNHA Ф 3", Ref. MAX.AA.TDC, FAB. MAXTIL, CARMEHIL</t>
  </si>
  <si>
    <t>ABRAÇADEIRA AÇO GALVANIZADO, TIPO "D" C/CUNHA Ф 4", Ref. MAX.AA.TDC, FAB. MAXTIL, CARMEHIL</t>
  </si>
  <si>
    <t xml:space="preserve">SEPTO DIVISOR TIPO "L" EM CHAPA DE AÇO PERFURADA, CH#18 MSG, Ref.: MAX.E.DP-PGF, NBR-7008, P/ELETROCALHA ABA-100mm, FAB. MAXTIL, CARMEHIL     </t>
  </si>
  <si>
    <t xml:space="preserve">CRUZETA RETA EM CHAPA DE AÇO LISA, CH#18 MSG, Ref.: MAX.EL.CZRJI-PGF, NBR-7008, P/ELETROCALHA 200x150mm, FAB. MAXTIL, CARMEHIL     </t>
  </si>
  <si>
    <t xml:space="preserve">REDUÇÃO EXCÊNTRICA EM CHAPA DE AÇO LISA, CH#18 MSG, Ref.: MAX.EL.RDJI-PGF, NBR-7008, P/ELETROCALHA 200x150x150mm, FAB. MAXTIL, CARMEHIL     </t>
  </si>
  <si>
    <t xml:space="preserve">CRUZETA RETA EM CHAPA DE AÇO LISA, CH#18 MSG, Ref.: MAX.EL.CZRJI-PGF, NBR-7008, P/ELETROCALHA 300x150mm, FAB. MAXTIL, CARMEHIL     </t>
  </si>
  <si>
    <t xml:space="preserve">REDUÇÃO EXCÊNTRICA EM CHAPA DE AÇO LISA, CH#18 MSG, Ref.: MAX.EL.RDJI-PGF, NBR-7008, P/ELETROCALHA 300x150x150mm, FAB. MAXTIL, CARMEHIL     </t>
  </si>
  <si>
    <t xml:space="preserve">CHUMBADOR ROSCA INTERNA Ф1/4" x 35mm, FAB. CARMEHIL, SISA </t>
  </si>
  <si>
    <t>PARAFUSO FENDA, ROSCA SOBERBA C/BUCHA DE NYLON S-8, TEL-5308, FAB. TERMOTÉCNICA, CARMEHIL</t>
  </si>
  <si>
    <t>EMENDA INTERNA "I" P/PERFIL PERFURADO 38x38mm C/04 FUROS, REF.: MAX.P.JII, FAB. MAXTIL, CARMEHIL</t>
  </si>
  <si>
    <t>1.20</t>
  </si>
  <si>
    <t>1.21</t>
  </si>
  <si>
    <t>1.22</t>
  </si>
  <si>
    <t>1.23</t>
  </si>
  <si>
    <t>1.24</t>
  </si>
  <si>
    <t>1.25</t>
  </si>
  <si>
    <t>1.26</t>
  </si>
  <si>
    <t>1.27</t>
  </si>
  <si>
    <t>1.28</t>
  </si>
  <si>
    <t>1.29</t>
  </si>
  <si>
    <t>1.30</t>
  </si>
  <si>
    <t>1.31</t>
  </si>
  <si>
    <t>1.32</t>
  </si>
  <si>
    <t>1.33</t>
  </si>
  <si>
    <t>1.34</t>
  </si>
  <si>
    <t>1.35</t>
  </si>
  <si>
    <t>1.36</t>
  </si>
  <si>
    <t>TALA DE JUNÇÃO SIMPLES P/ELETROCALHA, CURTA A=150mm, 12 FUROS, B=145mm, Ref.: MAX.E.JSC.150, NBR-7008, FAB. MAXTIL, VALEMAM, CARMEHIL</t>
  </si>
  <si>
    <r>
      <t xml:space="preserve">CONDUÍTE FLEXÍVEL METÁLICO, REVESTIDO EM PVC AUTO-EXTINGUÍVEL, NBR-7008 e 7013, </t>
    </r>
    <r>
      <rPr>
        <sz val="8"/>
        <rFont val="Calibri"/>
        <family val="2"/>
      </rPr>
      <t>Ф</t>
    </r>
    <r>
      <rPr>
        <sz val="8"/>
        <rFont val="Arial"/>
        <family val="2"/>
      </rPr>
      <t xml:space="preserve"> 3/4", FAB.SPTF,DUTOTEC</t>
    </r>
  </si>
  <si>
    <r>
      <t>TE DE REDUÇÃO 90</t>
    </r>
    <r>
      <rPr>
        <vertAlign val="superscript"/>
        <sz val="8"/>
        <rFont val="Arial"/>
        <family val="2"/>
      </rPr>
      <t>o</t>
    </r>
    <r>
      <rPr>
        <sz val="8"/>
        <rFont val="Arial"/>
        <family val="2"/>
      </rPr>
      <t xml:space="preserve"> PVC SOLDÁVEL, Ф 85x25mm, FAB.TIGRE, AMANCO</t>
    </r>
  </si>
  <si>
    <r>
      <t>TE DE REDUÇÃO 90</t>
    </r>
    <r>
      <rPr>
        <vertAlign val="superscript"/>
        <sz val="8"/>
        <rFont val="Arial"/>
        <family val="2"/>
      </rPr>
      <t>o</t>
    </r>
    <r>
      <rPr>
        <sz val="8"/>
        <rFont val="Arial"/>
        <family val="2"/>
      </rPr>
      <t xml:space="preserve"> PVC SOLDÁVEL, Ф 85x60mm, FAB.TIGRE, AMANCO</t>
    </r>
  </si>
  <si>
    <r>
      <t>TE DE REDUÇÃO 90</t>
    </r>
    <r>
      <rPr>
        <vertAlign val="superscript"/>
        <sz val="8"/>
        <rFont val="Arial"/>
        <family val="2"/>
      </rPr>
      <t>o</t>
    </r>
    <r>
      <rPr>
        <sz val="8"/>
        <rFont val="Arial"/>
        <family val="2"/>
      </rPr>
      <t xml:space="preserve"> PVC SOLDÁVEL, Ф 85x75mm, FAB.TIGRE, AMANCO</t>
    </r>
  </si>
  <si>
    <t>TUBO DE DESCARGA PARA CAIXA DE DESCARGA EMBUTIR 40mm , FAB.ASTRA</t>
  </si>
  <si>
    <r>
      <t>TE DE REDUÇÃO 90</t>
    </r>
    <r>
      <rPr>
        <vertAlign val="superscript"/>
        <sz val="8"/>
        <rFont val="Arial"/>
        <family val="2"/>
      </rPr>
      <t>o</t>
    </r>
    <r>
      <rPr>
        <sz val="8"/>
        <rFont val="Arial"/>
        <family val="2"/>
      </rPr>
      <t xml:space="preserve"> PPR </t>
    </r>
    <r>
      <rPr>
        <sz val="8"/>
        <rFont val="Calibri"/>
        <family val="2"/>
      </rPr>
      <t>Ф</t>
    </r>
    <r>
      <rPr>
        <sz val="8"/>
        <rFont val="Arial"/>
        <family val="2"/>
      </rPr>
      <t xml:space="preserve"> 90 x 63mm, FAB. TIGRE, AMANCO, UNIKAP</t>
    </r>
  </si>
  <si>
    <r>
      <t xml:space="preserve">BUCHA DE REDUÇÃO PPR </t>
    </r>
    <r>
      <rPr>
        <sz val="8"/>
        <rFont val="Calibri"/>
        <family val="2"/>
      </rPr>
      <t>Ф</t>
    </r>
    <r>
      <rPr>
        <sz val="8"/>
        <rFont val="Arial"/>
        <family val="2"/>
      </rPr>
      <t xml:space="preserve"> 63 x 40mm, FAB. TIGRE, AMANCO, UNIKAP</t>
    </r>
  </si>
  <si>
    <r>
      <t xml:space="preserve">ADAPTADOR FÊMEA PPR </t>
    </r>
    <r>
      <rPr>
        <sz val="8"/>
        <rFont val="Calibri"/>
        <family val="2"/>
      </rPr>
      <t>Ф</t>
    </r>
    <r>
      <rPr>
        <sz val="8"/>
        <rFont val="Arial"/>
        <family val="2"/>
      </rPr>
      <t xml:space="preserve"> 32mm x 1", FAB. TIGRE, AMANCO, UNIKAP</t>
    </r>
  </si>
  <si>
    <r>
      <t xml:space="preserve">UNIÃO DUPLA COM FLANGES PPR </t>
    </r>
    <r>
      <rPr>
        <sz val="8"/>
        <rFont val="Calibri"/>
        <family val="2"/>
      </rPr>
      <t>Ф</t>
    </r>
    <r>
      <rPr>
        <sz val="8"/>
        <rFont val="Arial"/>
        <family val="2"/>
      </rPr>
      <t xml:space="preserve"> 90mm, FAB. TIGRE, AMANCO, UNIKAP</t>
    </r>
  </si>
  <si>
    <t>7.3.99</t>
  </si>
  <si>
    <t>7.3.100</t>
  </si>
  <si>
    <t>7.3.101</t>
  </si>
  <si>
    <t>7.3.102</t>
  </si>
  <si>
    <t>7.3.103</t>
  </si>
  <si>
    <t>7.3.104</t>
  </si>
  <si>
    <t>7.3.105</t>
  </si>
  <si>
    <t>7.3.106</t>
  </si>
  <si>
    <r>
      <t xml:space="preserve">VÁLVULA DE RETENÇÃO HORIZONTAL, NBR-15055, ROSCA BSP </t>
    </r>
    <r>
      <rPr>
        <sz val="8"/>
        <rFont val="Calibri"/>
        <family val="2"/>
      </rPr>
      <t>Ф 1.1/4</t>
    </r>
    <r>
      <rPr>
        <sz val="8"/>
        <rFont val="Arial"/>
        <family val="2"/>
      </rPr>
      <t>", FAB. DOCOL, MIPEL, DECA</t>
    </r>
  </si>
  <si>
    <r>
      <t xml:space="preserve">BOMBA CENTRIFUGA MULTIESTÁGIO, TRIFÁSICA 380V, </t>
    </r>
    <r>
      <rPr>
        <b/>
        <sz val="8"/>
        <rFont val="Arial"/>
        <family val="2"/>
      </rPr>
      <t>P=10CV</t>
    </r>
    <r>
      <rPr>
        <sz val="8"/>
        <rFont val="Arial"/>
        <family val="2"/>
      </rPr>
      <t xml:space="preserve"> - Q=20m3/h X Hman=70mca, TOMADAS 1.1/2" x 1", MOD. ME-23100-V, FAB. SCHNEIDER - REC.RESERV. SUPERIOR       </t>
    </r>
  </si>
  <si>
    <t>CONJUNTO MOTOR-BOMBA SUBMERSA INOX, MOD. 360/1,5/38 TR+4R8-05 1,5CV, FAB. LEÃO</t>
  </si>
  <si>
    <t>7.5.23</t>
  </si>
  <si>
    <t>7.5.24</t>
  </si>
  <si>
    <t>7.5.25</t>
  </si>
  <si>
    <t>7.5.26</t>
  </si>
  <si>
    <r>
      <t xml:space="preserve">VÁLVULA ESFERA LATÃO/INOX, MONOBLOCO, ROSCA BSP </t>
    </r>
    <r>
      <rPr>
        <sz val="8"/>
        <rFont val="Calibri"/>
        <family val="2"/>
      </rPr>
      <t>Ф 3</t>
    </r>
    <r>
      <rPr>
        <sz val="8"/>
        <rFont val="Arial"/>
        <family val="2"/>
      </rPr>
      <t>", FAB. DOCOL, MIPEL, DECA</t>
    </r>
  </si>
  <si>
    <t>VÁLVULA REDUTORA DE PRESSÃO PILOTADA Ф 3" x 70m3/h MOD. R420, PE-44,50mca / PS-25,50mca, FAB. BERMAD, REDUTECH - PAV. TÉRREO</t>
  </si>
  <si>
    <t>7.3.107</t>
  </si>
  <si>
    <r>
      <t>TE 90</t>
    </r>
    <r>
      <rPr>
        <vertAlign val="superscript"/>
        <sz val="8"/>
        <rFont val="Arial"/>
        <family val="2"/>
      </rPr>
      <t>o</t>
    </r>
    <r>
      <rPr>
        <sz val="8"/>
        <rFont val="Arial"/>
        <family val="2"/>
      </rPr>
      <t xml:space="preserve"> GALVANIZADO REDUÇÃO Ф 4" x 2", FAB. TUPY</t>
    </r>
  </si>
  <si>
    <t>7.4.52</t>
  </si>
  <si>
    <t>VÁLVULA REDUTORA DE PRESSÃO PILOTADA Ф 2" X 35m3/h MOD. R420, PE-44,50mca / PS-25,50mca, FAB. BERMAD, REDUTECH - PAV. TÉRREO</t>
  </si>
  <si>
    <r>
      <t xml:space="preserve">VÁLVULA DE RETENÇÃO HORIZONTAL, NBR-15055, ROSCA BSP </t>
    </r>
    <r>
      <rPr>
        <sz val="8"/>
        <rFont val="Calibri"/>
        <family val="2"/>
      </rPr>
      <t>Ф 4</t>
    </r>
    <r>
      <rPr>
        <sz val="8"/>
        <rFont val="Arial"/>
        <family val="2"/>
      </rPr>
      <t>", FAB. DOCOL, MIPEL, DECA</t>
    </r>
  </si>
  <si>
    <r>
      <t xml:space="preserve">BOMBA CENTRÍFUGA MONOESTÁGIO, MOD. CAM-W21, </t>
    </r>
    <r>
      <rPr>
        <b/>
        <sz val="8"/>
        <rFont val="Arial"/>
        <family val="2"/>
      </rPr>
      <t>4,0CV</t>
    </r>
    <r>
      <rPr>
        <sz val="8"/>
        <rFont val="Arial"/>
        <family val="2"/>
      </rPr>
      <t>/380V ATM 12,00mca X  36,00m³/h, FAB. SCHNEIDER</t>
    </r>
  </si>
  <si>
    <r>
      <t xml:space="preserve">BOMBA CENTRÍFUGA MONOESTÁGIO, MOD. CAM-W21,  </t>
    </r>
    <r>
      <rPr>
        <b/>
        <sz val="8"/>
        <rFont val="Arial"/>
        <family val="2"/>
      </rPr>
      <t>4,0CV</t>
    </r>
    <r>
      <rPr>
        <sz val="8"/>
        <rFont val="Arial"/>
        <family val="2"/>
      </rPr>
      <t xml:space="preserve">/380V ATM 25,00mca X  18,00m³/h, FAB. DANCOR </t>
    </r>
  </si>
  <si>
    <t>5.1.1</t>
  </si>
  <si>
    <t>5.1.2</t>
  </si>
  <si>
    <t>5.1.3</t>
  </si>
  <si>
    <t>5.1.4</t>
  </si>
  <si>
    <t>5.1.5</t>
  </si>
  <si>
    <t>5.1.6</t>
  </si>
  <si>
    <t>5.1.7</t>
  </si>
  <si>
    <t>5.1.8</t>
  </si>
  <si>
    <t>5.1.9</t>
  </si>
  <si>
    <t>5.1.10</t>
  </si>
  <si>
    <t>5.1.11</t>
  </si>
  <si>
    <t>5.1.12</t>
  </si>
  <si>
    <t>5.1.13</t>
  </si>
  <si>
    <t>5.1.14</t>
  </si>
  <si>
    <t>5.1.15</t>
  </si>
  <si>
    <t>5.1.16</t>
  </si>
  <si>
    <t>5.1.17</t>
  </si>
  <si>
    <t>5.1.18</t>
  </si>
  <si>
    <t>5.1.19</t>
  </si>
  <si>
    <t>5.1.20</t>
  </si>
  <si>
    <t>5.2.1</t>
  </si>
  <si>
    <t>5.2.2</t>
  </si>
  <si>
    <t>5.2.3</t>
  </si>
  <si>
    <t>5.3.1</t>
  </si>
  <si>
    <t>5.3.2</t>
  </si>
  <si>
    <t>5.3.3</t>
  </si>
  <si>
    <t>5.3.4</t>
  </si>
  <si>
    <t>5.3.5</t>
  </si>
  <si>
    <t>5.3.6</t>
  </si>
  <si>
    <t>5.3.7</t>
  </si>
  <si>
    <t>5.3.8</t>
  </si>
  <si>
    <t>5.3.9</t>
  </si>
  <si>
    <t>5.3.10</t>
  </si>
  <si>
    <t>5.3.11</t>
  </si>
  <si>
    <t>5.3.12</t>
  </si>
  <si>
    <r>
      <t xml:space="preserve">TUBO CPVC SOLDÁVEL PN 20, LINHA PREDIAL, NBR-15884-2, Ф </t>
    </r>
    <r>
      <rPr>
        <b/>
        <sz val="8"/>
        <rFont val="Arial"/>
        <family val="2"/>
      </rPr>
      <t>35mm</t>
    </r>
    <r>
      <rPr>
        <sz val="8"/>
        <rFont val="Arial"/>
        <family val="2"/>
      </rPr>
      <t xml:space="preserve"> x 3,0m, FAB. TIGRE, AMANCO</t>
    </r>
  </si>
  <si>
    <r>
      <t xml:space="preserve">TUBO CPVC SOLDÁVEL PN 20, LINHA PREDIAL, NBR-15884-2, Ф </t>
    </r>
    <r>
      <rPr>
        <b/>
        <sz val="8"/>
        <rFont val="Arial"/>
        <family val="2"/>
      </rPr>
      <t>42mm</t>
    </r>
    <r>
      <rPr>
        <sz val="8"/>
        <rFont val="Arial"/>
        <family val="2"/>
      </rPr>
      <t xml:space="preserve"> x 3,0m, FAB. TIGRE, AMANCO</t>
    </r>
  </si>
  <si>
    <r>
      <t xml:space="preserve">TUBO CPVC SOLDÁVEL PN 20, LINHA PREDIAL, NBR-15884-2, Ф </t>
    </r>
    <r>
      <rPr>
        <b/>
        <sz val="8"/>
        <rFont val="Arial"/>
        <family val="2"/>
      </rPr>
      <t>114mm</t>
    </r>
    <r>
      <rPr>
        <sz val="8"/>
        <rFont val="Arial"/>
        <family val="2"/>
      </rPr>
      <t xml:space="preserve"> x 3,0m, FAB. TIGRE, AMANCO</t>
    </r>
  </si>
  <si>
    <r>
      <t>CURVA LONGA 90</t>
    </r>
    <r>
      <rPr>
        <vertAlign val="superscript"/>
        <sz val="8"/>
        <rFont val="Arial"/>
        <family val="2"/>
      </rPr>
      <t>o</t>
    </r>
    <r>
      <rPr>
        <sz val="8"/>
        <rFont val="Arial"/>
        <family val="2"/>
      </rPr>
      <t xml:space="preserve"> SÉRIE-R </t>
    </r>
    <r>
      <rPr>
        <sz val="8"/>
        <rFont val="Calibri"/>
        <family val="2"/>
      </rPr>
      <t>Ф</t>
    </r>
    <r>
      <rPr>
        <sz val="8"/>
        <rFont val="Arial"/>
        <family val="2"/>
      </rPr>
      <t xml:space="preserve"> 100mm PVC ESGOTO SÉRIE-R, FAB. TIGRE - EXPURGO</t>
    </r>
  </si>
  <si>
    <t xml:space="preserve">PLUG MACHO 2P+T-10A / 250V, C/RABICHO, NBR-14136,  FAB. PIAL, SIEMENS, PRIME </t>
  </si>
  <si>
    <r>
      <t xml:space="preserve">CABO DE COMUNICAÇÃO TIPO UTP </t>
    </r>
    <r>
      <rPr>
        <b/>
        <sz val="8"/>
        <rFont val="Arial"/>
        <family val="2"/>
      </rPr>
      <t>CAT.6</t>
    </r>
    <r>
      <rPr>
        <sz val="8"/>
        <rFont val="Arial"/>
        <family val="2"/>
      </rPr>
      <t>, PAR TRANÇADO 04 PARES, EIA/TIA-568-B, FIBER-LAN, FAB. FURUKAWA, NEXANS</t>
    </r>
  </si>
  <si>
    <t>CAIXA DE PASSAGEM METÁLICA, SOBREPOR CH.#20, C/TAMPA PARAFUSADA, 300 X 300 X 120mm, FAB. CARMEHIL, TECNELSA</t>
  </si>
  <si>
    <r>
      <t>ELETROCALHA C/VIROLA "C" EM CHAPA DE AÇO PERFURADO, CH#18 MSG, Ref.: MAX.EPU-PGF, NBR-7008, DIM.</t>
    </r>
    <r>
      <rPr>
        <b/>
        <sz val="8"/>
        <rFont val="Arial"/>
        <family val="2"/>
      </rPr>
      <t>100x50mm</t>
    </r>
    <r>
      <rPr>
        <sz val="8"/>
        <rFont val="Arial"/>
        <family val="2"/>
      </rPr>
      <t>, FAB. MAXTIL, VALEMAM, CARMEHIL</t>
    </r>
  </si>
  <si>
    <t>HASTE DE TERRA: ELETRODO DE AÇO, SUPERFÍCIE REVESTIDA DE COBRE POR ELETRODEPOSIÇÃO 254μm, NA FORMA DE HASTE SEÇÃO CIRCULAR Ф 5/8" X 2,40m, NBR-13571, FAB.INTELLI, MAGNET</t>
  </si>
  <si>
    <t>AMPLIFICADOR DE VHF e UHF PARA ANTENA COLETIVA, MOD. 1064-50, FAB.: THEVEAR, WADT</t>
  </si>
  <si>
    <r>
      <t xml:space="preserve">TUBO CPVC SOLDÁVEL PN 20, LINHA PREDIAL, NBR-15884-2, Ф </t>
    </r>
    <r>
      <rPr>
        <b/>
        <sz val="8"/>
        <rFont val="Arial"/>
        <family val="2"/>
      </rPr>
      <t>28mm</t>
    </r>
    <r>
      <rPr>
        <sz val="8"/>
        <rFont val="Arial"/>
        <family val="2"/>
      </rPr>
      <t xml:space="preserve"> x 3,0m, FAB. TIGRE, AMANCO</t>
    </r>
  </si>
  <si>
    <r>
      <t>JUNÇÃO INVERTIDA 45</t>
    </r>
    <r>
      <rPr>
        <vertAlign val="superscript"/>
        <sz val="8"/>
        <rFont val="Arial"/>
        <family val="2"/>
      </rPr>
      <t>o</t>
    </r>
    <r>
      <rPr>
        <sz val="8"/>
        <rFont val="Arial"/>
        <family val="2"/>
      </rPr>
      <t xml:space="preserve"> PVC ESGOTO SÉRIE-N </t>
    </r>
    <r>
      <rPr>
        <sz val="8"/>
        <rFont val="Calibri"/>
        <family val="2"/>
      </rPr>
      <t>Ф</t>
    </r>
    <r>
      <rPr>
        <sz val="8"/>
        <rFont val="Arial"/>
        <family val="2"/>
      </rPr>
      <t xml:space="preserve"> 100x75mm, FAB. TIGRE, AMANCO</t>
    </r>
  </si>
  <si>
    <r>
      <t xml:space="preserve">UNIÃO DUPLA FF PPR </t>
    </r>
    <r>
      <rPr>
        <sz val="8"/>
        <rFont val="Calibri"/>
        <family val="2"/>
      </rPr>
      <t>Ф</t>
    </r>
    <r>
      <rPr>
        <sz val="8"/>
        <rFont val="Arial"/>
        <family val="2"/>
      </rPr>
      <t xml:space="preserve"> 32mm x 1", FAB. TIGRE, AMANCO, UNIKAP</t>
    </r>
  </si>
  <si>
    <t>CONJUNTO ATENUADOR DE RUÍDO 65dB@1,5m +/- 3dB(A), FAB. CATERPILLAR</t>
  </si>
  <si>
    <t>REVESTIMENTO ACÚSTICO DE PAREDES E TETO</t>
  </si>
  <si>
    <t>M2</t>
  </si>
  <si>
    <t>PORTA ACÚSTICA FOLHA DUPLA 1600x2100mm (LA)</t>
  </si>
  <si>
    <t>12.3.17</t>
  </si>
  <si>
    <t>12.3.18</t>
  </si>
  <si>
    <t>ELETRODUTO EM AÇO-CARBONO (GF), CLASSE PESADA, NBR-5624(P), C/LUVA Ф 4" x 2,65 X 3,0m, FAB.ELECON, CARBINOX</t>
  </si>
  <si>
    <r>
      <t xml:space="preserve">ELETRODUTO EM AÇO-CARBONO (PZ), CLASSE LEVE, NBR-13057(L), C/LUVA </t>
    </r>
    <r>
      <rPr>
        <sz val="8"/>
        <rFont val="Calibri"/>
        <family val="2"/>
      </rPr>
      <t>Ф</t>
    </r>
    <r>
      <rPr>
        <sz val="8"/>
        <rFont val="Arial"/>
        <family val="2"/>
      </rPr>
      <t xml:space="preserve"> 1" x 0,60 X 3,0m, FAB.ELECON, CARBINOX</t>
    </r>
  </si>
  <si>
    <r>
      <t xml:space="preserve">ELETRODUTO EM AÇO-CARBONO (PZ), CLASSE MÉDIA, NBR-13057(M), C/LUVA </t>
    </r>
    <r>
      <rPr>
        <sz val="8"/>
        <rFont val="Calibri"/>
        <family val="2"/>
      </rPr>
      <t>Ф</t>
    </r>
    <r>
      <rPr>
        <sz val="8"/>
        <rFont val="Arial"/>
        <family val="2"/>
      </rPr>
      <t xml:space="preserve"> 1.1/2" x 0,95 X 3,0m, FAB.ELECON, CARBINOX</t>
    </r>
  </si>
  <si>
    <r>
      <t xml:space="preserve">ELETRODUTO EM AÇO-CARBONO (PZ), CLASSE LEVE, NBR-13057(L), C/LUVA </t>
    </r>
    <r>
      <rPr>
        <sz val="8"/>
        <rFont val="Calibri"/>
        <family val="2"/>
      </rPr>
      <t>Ф</t>
    </r>
    <r>
      <rPr>
        <sz val="8"/>
        <rFont val="Arial"/>
        <family val="2"/>
      </rPr>
      <t xml:space="preserve"> 3/4" x 0,60 X 3,0m, FAB.ELECON, CARBINOX</t>
    </r>
  </si>
  <si>
    <r>
      <t xml:space="preserve">ELETRODUTO EM AÇO-CARBONO (PZ), CLASSE MÉDIA, NBR-13057(M), C/LUVA </t>
    </r>
    <r>
      <rPr>
        <sz val="8"/>
        <rFont val="Calibri"/>
        <family val="2"/>
      </rPr>
      <t>Ф</t>
    </r>
    <r>
      <rPr>
        <sz val="8"/>
        <rFont val="Arial"/>
        <family val="2"/>
      </rPr>
      <t xml:space="preserve"> 1.1/4" x 0,95 X 3,0m, FAB.ELECON, CARBINOX</t>
    </r>
  </si>
  <si>
    <t>EFETIVO</t>
  </si>
  <si>
    <t>QT</t>
  </si>
  <si>
    <t>R$</t>
  </si>
  <si>
    <t>mês</t>
  </si>
  <si>
    <t>S/ IMP.</t>
  </si>
  <si>
    <t>LS</t>
  </si>
  <si>
    <t>C/LS</t>
  </si>
  <si>
    <t>S/IMPOSTO</t>
  </si>
  <si>
    <t>COORDENADOR</t>
  </si>
  <si>
    <t>TEC. SEG.</t>
  </si>
  <si>
    <t>TEC. PROJ.</t>
  </si>
  <si>
    <t>SINDUSCON</t>
  </si>
  <si>
    <t>ALMOXARIFE</t>
  </si>
  <si>
    <t>AUX. ALMOX.</t>
  </si>
  <si>
    <t>ENCARREGADO</t>
  </si>
  <si>
    <t>ELETRICISTA</t>
  </si>
  <si>
    <t>BOMBEIRO</t>
  </si>
  <si>
    <t>PINTOR</t>
  </si>
  <si>
    <t>AUXILIAR ELET.</t>
  </si>
  <si>
    <t>AUXILIAR BOMB.</t>
  </si>
  <si>
    <t>*</t>
  </si>
  <si>
    <t>ALIMENTAÇÃO</t>
  </si>
  <si>
    <t>EPI / FERRAMENTAS E EQUIP.</t>
  </si>
  <si>
    <t>FARD./EPI</t>
  </si>
  <si>
    <t>TRANSPORTE</t>
  </si>
  <si>
    <t>FURADEIRA</t>
  </si>
  <si>
    <t>MAQUITA</t>
  </si>
  <si>
    <t>EPI / FERRAM.</t>
  </si>
  <si>
    <t>TALH/MARRETA</t>
  </si>
  <si>
    <t>VALOR FINAL</t>
  </si>
  <si>
    <t>ANDAIMES</t>
  </si>
  <si>
    <t>CHAVE GRIFO 36</t>
  </si>
  <si>
    <r>
      <rPr>
        <sz val="10"/>
        <color indexed="10"/>
        <rFont val="Calibri"/>
        <family val="2"/>
      </rPr>
      <t>*</t>
    </r>
    <r>
      <rPr>
        <b/>
        <sz val="10"/>
        <color indexed="10"/>
        <rFont val="Calibri"/>
        <family val="2"/>
      </rPr>
      <t>OBS.:</t>
    </r>
    <r>
      <rPr>
        <sz val="10"/>
        <color indexed="8"/>
        <rFont val="Calibri"/>
        <family val="2"/>
      </rPr>
      <t xml:space="preserve"> O CUSTO MENSAL É DA CONVENÇÃO COLETIVA DO SINDUSCON/CE VIGENTE</t>
    </r>
  </si>
  <si>
    <t>ROSQUEADEIRA</t>
  </si>
  <si>
    <t>PERFURATRIZ</t>
  </si>
  <si>
    <r>
      <rPr>
        <sz val="10"/>
        <color indexed="10"/>
        <rFont val="Calibri"/>
        <family val="2"/>
      </rPr>
      <t>*</t>
    </r>
    <r>
      <rPr>
        <b/>
        <sz val="10"/>
        <color indexed="10"/>
        <rFont val="Calibri"/>
        <family val="2"/>
      </rPr>
      <t>OBS.:</t>
    </r>
    <r>
      <rPr>
        <sz val="10"/>
        <color indexed="8"/>
        <rFont val="Calibri"/>
        <family val="2"/>
      </rPr>
      <t xml:space="preserve"> ESTÁ INCLUSO NO CUSTO MENSAL UM ÍNDICE DE </t>
    </r>
    <r>
      <rPr>
        <b/>
        <sz val="10"/>
        <color indexed="8"/>
        <rFont val="Calibri"/>
        <family val="2"/>
      </rPr>
      <t>35%</t>
    </r>
    <r>
      <rPr>
        <sz val="10"/>
        <color indexed="8"/>
        <rFont val="Calibri"/>
        <family val="2"/>
      </rPr>
      <t xml:space="preserve"> REFERENTE "</t>
    </r>
    <r>
      <rPr>
        <i/>
        <sz val="10"/>
        <color indexed="8"/>
        <rFont val="Calibri"/>
        <family val="2"/>
      </rPr>
      <t>PRODUÇÃO</t>
    </r>
    <r>
      <rPr>
        <sz val="10"/>
        <color indexed="8"/>
        <rFont val="Calibri"/>
        <family val="2"/>
      </rPr>
      <t>".</t>
    </r>
  </si>
  <si>
    <t>NÍVEL LASER</t>
  </si>
  <si>
    <t>MDO ESPECIAIS</t>
  </si>
  <si>
    <t>FATOR</t>
  </si>
  <si>
    <t>TAPETE DE BORRACHA 25x1000x1000mm, ISOLADO PARA 20kV</t>
  </si>
  <si>
    <t>1.15.33</t>
  </si>
  <si>
    <t>CAIXA DE PASSAGEM METÁLICA, EMBUTIR CH.#22, C/TAMPA PARAFUSADA, 200 X 200 X 100mm, FAB. CARMEHIL, TECNELSA</t>
  </si>
  <si>
    <t>1.1.43</t>
  </si>
  <si>
    <t>1.1.44</t>
  </si>
  <si>
    <t xml:space="preserve">TOMADA DE PISO DUPLA 2P+T 20A/250V NBR-14136 EM PLACA 4" x 2" TP-04.45 C/SUPORTE, FAB. PIAL, WETZEL, TRAMONTINA </t>
  </si>
  <si>
    <t>1.2.37</t>
  </si>
  <si>
    <t>1.9.92</t>
  </si>
  <si>
    <t>1.9.93</t>
  </si>
  <si>
    <t>1.9.94</t>
  </si>
  <si>
    <t>SISTEMA DE GASES MEDICINAIS</t>
  </si>
  <si>
    <t>DISCRIMINAÇÃO</t>
  </si>
  <si>
    <t>UND</t>
  </si>
  <si>
    <t>QTDE</t>
  </si>
  <si>
    <t>PR. UNIT.</t>
  </si>
  <si>
    <t>1.</t>
  </si>
  <si>
    <t>TUBULAÇÃO, CONEXÕES E REGISTROS</t>
  </si>
  <si>
    <t>Tubo de Cobre classe A - Ø½" Ø15mm</t>
  </si>
  <si>
    <t>m</t>
  </si>
  <si>
    <t>Tubo de Cobre classe A - Ø¾" Ø22mm</t>
  </si>
  <si>
    <t>Tubo de Cobre classe A - Ø1" Ø28mm</t>
  </si>
  <si>
    <t>Tubo de Cobre classe A - Ø1¼" Ø35mm</t>
  </si>
  <si>
    <t>Tubo de Cobre classe A - Ø1½" Ø42mm</t>
  </si>
  <si>
    <t>Tubo de Cobre classe A - Ø2" Ø54mm</t>
  </si>
  <si>
    <t>Tubo de Cobre classe A - Ø2½" Ø66mm</t>
  </si>
  <si>
    <t>Posto de Parede para Ar Comprimido</t>
  </si>
  <si>
    <t>und</t>
  </si>
  <si>
    <t>Posto de Parede para Gás Carbônico</t>
  </si>
  <si>
    <t>Posto de Parede para Óxido Nitroso</t>
  </si>
  <si>
    <t>Posto de Parede para Oxigênio</t>
  </si>
  <si>
    <t>Posto de Parede para Vácuo</t>
  </si>
  <si>
    <t>Válvula esfera tripartida Ø½" Ø15mm</t>
  </si>
  <si>
    <t>Válvula esfera tripartida Ø1½" Ø42mm</t>
  </si>
  <si>
    <t>Válvula esfera tripartida Ø2" Ø54mm</t>
  </si>
  <si>
    <t>Válvula esfera tripartida Ø2½" Ø66mm</t>
  </si>
  <si>
    <t>Caixa de seção - 15x15x15 (ramal), inclusive manômetros</t>
  </si>
  <si>
    <t>Caixa de seção - 15</t>
  </si>
  <si>
    <t>Caixa de seção - 15x15 (ramal), inclusive manômetros</t>
  </si>
  <si>
    <t>Caixa de seção - 15x15x15</t>
  </si>
  <si>
    <t>Caixa de seção - 15x15x15x22 (ramal), inclusive manômetros</t>
  </si>
  <si>
    <t>Caixa de seção - 15x15x15x15</t>
  </si>
  <si>
    <t>Caixa de seção - 15x15</t>
  </si>
  <si>
    <t>Caixa de seção - 22x22x28</t>
  </si>
  <si>
    <t>Caixa de seção - 15x22x22x28 (ramal), inclusive manômetros</t>
  </si>
  <si>
    <t>Caixa de seção - 15x15x15x15 (ramal), inclusive manômetros</t>
  </si>
  <si>
    <t>Caixa de seção - 22x22x28 (ramal), inclusive manômetros</t>
  </si>
  <si>
    <t>Caixa de seção - 15x15x22x22x28 (ramal), inclusive manômetros</t>
  </si>
  <si>
    <t>Caixa de seção - 15x15x15x15x15</t>
  </si>
  <si>
    <t>Caixa de seção - 28x28x28 (ramal), inclusive manômetros</t>
  </si>
  <si>
    <t>Tarugo Simples</t>
  </si>
  <si>
    <t>Tarugo Longo</t>
  </si>
  <si>
    <t>Solda (NBR 12.188)</t>
  </si>
  <si>
    <t>kg</t>
  </si>
  <si>
    <t>Acabamento (pintura, identificação, ...)</t>
  </si>
  <si>
    <t>vb</t>
  </si>
  <si>
    <t>Suportação</t>
  </si>
  <si>
    <t>Conexões</t>
  </si>
  <si>
    <t>2.</t>
  </si>
  <si>
    <t>PAINÉIS DE CABECEIRA E ESTATIVAS</t>
  </si>
  <si>
    <t>Régua R2 - Painel duplo em alumínio com pintura eletrostática na cor branca de 1.000 x 325 x 55 mm, com: 1 O₂ + 1 ACM + 1 VAC e 6 tomadas 220V + 1 luminária indireta + 1 interruptor + 2 tomadas RJ45 + 1 placa cega para chamada de enfermagem</t>
  </si>
  <si>
    <t>Régua R3 - Painel duplo em alumínio com pintura eletrostática na cor branca de 1.100 x 325 x 55 mm, com: 2 O₂ + 2 ACM + 1 VAC e 6 tomadas 220V + 1 luminária indireta + 1 interruptor + 4 tomadas RJ45 + 1 placa cega para chamada de enfermagem</t>
  </si>
  <si>
    <t>Régua R5 - Painel duplo em alumínio com pintura eletrostática na cor branca de 1.200 x 325 x 55 mm, com: 2 O₂ + 2 ACM + 1 VAC + 1 N₂O e 10 tomadas 220V + 6 tomadas RJ45</t>
  </si>
  <si>
    <t>Régua R6 - Painel duplo em alumínio com pintura eletrostática na cor branca de 1.000 x 325 x 55 mm, com: 2 O₂ + 2 ACM + 1 VAC + 1 N₂O e 4 tomadas 220V + 2 tomadas RJ45</t>
  </si>
  <si>
    <t>Régua R8 - Painel linear em alumínio com pintura eletrostática na cor branca de 1.200 x 210 x 55 mm, com: 10 tomadas 220V + 8 tomadas RJ45</t>
  </si>
  <si>
    <t>Régua R9 - Painel duplo em alumínio com pintura eletrostática na cor branca de 600 x 325 x 55 mm, com: 1 O₂ + 1 ACM e 6 tomadas 220V + 2 tomadas RJ45</t>
  </si>
  <si>
    <t>Estativa E1 - Estativa para centro cirúrgico para Anestesista composta por uma torre auxiliar com 1 braço simples biarticulado com alcance de aproximados 1.000 mm, com sistema de elevação (movimento vertical). Braço fabricado em perfil de alumínio extrudado com acabamento em ABS injetado. Coluna central fabricada em chapa de aço fosfatizada, com perfis estruturais de alumínio extrudado, com acabamentos em ABS injetado, composta por gases (2 O2, 2 ACM, 2 VAC, 1 N2O e 1 CO2), elétrica (10 tomadas 220V) e lógica (2 tomadas RJ45). Coluna com sistema lateral escamoteável, permitindo fácil acesso a toda a parte elétrica, gases e lógica. Sistema de acionamento do freio e elevação. Todas as rotações possuem comandos eletromagnéticos para desacionamento do freio rotacional. Modelo SU6045E21326 da Lanco.</t>
  </si>
  <si>
    <t>Estativa E2 - Estativa para Centro Cirúrgico com 1 braço, para perfusão. Composta por uma torre auxiliar com braço simples biarticulado com alcance de aproximados 750 mm. Braço fabricado em perfil de alumínio extrudado com acabamento em ABS injetado. Coluna central fabricada em chapa de aço fosfatizada, com perfis estruturais de alumínio extrudado, com acabamentos em ABS injetado, composta por 02 bandejas, 01 gaveta, 02 suportes laterais para soro e bomba de infusão e pontos para gases (2 O2, 2 ACM e 2 VAC), elétrica (10 tomadas 220V) e lógica (2 tomadas RJ45). Coluna com sistema lateral escamoteável, permitindo fácil acesso a toda a parte elétrica, gases e lógica. Bandeja superior fabricada em alumínio com trilho lateral e frontal retangular fabricado em inox para fixação de suportes, equipamentos e acessórios, bandeja com capa protetora em poliestireno. Bandeja intermediária fabricada em alumínio com trilho lateral retangular fabricado em inox para fixação de suportes, equipamentos e acessórios, bandeja com capa protetora em poliestireno, com o sistema de acionamento do freio. Gaveta fabricada chapa de aço fosfatizada com laterais internas em alumínio, com trilhos telescópicos e puxador em plástico injetado sob pressão, com trilho lateral retangular fabricado em inox para fixação de suportes, equipamentos e acessórios. Modelo SU6035E21325 da Lanco.</t>
  </si>
  <si>
    <t>Estativa E3 - Estativa para Centro Cirúrgico com braço duplo, para videocirurgia. Composto por uma torre auxiliar com braço duplo, triarticulado, com alcance total de 1.000 mm. Braços fabricados em perfil de alumínio extrudado com acabamento em ABS injetado. Coluna central fabricada em chapa de aço fosfatizada, com perfis estruturais de alumínio extrudado, com acabamentos em ABS injetado, composta por 02 bandejas, 01 gaveta, 02 suportes laterais para soro e bomba de infusão e pontos para gases (2 O2, 2 ACM e 2 VAC), elétrica (10 tomadas 220V) e lógica (2 tomadas RJ45). Coluna com sistema lateral escamoteável, permitindo fácil acesso a toda a parte elétrica, gases e lógica. Bandeja superior fabricada em alumínio com trilho lateral e frontal retangular fabricado em inox para fixação de suportes, equipamentos e acessórios, bandeja com capa protetora em poliestireno. Bandeja intermediária fabricada em alumínio com trilho lateral retangular fabricado em inox para fixação de suportes, equipamentos e acessórios, bandeja com capa protetora em poliestireno, com o sistema de acionamento do freio. Gaveta fabricada chapa de aço fosfatizada com laterais internas em alumínio, com trilhos telescópicos e puxador em plástico injetado sob pressão, com trilho lateral retangular fabricado em inox para fixação de suportes, equipamentos e acessórios. Modelo SU6040E21324 da Lanco.</t>
  </si>
  <si>
    <t>Estativa E4 - Estativa para UTI com braço duplo. Composto por uma torre auxiliar com braço duplo, triarticulado, com alcance total de 1.000 mm. Coluna central fabricada em chapa de aço fosfatizada, com perfis estruturais de alumínio extrudado, com acabamentos em ABS injetado, composta por 03 bandejas, 01 gaveta com bandeja, 01 suporte lateral para soro e bomba de infusão e pontos para gases (2 O2, 2 ACM e 2 VAC), elétrica (10 tomadas 220V) e lógica (8 tomadas RJ45). Coluna com sistema lateral escamoteável, permitindo fácil acesso a toda a parte elétrica, gases e lógica. 2 Bandejas fabricadas em alumínio com trilho lateral e frontal retangular fabricado em inox para fixação de suportes, equipamentos e acessórios, bandeja com capa protetora em poliestireno. Bandeja intermediária fabricada em alumínio, com trilhos laterais, com capa protetora em poliestireno, e com o sistema de acionamento da estativa fixada na mesma. Gaveta fabricada chapa de aço fosfatizada com laterais internas em alumínio, com trilhos telescópicos e puxador em plástico injetado sob pressão, com trilho lateral retangular fabricado em inox para fixação de suportes, equipamentos e acessórios. Modelo SU6040E22019 da Lanco.</t>
  </si>
  <si>
    <t>3.</t>
  </si>
  <si>
    <t>ELEMENTOS DO SISTEMA DE AUTOMAÇÃO</t>
  </si>
  <si>
    <t>Medidor de consumo de oxigênio, conforme memorial descritivo</t>
  </si>
  <si>
    <t>Painel de alarme operacional para 5 gases (O₂ + ACM + VAC + N₂O + CO₂), conforme memorial descritivo</t>
  </si>
  <si>
    <t>3.3</t>
  </si>
  <si>
    <t>Painel de alarme de área para 2 gases (O₂ + ACM), conforme memorial descritivo</t>
  </si>
  <si>
    <t>3.4</t>
  </si>
  <si>
    <t>Painel de alarme de área para 3 gases (O₂ + ACM + VAC), conforme memorial descritivo</t>
  </si>
  <si>
    <t>3.5</t>
  </si>
  <si>
    <t>Painel de alarme de área para 4 gases (O₂ + ACM + VAC + N₂O), conforme memorial descritivo</t>
  </si>
  <si>
    <t>3.6</t>
  </si>
  <si>
    <t>Painel de alarme de área para 5 gases (O₂ + ACM + VAC + N₂O + CO₂), conforme memorial descritivo</t>
  </si>
  <si>
    <t>3.7</t>
  </si>
  <si>
    <t>Manifold automático 12x12 com bloco central automatizado para monitoramento de oxigênio, conforme memorial descritivo</t>
  </si>
  <si>
    <t>3.8</t>
  </si>
  <si>
    <t>Manifold automático 3x3 com bloco central automatizado para monitoramento de óxido nitroso, conforme memorial descritivo</t>
  </si>
  <si>
    <t>3.9</t>
  </si>
  <si>
    <t>Manifold automático 3x3 com bloco central automatizado para monitoramento de dióxido de carbono, conforme memorial descritivo</t>
  </si>
  <si>
    <t>3.10</t>
  </si>
  <si>
    <t>Manifold automático 12x12 com bloco central automatizado para monitoramento de ar comprimido medicinal, conforme memorial descritivo</t>
  </si>
  <si>
    <t>3.11</t>
  </si>
  <si>
    <t>Monitoramento dos 22 dispositivos (servidor, servidor backup, dashboards, sim cards e dispositivos)</t>
  </si>
  <si>
    <t>4.</t>
  </si>
  <si>
    <t>CENTRAL DE AR COMPRIMIDO MEDICINAL INTEGRADA AO SUPERVISÓRIO</t>
  </si>
  <si>
    <t>Compressor Ar ZT15 ID 8,6 APB 380 60 da Atlas Copco:
ZT15 8,6 AID - Compressor de Ar Estacionário
- Tipo Vírgula, com dois Estágios de Compressão
- Fabricação Importado
- Isento de óleo, Refrigerado a Ar
- Com Velocidade Fixa
Contém Secador por Refrigeração integrado
- Tensão de Alimentação: 380V/60Hz
- Pressão: 8,6 Bar</t>
  </si>
  <si>
    <t>Secador CD+ 55 PDP:-40°C 230V/1F MK5T da Atlas Copco:
- Secador de ar por adsorção com regeneração a frio
- Capacidade (Fad): 52,5 l/s ou 111 pcm
- Filtro coalescente UD+ na entrada do secador
- Consumo médio de ar para regeneração: 16%
- Controlador MK5 Touch
- Sensor de ponto de orvalho
- Conexão: G 1"
- Pressão Máxima: 14 bar
- Tensão De Alimentação: 230V/1F/60HZ
- Ponto de orvalho pressurizado de até -40°C</t>
  </si>
  <si>
    <t>4.3</t>
  </si>
  <si>
    <t>Dreno WSD2
- Separador de condensados ciclônico
- Capacidade(FAD) de 0,42-3,6m³/min
- Pressão Máxima de Trab. de 20bar-290psi</t>
  </si>
  <si>
    <t>4.4</t>
  </si>
  <si>
    <t>Separador de Condensado Ar Isento 2.000 litros - 1 c/ ACESS</t>
  </si>
  <si>
    <t>4.5</t>
  </si>
  <si>
    <t>Equalizer 4.0 - Central de gerenciamento da automação - 2 Máquinas
EQ 4.0 2 - Painel Físico
- Controla até 2 compressores de carga-alívio</t>
  </si>
  <si>
    <t>4.6</t>
  </si>
  <si>
    <t>Conector simples</t>
  </si>
  <si>
    <t>4.7</t>
  </si>
  <si>
    <t>Conector duplo</t>
  </si>
  <si>
    <t>4.8</t>
  </si>
  <si>
    <t>Cabo belden</t>
  </si>
  <si>
    <t>4.9</t>
  </si>
  <si>
    <t>Filtro de partículas PD75+(G1)</t>
  </si>
  <si>
    <t>4.10</t>
  </si>
  <si>
    <t>Frete</t>
  </si>
  <si>
    <t>5.</t>
  </si>
  <si>
    <t>CENTRAL DE VÁCUO INTEGRADA AO SUPERVISÓRIO</t>
  </si>
  <si>
    <t>Central Duplex Bomba de vácuo aço inóx oil free com inversor e aplicativo da Atlas Copco modelo DZS 200V VSD TM 500 litros + 2xMV100 Vazão de 200m³/h; Potência: 5,5kW</t>
  </si>
  <si>
    <r>
      <t>Régua R1 - Painel linear em alumínio com pintura eletrostática na cor branca de 400 x 210 x 55 mm, com: 1 O</t>
    </r>
    <r>
      <rPr>
        <sz val="11"/>
        <color theme="1"/>
        <rFont val="Calibri"/>
        <family val="2"/>
        <scheme val="minor"/>
      </rPr>
      <t>₂</t>
    </r>
    <r>
      <rPr>
        <sz val="10"/>
        <color indexed="8"/>
        <rFont val="Calibri"/>
        <family val="2"/>
        <scheme val="minor"/>
      </rPr>
      <t xml:space="preserve"> + 1 ACM</t>
    </r>
  </si>
  <si>
    <r>
      <t>Régua R4 - Painel duplo em alumínio com pintura eletrostática na cor branca de 600 x 325 x 55 mm, com: 1 O₂ + 1 ACM + 1 VAC + 1 N</t>
    </r>
    <r>
      <rPr>
        <sz val="11"/>
        <color theme="1"/>
        <rFont val="Calibri"/>
        <family val="2"/>
        <scheme val="minor"/>
      </rPr>
      <t>₂</t>
    </r>
    <r>
      <rPr>
        <sz val="10"/>
        <color indexed="8"/>
        <rFont val="Calibri"/>
        <family val="2"/>
        <scheme val="minor"/>
      </rPr>
      <t>O e 4 tomadas 220V + 2 tomadas RJ45</t>
    </r>
  </si>
  <si>
    <r>
      <t>Régua R7 - Painel linear em alumínio com pintura eletrostática na cor branca de 1.200 x 210 x 55 mm, com: 2 O₂ + 2 ACM + 1 VAC + 1 N₂O + CO</t>
    </r>
    <r>
      <rPr>
        <sz val="11"/>
        <color theme="1"/>
        <rFont val="Calibri"/>
        <family val="2"/>
        <scheme val="minor"/>
      </rPr>
      <t>₂</t>
    </r>
  </si>
  <si>
    <t>INSTALAÇÕES DE AUTOMAÇÃO PREDIAL</t>
  </si>
  <si>
    <t>MATERIAIS E EQUIPAMENTOS</t>
  </si>
  <si>
    <t>Conjunto de quadros de automação (25 unidades)</t>
  </si>
  <si>
    <t>cj</t>
  </si>
  <si>
    <t>Conjunto de quadros de entradas e saídas remotas (25
unidades)</t>
  </si>
  <si>
    <t>Transmissor de vazão/consumo de água</t>
  </si>
  <si>
    <t>Medidor de vazão/consumo de gás</t>
  </si>
  <si>
    <t>Transmissor de nível água</t>
  </si>
  <si>
    <t>Transmissor de pressão relativa/diferencial de ar</t>
  </si>
  <si>
    <t>Transmissor de pressão água/gás</t>
  </si>
  <si>
    <t>Transmissor de vibração</t>
  </si>
  <si>
    <t>Transmissor de temperatura para água</t>
  </si>
  <si>
    <t>Pressostato diferencial para ar</t>
  </si>
  <si>
    <t>Pressostato para água</t>
  </si>
  <si>
    <t>Sonda multiparâmetros</t>
  </si>
  <si>
    <t>Sensor de inundação</t>
  </si>
  <si>
    <t>Estação de trabalho Dell Optiplex completa</t>
  </si>
  <si>
    <t>Cabos diversos e acessórios de montagem</t>
  </si>
  <si>
    <t>Infraestrutura de automação (tubulação seca) instalada</t>
  </si>
  <si>
    <t>SERVIÇOS</t>
  </si>
  <si>
    <t>Detalhamento projeto executivo</t>
  </si>
  <si>
    <t>Serviços de instalação</t>
  </si>
  <si>
    <t>Serviços de engenharia</t>
  </si>
  <si>
    <t>Licenças softwares</t>
  </si>
  <si>
    <t>Comissionamento e startup</t>
  </si>
  <si>
    <t>SISTEMA DE MONITORAMENTO DA CADEIA DE FRIO PELA SENSORWEB</t>
  </si>
  <si>
    <t>Transmissor autônomo WiFi e sonda convencional de temperatura para câmaras de concervação, câmaras de refrigeração científica, freezers e geladeiras. Monitoramento mensal de R$ 119,90/und totalizando 1.438,80/und anualmente.</t>
  </si>
  <si>
    <t>Setup-implantação, treinamento e logística</t>
  </si>
  <si>
    <t xml:space="preserve">CHUMBADOR ROSCA INTERNA Ф1/4" x 35mm, FAB. CARMEHIL, MAXTIL </t>
  </si>
  <si>
    <t>BLOCO-1</t>
  </si>
  <si>
    <t>IMPLANTAÇÃO</t>
  </si>
  <si>
    <r>
      <t xml:space="preserve">MEDIDOR DE GAS </t>
    </r>
    <r>
      <rPr>
        <b/>
        <sz val="8"/>
        <rFont val="Arial"/>
        <family val="2"/>
      </rPr>
      <t>GN,</t>
    </r>
    <r>
      <rPr>
        <sz val="8"/>
        <rFont val="Arial"/>
        <family val="2"/>
      </rPr>
      <t xml:space="preserve"> TIPO G-0,6, 50 KpA - 1,0KgF/cm2, FAB. "LAO"</t>
    </r>
  </si>
  <si>
    <t>MAT</t>
  </si>
  <si>
    <t>BLOCO-2/3</t>
  </si>
  <si>
    <t>Tomadas e Canaletas - No-Break</t>
  </si>
  <si>
    <r>
      <t xml:space="preserve">TOMADA SIMPLES 2P+T 20A/250V NBR-14136 EM PLACA 4" x 2" C/SUPORTE, FAB. PIAL, SIMON, ALUMBRA - </t>
    </r>
    <r>
      <rPr>
        <sz val="8"/>
        <color rgb="FFFF0000"/>
        <rFont val="Arial"/>
        <family val="2"/>
      </rPr>
      <t>TUG</t>
    </r>
  </si>
  <si>
    <r>
      <t>TOMADA SIMPLES 2P+T 20A/250V NBR-14136 + ENTRADA</t>
    </r>
    <r>
      <rPr>
        <sz val="8"/>
        <color rgb="FFFF0000"/>
        <rFont val="Arial"/>
        <family val="2"/>
      </rPr>
      <t xml:space="preserve"> USB</t>
    </r>
    <r>
      <rPr>
        <sz val="8"/>
        <rFont val="Arial"/>
        <family val="2"/>
      </rPr>
      <t>, EM PLACA 4" x 2" C/SUPORTE, FAB. PIAL LEGRAND</t>
    </r>
  </si>
  <si>
    <r>
      <t>CURVA 90</t>
    </r>
    <r>
      <rPr>
        <vertAlign val="superscript"/>
        <sz val="8"/>
        <rFont val="Arial"/>
        <family val="2"/>
      </rPr>
      <t>o</t>
    </r>
    <r>
      <rPr>
        <sz val="8"/>
        <rFont val="Arial"/>
        <family val="2"/>
      </rPr>
      <t xml:space="preserve"> P/ELETRODUTO EM AÇO-CARBONO (GE), ROSCA </t>
    </r>
    <r>
      <rPr>
        <sz val="8"/>
        <rFont val="Calibri"/>
        <family val="2"/>
      </rPr>
      <t>Ф</t>
    </r>
    <r>
      <rPr>
        <sz val="8"/>
        <rFont val="Arial"/>
        <family val="2"/>
      </rPr>
      <t xml:space="preserve"> 3/4", FAB.ELECON, CARBINOX</t>
    </r>
  </si>
  <si>
    <t>TUBULAÇÃO EM GERAL CONVERTIDA EM METRO (MT) NA COLUNA "D".  AS QUANTIDADES PARCIAS CONTINUAM EM VARAS (VR), POIS CONTÉM FÓRMULAS ESPECIFICAS.</t>
  </si>
  <si>
    <t>11.2.17</t>
  </si>
  <si>
    <t>ok</t>
  </si>
  <si>
    <t>CUBA DE LOUÇA EMBUTIR OVAL UNIVERSAL, COR BRANCA, REF.: L.37, FAB. DECA</t>
  </si>
  <si>
    <t>9.1.58</t>
  </si>
  <si>
    <t>CUBA DE LOUÇA SEMIEMBUTIR QUADRADA, COR BRANCA, REF.: L.830, FAB. DECA</t>
  </si>
  <si>
    <t>9.1.59</t>
  </si>
  <si>
    <t>8.2.26</t>
  </si>
  <si>
    <t>8.2.27</t>
  </si>
  <si>
    <r>
      <t xml:space="preserve">VÁLVULA DE ADMISSÃO DE AR P/ESGOTO (VENTILAÇÃO) </t>
    </r>
    <r>
      <rPr>
        <sz val="8"/>
        <rFont val="Calibri"/>
        <family val="2"/>
      </rPr>
      <t>Ф</t>
    </r>
    <r>
      <rPr>
        <sz val="8"/>
        <rFont val="Arial Narrow"/>
        <family val="2"/>
      </rPr>
      <t xml:space="preserve"> 1.1/2", FAB. OATEY, ASTRA</t>
    </r>
  </si>
  <si>
    <t>CAIXA EM POLIESTIRENO C/TAMPA MOD. CPE-18 PS, DIM. 25x32x7,4cm, FAB. CEMAR, STECK</t>
  </si>
  <si>
    <r>
      <t>TUBO CPVC SOLDÁVEL PN 20, LINHA PREDIAL, NBR-15884-2, Ф 73</t>
    </r>
    <r>
      <rPr>
        <b/>
        <sz val="8"/>
        <rFont val="Arial"/>
        <family val="2"/>
      </rPr>
      <t>mm</t>
    </r>
    <r>
      <rPr>
        <sz val="8"/>
        <rFont val="Arial"/>
        <family val="2"/>
      </rPr>
      <t xml:space="preserve"> x 3,0m, FAB. TIGRE, AMANCO</t>
    </r>
  </si>
  <si>
    <t>LUVA SIMPLES CPVC Ф 73mm, FAB. TIGRE, AMANCO</t>
  </si>
  <si>
    <r>
      <t>JOELHO 90</t>
    </r>
    <r>
      <rPr>
        <vertAlign val="superscript"/>
        <sz val="8"/>
        <rFont val="Arial"/>
        <family val="2"/>
      </rPr>
      <t>o</t>
    </r>
    <r>
      <rPr>
        <sz val="8"/>
        <rFont val="Arial"/>
        <family val="2"/>
      </rPr>
      <t xml:space="preserve"> CPVC SOLDÁVEL, PARA TUBO Ф 73mm, FAB.TIGRE, AMANCO</t>
    </r>
  </si>
  <si>
    <r>
      <t>JOELHO 45</t>
    </r>
    <r>
      <rPr>
        <vertAlign val="superscript"/>
        <sz val="8"/>
        <rFont val="Arial"/>
        <family val="2"/>
      </rPr>
      <t>o</t>
    </r>
    <r>
      <rPr>
        <sz val="8"/>
        <rFont val="Arial"/>
        <family val="2"/>
      </rPr>
      <t xml:space="preserve"> CPVC SOLDÁVEL, PARA TUBO Ф 73mm, FAB.TIGRE, AMANCO</t>
    </r>
  </si>
  <si>
    <t>LUMINÁRIA DE OBSTÁCULO C/MASTRO, FOTO-CÉLULA E LÂMPADAS PLE-2x14W, FAB. WETZEL</t>
  </si>
  <si>
    <t>Externa</t>
  </si>
  <si>
    <r>
      <t>BACIA SANITÁRIA ESPECIAL (PNE), SEM ABERTURA FRONTAL, COR BRANCA, LINHA VOGUE PLUS</t>
    </r>
    <r>
      <rPr>
        <b/>
        <sz val="8"/>
        <rFont val="Arial"/>
        <family val="2"/>
      </rPr>
      <t xml:space="preserve"> CONFORTO</t>
    </r>
    <r>
      <rPr>
        <sz val="8"/>
        <rFont val="Arial"/>
        <family val="2"/>
      </rPr>
      <t>, REF.: P.510.17, FAB. DECA</t>
    </r>
  </si>
  <si>
    <r>
      <t xml:space="preserve">BACIA SANITÁRIA CONVENCIONAL, SAÍDA VERTICAL,COR BRANCA, LINHA </t>
    </r>
    <r>
      <rPr>
        <b/>
        <sz val="8"/>
        <rFont val="Arial"/>
        <family val="2"/>
      </rPr>
      <t>MONTE CARLO</t>
    </r>
    <r>
      <rPr>
        <sz val="8"/>
        <rFont val="Arial"/>
        <family val="2"/>
      </rPr>
      <t>, REF.: P.8.17, FAB. DECA</t>
    </r>
  </si>
  <si>
    <r>
      <t xml:space="preserve">BACIA SANITÁRIA CONVENCIONAL, SAÍDA </t>
    </r>
    <r>
      <rPr>
        <sz val="8"/>
        <color rgb="FFFF0000"/>
        <rFont val="Arial"/>
        <family val="2"/>
      </rPr>
      <t>HORIZONTAL</t>
    </r>
    <r>
      <rPr>
        <sz val="8"/>
        <rFont val="Arial"/>
        <family val="2"/>
      </rPr>
      <t xml:space="preserve">, COR BRANCA, LINHA </t>
    </r>
    <r>
      <rPr>
        <b/>
        <sz val="8"/>
        <rFont val="Arial"/>
        <family val="2"/>
      </rPr>
      <t>NUOVA</t>
    </r>
    <r>
      <rPr>
        <sz val="8"/>
        <rFont val="Arial"/>
        <family val="2"/>
      </rPr>
      <t>, REF.: P.131.17, FAB. DECA</t>
    </r>
  </si>
  <si>
    <t>INSTALAÇÕES SISTEMA DE CATV - Senha</t>
  </si>
  <si>
    <t>CRONOGRAMA EVOLUTIVO</t>
  </si>
  <si>
    <t>DR CABETO</t>
  </si>
  <si>
    <t>30/6 ABRIR LICITAÇÃO</t>
  </si>
  <si>
    <t>MARIA TERESA</t>
  </si>
  <si>
    <t>REITOR</t>
  </si>
  <si>
    <t>X</t>
  </si>
  <si>
    <t>N</t>
  </si>
  <si>
    <t>PEDRO COMARU</t>
  </si>
  <si>
    <t>MARCOS BOTTO</t>
  </si>
  <si>
    <t>150  MILHOES</t>
  </si>
  <si>
    <t>DUDU</t>
  </si>
  <si>
    <t>WELLYTHON</t>
  </si>
  <si>
    <t>TERREO E 1P</t>
  </si>
  <si>
    <t>RICARDO</t>
  </si>
  <si>
    <t>LABORATÓRIO</t>
  </si>
  <si>
    <t>PRAZO 18 MESES</t>
  </si>
  <si>
    <t>SEOBRA</t>
  </si>
  <si>
    <t>INST</t>
  </si>
  <si>
    <t>CIVIL</t>
  </si>
  <si>
    <t>AUTOMAÇÃO</t>
  </si>
  <si>
    <t>BOSCOV</t>
  </si>
  <si>
    <t>BLOCO-2e3</t>
  </si>
  <si>
    <t>&gt;&gt;&gt;&gt;</t>
  </si>
  <si>
    <t>LANÇAR LICITAÇÃO C/LULA</t>
  </si>
  <si>
    <t>180 MILHÕES</t>
  </si>
  <si>
    <t>MOBILIÁRIO &gt; FORA</t>
  </si>
  <si>
    <t>ARQ. EXECUTIVO 2/3</t>
  </si>
  <si>
    <t>ESTRUTURA</t>
  </si>
  <si>
    <t>AJUSTES ESCADA BL-3</t>
  </si>
  <si>
    <t>GERADOR</t>
  </si>
  <si>
    <t xml:space="preserve">LAJE SUP. BL-2 </t>
  </si>
  <si>
    <t>BOTTO</t>
  </si>
  <si>
    <t>BL-2/3</t>
  </si>
  <si>
    <t>&gt;&gt;</t>
  </si>
  <si>
    <t>BL-1</t>
  </si>
  <si>
    <t xml:space="preserve">ORÇAMENTO </t>
  </si>
  <si>
    <t>PROJETOS</t>
  </si>
  <si>
    <t>HELDER</t>
  </si>
  <si>
    <t>ORÇAMENTO</t>
  </si>
  <si>
    <t>SEX</t>
  </si>
  <si>
    <t>PAISAGISMO-IRRIGAÇAO</t>
  </si>
  <si>
    <t>LISTA DE PONTOS</t>
  </si>
  <si>
    <t>Orçamento</t>
  </si>
  <si>
    <t>DWG</t>
  </si>
  <si>
    <t>7.2.13</t>
  </si>
  <si>
    <t>BASICO</t>
  </si>
  <si>
    <t>EXECUTIVO</t>
  </si>
  <si>
    <t>CAIXA DE PVC QUADRADA 4"x4" (TIGREFLEX), P/02 PONTOS DE DADOS EM RÉGUA DE CABECEIRA, FAB.TIGRE, AMANCO</t>
  </si>
  <si>
    <t>CAIXA DE PVC QUADRADA 4"x4" (TIGREFLEX), P/06 PONTOS DE DADOS EM RÉGUA DE CABECEIRA, FAB.TIGRE, AMANCO</t>
  </si>
  <si>
    <r>
      <t>ELETROCALHA C/VIROLA "C" EM CHAPA DE AÇO PERFURADO, CH#18 MSG, Ref.: MAX.EPU-PGF, NBR-7008, DIM.</t>
    </r>
    <r>
      <rPr>
        <b/>
        <sz val="8"/>
        <color rgb="FFFF0000"/>
        <rFont val="Arial"/>
        <family val="2"/>
      </rPr>
      <t>100x100mm</t>
    </r>
    <r>
      <rPr>
        <sz val="8"/>
        <color rgb="FFFF0000"/>
        <rFont val="Arial"/>
        <family val="2"/>
      </rPr>
      <t>, FAB. MAXTIL, VALEMAM, CARMEHIL</t>
    </r>
  </si>
  <si>
    <t xml:space="preserve">REDUÇÃO EXCÊNTRICA EM CHAPA DE AÇO LISA, CH#18 MSG, Ref.: MAX.EL.RDJI-PGF, NBR-7008, P/ELETROCALHA 150x100x150mm, FAB. MAXTIL, CARMEHIL     </t>
  </si>
  <si>
    <t>2.2.34</t>
  </si>
  <si>
    <t>2.2.35</t>
  </si>
  <si>
    <t>2.1.45</t>
  </si>
  <si>
    <t>2.1.46</t>
  </si>
  <si>
    <t>2.4.7</t>
  </si>
  <si>
    <t>PT</t>
  </si>
  <si>
    <t>CAIXA DE PVC QUADRADA 4"x4" (DRYFIX), FAB.TIGRE, AMANCO - FORRO DE GESSO (wifi)</t>
  </si>
  <si>
    <t>2.2.36</t>
  </si>
  <si>
    <t>2.2.37</t>
  </si>
  <si>
    <t>2.4.8</t>
  </si>
  <si>
    <t>BACKBONE ÓPTICO</t>
  </si>
  <si>
    <t>DE</t>
  </si>
  <si>
    <t>PARA</t>
  </si>
  <si>
    <t>DATACENTER</t>
  </si>
  <si>
    <t>RACK-TA</t>
  </si>
  <si>
    <t>RACK-TB</t>
  </si>
  <si>
    <t>FIBRA</t>
  </si>
  <si>
    <t>HORIZ</t>
  </si>
  <si>
    <t>VERT</t>
  </si>
  <si>
    <t>BLOCO</t>
  </si>
  <si>
    <t>TAMANHO</t>
  </si>
  <si>
    <t>CDM</t>
  </si>
  <si>
    <t>RACK-1B</t>
  </si>
  <si>
    <t>RACK-1A</t>
  </si>
  <si>
    <t>RACK-2B</t>
  </si>
  <si>
    <t>RACK-2A</t>
  </si>
  <si>
    <t>RACK-3B</t>
  </si>
  <si>
    <t>RACK-3A</t>
  </si>
  <si>
    <t>RACK-4B</t>
  </si>
  <si>
    <t>RACK-4A</t>
  </si>
  <si>
    <t>RACK-5B</t>
  </si>
  <si>
    <t>RACK-5A</t>
  </si>
  <si>
    <t>RACK-6B</t>
  </si>
  <si>
    <t>RACK-6A</t>
  </si>
  <si>
    <t>RACK-7B</t>
  </si>
  <si>
    <t>RACK-7A</t>
  </si>
  <si>
    <t>RACK-8B</t>
  </si>
  <si>
    <t>RACK-8A</t>
  </si>
  <si>
    <t>RACK-9B</t>
  </si>
  <si>
    <t>RACK-9A</t>
  </si>
  <si>
    <t>RACK-10B</t>
  </si>
  <si>
    <t>RACK-10A</t>
  </si>
  <si>
    <t>RACK-R2.8B</t>
  </si>
  <si>
    <t>RACK-R1.8A</t>
  </si>
  <si>
    <t>PP05</t>
  </si>
  <si>
    <t>10F</t>
  </si>
  <si>
    <t>6F</t>
  </si>
  <si>
    <t>8F</t>
  </si>
  <si>
    <t>4F</t>
  </si>
  <si>
    <t>12F</t>
  </si>
  <si>
    <t>ONT</t>
  </si>
  <si>
    <t>16U</t>
  </si>
  <si>
    <t>2F</t>
  </si>
  <si>
    <t>X2</t>
  </si>
  <si>
    <t>X1</t>
  </si>
  <si>
    <t>T1</t>
  </si>
  <si>
    <t>T2</t>
  </si>
  <si>
    <t>2.4.9</t>
  </si>
  <si>
    <t>2.4.10</t>
  </si>
  <si>
    <t>2.4.11</t>
  </si>
  <si>
    <t>2.4.12</t>
  </si>
  <si>
    <t>2.4.13</t>
  </si>
  <si>
    <t>cabo</t>
  </si>
  <si>
    <t>Talvez seja interessante esse pacote abranger as seguintes partes:</t>
  </si>
  <si>
    <t>1) Sala dos GMGs com: grupos geradores, atenuadores, tanques combustível diário e principal, proteção acústica, Trafos elevadores, painéis elétricos (inclusive QTA), interligações elétricas entre as partes, mas sem construção civil;</t>
  </si>
  <si>
    <t>2) SE 01 com: Painel MT, QGBT, trafos, suas interligações elétricas entre as partes e aterramento;</t>
  </si>
  <si>
    <t>4) Entrada com: poste, aterramento e interligação até a SE 01; </t>
  </si>
  <si>
    <t>5) Interligação MT dos GMG até SE 01; </t>
  </si>
  <si>
    <t>6) Interligação MT da SE 01 até SE 02.</t>
  </si>
  <si>
    <r>
      <t>ELETROCALHA C/VIROLA "C" EM CHAPA DE AÇO PERFURADO, CH#18 MSG, Ref.: MAX.EPU-PGF, NBR-7008, DIM.</t>
    </r>
    <r>
      <rPr>
        <b/>
        <sz val="8"/>
        <color rgb="FFFF0000"/>
        <rFont val="Arial"/>
        <family val="2"/>
      </rPr>
      <t>100x50mm</t>
    </r>
    <r>
      <rPr>
        <sz val="8"/>
        <color rgb="FFFF0000"/>
        <rFont val="Arial"/>
        <family val="2"/>
      </rPr>
      <t>, FAB. MAXTIL, VALEMAM, CARMEHIL</t>
    </r>
  </si>
  <si>
    <t>Ressalta-se que a Legenda ainda falta ser corrigida:</t>
  </si>
  <si>
    <t>a) As duas Leitoras de Portas serão do tipo Facial.</t>
  </si>
  <si>
    <t>b) Idem para as Catracas, que deverão ter leitoras faciais.</t>
  </si>
  <si>
    <t>c) Inclusão de Câmeras de monitoramento de temperatura corporal nas 3 entradas do Bloco 1 (Recepção Principal; Entrada dos Funcionários; e Entrada do 1º Pav.).</t>
  </si>
  <si>
    <r>
      <rPr>
        <sz val="12"/>
        <color rgb="FFFF0000"/>
        <rFont val="Arial"/>
        <family val="2"/>
      </rPr>
      <t>11/06/24</t>
    </r>
    <r>
      <rPr>
        <sz val="12"/>
        <color rgb="FF222222"/>
        <rFont val="Arial"/>
        <family val="2"/>
      </rPr>
      <t xml:space="preserve"> Segue abaixo o email com a última versão do CA-CFTV dos Blocos 2/3.</t>
    </r>
  </si>
  <si>
    <r>
      <rPr>
        <sz val="12"/>
        <color rgb="FFFF0000"/>
        <rFont val="Arial"/>
        <family val="2"/>
      </rPr>
      <t>05/06/24</t>
    </r>
    <r>
      <rPr>
        <sz val="12"/>
        <color rgb="FF222222"/>
        <rFont val="Arial"/>
        <family val="2"/>
      </rPr>
      <t xml:space="preserve"> Quero debater com você o "pacote" de serviços para pedirmos cotação de 3 empresas referente ao GMGs.</t>
    </r>
  </si>
  <si>
    <t>CAIXA DE PASSAGEM METÁLICA, EMBUTIR CH.#22, C/TAMPA PARAFUSADA, 300 X 300 X 100mm, C/FONTE 220/12V/5A, FAB. CARMEHIL, TECNELSA</t>
  </si>
  <si>
    <t>TUBO PVC SOLDÁVEL, LINHA PREDIAL, NBR-5648, Ф 25mm x 6,0m, INCLUSIVE CONEXÕES, FAB. TIGRE, AMANCO</t>
  </si>
  <si>
    <t>TUBO PVC SOLDÁVEL, LINHA PREDIAL, NBR-5648, Ф 32mm x 6,0m, INCLUSIVE CONEXÕES, FAB. TIGRE, AMANCO</t>
  </si>
  <si>
    <t>TUBO PVC SOLDÁVEL, LINHA PREDIAL, NBR-5648, Ф 40mm x 6,0m, INCLUSIVE CONEXÕES, FAB. TIGRE, AMANCO</t>
  </si>
  <si>
    <t>TUBO PVC SOLDÁVEL, LINHA PREDIAL, NBR-5648, Ф 50mm x 6,0m, INCLUSIVE CONEXÕES, FAB. TIGRE, AMANCO</t>
  </si>
  <si>
    <t>a) Entrada do combustível nos GMGs. Indicar.</t>
  </si>
  <si>
    <t>b) Saída do circuito dos Trafos para o Painel MT. Indicar.</t>
  </si>
  <si>
    <r>
      <t>c)  Entrada </t>
    </r>
    <r>
      <rPr>
        <sz val="12"/>
        <color rgb="FF000000"/>
        <rFont val="Arial"/>
        <family val="2"/>
      </rPr>
      <t>do circuito dos Trafos que vem dos GMGs. Indicar.</t>
    </r>
  </si>
  <si>
    <t>d) Saída do circuito dos GMGs. Indicar.</t>
  </si>
  <si>
    <t>2) Indicar as dimensões:</t>
  </si>
  <si>
    <t>e) Eletrocalha de interligação dos GMGs aos Trafos. Se o traçado está OK ou é melhor (mais organizado) se fazendo em eixos cartesianos paralelos às paredes.</t>
  </si>
  <si>
    <t>f) Traçado do tubo aço galvanizado pesado com duas curvas 45º ou diferente?</t>
  </si>
  <si>
    <t>g) Bitola da cabeação baixa tensão (dos GMGs aos Trafos).</t>
  </si>
  <si>
    <t>h) Bitola da tubulação do diesel (barrilete e trechos dos tanques diários).</t>
  </si>
  <si>
    <t>3) Estimar quantidades das Outras Instalações (eletrodutos e cabeações):</t>
  </si>
  <si>
    <t>i) Circuito de comando do sistema de pré-aquecimento e carregador de baterias de cada GMG.</t>
  </si>
  <si>
    <t>j) Circuito de sinal de comando de partida da cada GMG. </t>
  </si>
  <si>
    <t>k) Circuito de comando de paralelismo entre os GMGs.</t>
  </si>
  <si>
    <t>l) Sistema de aterramento completo.</t>
  </si>
  <si>
    <t>m) outros sistemas que eventualmente sejam necessários.</t>
  </si>
  <si>
    <r>
      <rPr>
        <sz val="12"/>
        <color rgb="FFFF0000"/>
        <rFont val="Arial"/>
        <family val="2"/>
      </rPr>
      <t>18/06/24</t>
    </r>
    <r>
      <rPr>
        <sz val="12"/>
        <color rgb="FF000000"/>
        <rFont val="Arial"/>
        <family val="2"/>
      </rPr>
      <t xml:space="preserve"> 1) Não sei as posições:</t>
    </r>
  </si>
  <si>
    <t>SE-1 Subestação Abrigada (2x1000kVA)</t>
  </si>
  <si>
    <t>1.15.14</t>
  </si>
  <si>
    <t>Sala Geradores + Trafo Elevador</t>
  </si>
  <si>
    <t>CABO UNIPOLAR ISOL. 0,6/1KV / HEPR 90oC, CL.5, NBR-13248 COR PRETO, 1x240mm2 FAB. COBRECOM, PRYSMIAN</t>
  </si>
  <si>
    <t>CABO UNIPOLAR ISOL. 0,6/1KV / HEPR 90oC, CL.5, NBR-13248, COR VERDE, 1x120mm2 FAB. COBRECOM, PRYSMIAN</t>
  </si>
  <si>
    <r>
      <t>TERMINAL DE COMPRESSÃO ESTANHADO 02 FURO P/ 240mm</t>
    </r>
    <r>
      <rPr>
        <vertAlign val="superscript"/>
        <sz val="8"/>
        <rFont val="Arial"/>
        <family val="2"/>
      </rPr>
      <t>2</t>
    </r>
    <r>
      <rPr>
        <sz val="8"/>
        <rFont val="Arial"/>
        <family val="2"/>
      </rPr>
      <t>, FAB. INTELLI, MAGNET</t>
    </r>
  </si>
  <si>
    <t xml:space="preserve">TE VERTICAL 90o EM CHAPA DE AÇO LISA, CH#18 MSG, Ref.: MAX.EL.TRJI-PGF, NBR-7008, P/ELETROCALHA 150x100mm, FAB. MAXTIL, VALEMAM, CARMEHIL     </t>
  </si>
  <si>
    <t>SEPTO DIVISOR TIPO "L" EM CHAPA DE AÇO PERFURADA, CH#18 MSG, Ref.: MAX.E.DP-GE, NBR-10476, P/ELETROCALHA ABA-50mm, FAB. MAXTIL, VALEMAM, CARMEHIL</t>
  </si>
  <si>
    <t xml:space="preserve">CURVA VERTICAL INTERNA EM CHAPA DE AÇO LISA, CH#18 MSG, Ref.: MAX.EL.CI9JI-GE, NBR-10476, P/ELETROCALHA 150x100mm, FAB. MAXTIL, VALEMAM, CARMEHIL  </t>
  </si>
  <si>
    <t xml:space="preserve">FLANGE P/PAINEL EM CHAPA DE AÇO LISA, CH#18 MSG, Ref.: MAX.E.ACO-GE, NBR-10476, P/ELETROCALHA 150x100mm, FAB. MAXTIL, VALEMAM, CARMEHIL     </t>
  </si>
  <si>
    <t xml:space="preserve">CURVA HORIZONTAL 90o EM CHAPA DE AÇO LISA, CH#18 MSG, Ref.: MAX.EL.CH9JI-PGF, NBR-7008, P/ELETROCALHA 200x100mm, FAB. MAXTIL, VALEMAM, CARMEHIL     </t>
  </si>
  <si>
    <t xml:space="preserve">CURVA VERTICAL INTERNA EM CHAPA DE AÇO LISA, CH#18 MSG, Ref.: MAX.EL.CI9JI-GE, NBR-10476, P/ELETROCALHA 200x100mm, FAB. MAXTIL, VALEMAM, CARMEHIL  </t>
  </si>
  <si>
    <t xml:space="preserve">TE VERTICAL 90o EM CHAPA DE AÇO LISA, CH#18 MSG, Ref.: MAX.EL.TRJI-PGF, NBR-7008, P/ELETROCALHA 200x100mm, FAB. MAXTIL, VALEMAM, CARMEHIL     </t>
  </si>
  <si>
    <t>TAMPA DE PRESSÃO C/REFORÇO EM CHAPA DE AÇO LISA, CH#18 MSG, Ref.: MAX.ET.PP-GF, NBR-7008, P/ELETROCALHA 400mm, FAB. MAXTIL, VALEMAM, CARMEHIL</t>
  </si>
  <si>
    <t xml:space="preserve">TE HORIZONTAL 90o EM CHAPA DE AÇO LISA, CH#18 MSG, Ref.: MAX.EL.TRJI-PGF, NBR-7008, P/ELETROCALHA 400x100mm, FAB. MAXTIL, VALEMAM, CARMEHIL     </t>
  </si>
  <si>
    <t>REDUÇÃO EXCÊNTRICA EM CHAPA DE AÇO LISA, CH#18 MSG, Ref.: MAX.EL.RDJI-GE, NBR-10476, P/ELETROCALHA 400x200x100mm, FAB. MAXTIL, VALEMAM, CARMEHIL</t>
  </si>
  <si>
    <t>SE-2 Subestação Abrigada (2x750kVA)</t>
  </si>
  <si>
    <t>Interligação SE-1 para SE-2</t>
  </si>
  <si>
    <t>3) SE 02 com: Painel MT, QGBT, trafos e suas interligações elétricas entre as partes;</t>
  </si>
  <si>
    <t>CAIXA DE PASSAGEM METÁLICA, SOBREPOR CH.#22, C/TAMPA PARAFUSADA, 500 X 500 X 150mm, C/DISPOSITIVO P/SELO + ADVERTÊNCIA, FAB. CARMEHIL, TECNELSA</t>
  </si>
  <si>
    <t>QL.T-1.1</t>
  </si>
  <si>
    <t>QL.T-1.2</t>
  </si>
  <si>
    <t>QL.T-3</t>
  </si>
  <si>
    <t>QL.ILUM.EXT.</t>
  </si>
  <si>
    <t>QL.GERADOR</t>
  </si>
  <si>
    <t>QF.T-1.1</t>
  </si>
  <si>
    <t>QF.T-3</t>
  </si>
  <si>
    <t>QF.NB.T-2</t>
  </si>
  <si>
    <t>QF.NB.T-3</t>
  </si>
  <si>
    <t>QL.1P-3</t>
  </si>
  <si>
    <t>QL.LAB.1P-3</t>
  </si>
  <si>
    <t>QF-SOROLOG.1P.3</t>
  </si>
  <si>
    <t>QF-MICROBIOL.1P.3</t>
  </si>
  <si>
    <t>QF-HEMATOLOG.1P.3</t>
  </si>
  <si>
    <t>QF-BIOQUIMICA.1P.3</t>
  </si>
  <si>
    <t>QF-MANUAIS.1P.3</t>
  </si>
  <si>
    <t>QF.1P-3</t>
  </si>
  <si>
    <t>QF.NB.1P-2</t>
  </si>
  <si>
    <t>QF.NB.1P-3</t>
  </si>
  <si>
    <t>QF.2P-2</t>
  </si>
  <si>
    <t>QF.2P-3</t>
  </si>
  <si>
    <t>QL.2P-3</t>
  </si>
  <si>
    <t>QF.NB.3P-2</t>
  </si>
  <si>
    <t>QL.3P-1.1</t>
  </si>
  <si>
    <t>QL.3P-1.2</t>
  </si>
  <si>
    <t>QL.3P-3</t>
  </si>
  <si>
    <t>QL-AP-3P.2.01 / 2.10</t>
  </si>
  <si>
    <t>QL-AP-3P.2.02 A 2.04</t>
  </si>
  <si>
    <t>QL-AP-3P.2.05 a 2.09</t>
  </si>
  <si>
    <t>QL-AP-3P.2.11</t>
  </si>
  <si>
    <t>QL.AP.4P-201 a 207</t>
  </si>
  <si>
    <t>QL.AP.4P-208 a 211</t>
  </si>
  <si>
    <t>QF.4P-2</t>
  </si>
  <si>
    <t>QF.NB.4P-2</t>
  </si>
  <si>
    <t>QL.5P-1.1</t>
  </si>
  <si>
    <t>QL.5P-1.2</t>
  </si>
  <si>
    <t>QL-AP-5P.2.01 a 2.06 / 2.08 / 2.09</t>
  </si>
  <si>
    <t>QL-AP-5P.2.07 e 2.10</t>
  </si>
  <si>
    <t>QF.5P-2</t>
  </si>
  <si>
    <t>QF.NB.5P-2</t>
  </si>
  <si>
    <t>QL.6P-1.1</t>
  </si>
  <si>
    <t>QL.6P-1.2</t>
  </si>
  <si>
    <t>QL-AP-6P.2.01 / 2.10</t>
  </si>
  <si>
    <t>QL-AP-6P.2.02 A 2.04</t>
  </si>
  <si>
    <t>QL-AP-6P.2.05 a 2.09</t>
  </si>
  <si>
    <t>QL-AP-6P.2.11</t>
  </si>
  <si>
    <t>QF.6P-2</t>
  </si>
  <si>
    <t>QF.NB.6P-2</t>
  </si>
  <si>
    <t>QF.1P-1.1</t>
  </si>
  <si>
    <t>QF.1P-1.2</t>
  </si>
  <si>
    <t>QL.2P-1.1</t>
  </si>
  <si>
    <t>QL.2P-1.2</t>
  </si>
  <si>
    <t>QL.4P-1.1</t>
  </si>
  <si>
    <t>QL.4P-1.2</t>
  </si>
  <si>
    <t>QL.7P-1.1</t>
  </si>
  <si>
    <t>QL.7P-1.2</t>
  </si>
  <si>
    <t>QL.9P-1.1</t>
  </si>
  <si>
    <t>QL.9P-1.2</t>
  </si>
  <si>
    <t>QL-10P-1.1</t>
  </si>
  <si>
    <t>QL-10P-1.2</t>
  </si>
  <si>
    <t>QL.8P-1.1</t>
  </si>
  <si>
    <t>QL.8P-1.2</t>
  </si>
  <si>
    <t>QF.3P-2</t>
  </si>
  <si>
    <r>
      <rPr>
        <sz val="12"/>
        <color rgb="FFFF0000"/>
        <rFont val="Arial"/>
        <family val="2"/>
      </rPr>
      <t>29/06/24</t>
    </r>
    <r>
      <rPr>
        <sz val="12"/>
        <color rgb="FF000000"/>
        <rFont val="Arial"/>
        <family val="2"/>
      </rPr>
      <t xml:space="preserve"> 1) Disjuntores de Proteção Geral</t>
    </r>
  </si>
  <si>
    <t>a) Estão todos com Capacidade de Curto Circuito em 380V-10kA</t>
  </si>
  <si>
    <t>4,5ka</t>
  </si>
  <si>
    <t>10ka</t>
  </si>
  <si>
    <t xml:space="preserve">b) O custo de  iC60N Modular 10kA é de R$ 421,00 </t>
  </si>
  <si>
    <t xml:space="preserve">c) O custo de  Easy9 4,5kA é de R$ 155,70 </t>
  </si>
  <si>
    <t>e) Ajuste na capacidade dos DR  com nominal de 25A, 40A e 63A</t>
  </si>
  <si>
    <t>d) Os disjuntor de entrada com bloco auxiliar iOF + SD (2NA/NF) - Trip/Status de automação</t>
  </si>
  <si>
    <r>
      <rPr>
        <sz val="12"/>
        <color rgb="FFFF0000"/>
        <rFont val="Arial"/>
        <family val="2"/>
      </rPr>
      <t>29/06/24</t>
    </r>
    <r>
      <rPr>
        <sz val="12"/>
        <color rgb="FF000000"/>
        <rFont val="Arial"/>
        <family val="2"/>
      </rPr>
      <t xml:space="preserve"> 1) Alimentadores Elétricos</t>
    </r>
  </si>
  <si>
    <t>a) Precisando da planta baixa de cada pavimento com o encaminhamento de cada quadro até o Shaft</t>
  </si>
  <si>
    <t>b) Os quadros de apartamentos só tenho o encaminhamento do 4o.Pav. - Faltam 3o, 5o. , 6o.Pav.</t>
  </si>
  <si>
    <t>c) Importante a planta de alimentadores do Térreo para saber o caminho do Bloco-2/2 até a Subestação (BL-1).</t>
  </si>
  <si>
    <t xml:space="preserve">CURVA VERTICAL 90o EM CHAPA DE AÇO LISA, CH#18 MSG, Ref.: MAX.EL.CH9JI-PGF, NBR-7008, P/ELETROCALHA 150x100mm, FAB. MAXTIL, VALEMAN, CARMEHIL     </t>
  </si>
  <si>
    <t xml:space="preserve">FLANGE P/PAINEL EM CHAPA DE AÇO LISA, CH#18 MSG, Ref.: MAX.E.ACO-PGF, NBR-7008, P/ELETROCALHA 150x50mm, FAB. MAXTIL, VALEMAM, CARMEHIL     </t>
  </si>
  <si>
    <t xml:space="preserve">CURVA VERTICAL 90o EM CHAPA DE AÇO LISA, CH#18 MSG, Ref.: MAX.EL.CH9JI-PGF, NBR-7008, P/ELETROCALHA 150x50mm, FAB. MAXTIL, VALEMAN, CARMEHIL     </t>
  </si>
  <si>
    <t xml:space="preserve">TE HORIZONTAL 90o EM CHAPA DE AÇO LISA, CH#18 MSG, Ref.: MAX.EL.TRJI-PGF, NBR-7008, P/ELETROCALHA 150x50mm, FAB. MAXTIL, VALEMAM, CARMEHIL     </t>
  </si>
  <si>
    <t xml:space="preserve">REDUÇÃO EXCÊNTRICA EM CHAPA DE AÇO LISA, CH#18 MSG, Ref.: MAX.EL.RDJI-PGF, NBR-7008, P/ELETROCALHA 200x100x200mm, FAB. MAXTIL, CARMEHIL     </t>
  </si>
  <si>
    <r>
      <t xml:space="preserve">LEITO PESADO P/CABOS EM PERFIS DE AÇO, CH#16 MSG, Ref.: MAX.LP-PGF, NBR-7008, </t>
    </r>
    <r>
      <rPr>
        <b/>
        <sz val="8"/>
        <rFont val="Arial"/>
        <family val="2"/>
      </rPr>
      <t>600x100mm</t>
    </r>
    <r>
      <rPr>
        <sz val="8"/>
        <rFont val="Arial"/>
        <family val="2"/>
      </rPr>
      <t xml:space="preserve">, FAB. MAXTIL, CARMEHIL     </t>
    </r>
  </si>
  <si>
    <r>
      <t xml:space="preserve">LEITO PESADO P/CABOS EM PERFIS DE AÇO, CH#16 MSG, Ref.: MAX.LP-PGF, NBR-7008, </t>
    </r>
    <r>
      <rPr>
        <b/>
        <sz val="8"/>
        <rFont val="Arial"/>
        <family val="2"/>
      </rPr>
      <t>800x100mm</t>
    </r>
    <r>
      <rPr>
        <sz val="8"/>
        <rFont val="Arial"/>
        <family val="2"/>
      </rPr>
      <t xml:space="preserve">, FAB. MAXTIL, CARMEHIL     </t>
    </r>
  </si>
  <si>
    <r>
      <t xml:space="preserve">LEITO PESADO P/CABOS EM PERFIS DE AÇO, CH#16 MSG, Ref.: MAX.LP-PGF, NBR-7008, </t>
    </r>
    <r>
      <rPr>
        <b/>
        <sz val="8"/>
        <rFont val="Arial"/>
        <family val="2"/>
      </rPr>
      <t>1200x100mm</t>
    </r>
    <r>
      <rPr>
        <sz val="8"/>
        <rFont val="Arial"/>
        <family val="2"/>
      </rPr>
      <t xml:space="preserve">, FAB. MAXTIL, CARMEHIL     </t>
    </r>
  </si>
  <si>
    <r>
      <t>ELETROCALHA C/VIROLA "C" EM CHAPA DE AÇO PERFURADO, CH#18 MSG, Ref.: MAX.EPU-PGF, NBR-7008, DIM.</t>
    </r>
    <r>
      <rPr>
        <b/>
        <sz val="8"/>
        <rFont val="Arial"/>
        <family val="2"/>
      </rPr>
      <t>150x50mm</t>
    </r>
    <r>
      <rPr>
        <sz val="8"/>
        <rFont val="Arial"/>
        <family val="2"/>
      </rPr>
      <t>, FAB. MAXTIL, VALEMAM, CARMEHIL</t>
    </r>
  </si>
  <si>
    <t>1.9.95</t>
  </si>
  <si>
    <t>1.9.96</t>
  </si>
  <si>
    <t>1.9.97</t>
  </si>
  <si>
    <t>1.9.98</t>
  </si>
  <si>
    <t>1.9.99</t>
  </si>
  <si>
    <t>1.9.100</t>
  </si>
  <si>
    <t>1.9.101</t>
  </si>
  <si>
    <t>1.9.102</t>
  </si>
  <si>
    <t>1.9.103</t>
  </si>
  <si>
    <t>1.9.104</t>
  </si>
  <si>
    <t>1.9.105</t>
  </si>
  <si>
    <t>1.9.106</t>
  </si>
  <si>
    <t>1.9.107</t>
  </si>
  <si>
    <t>1.9.108</t>
  </si>
  <si>
    <t>1.9.109</t>
  </si>
  <si>
    <t>1.9.110</t>
  </si>
  <si>
    <t>1.9.111</t>
  </si>
  <si>
    <t>1.10.44</t>
  </si>
  <si>
    <t>10.3.14</t>
  </si>
  <si>
    <t xml:space="preserve">BARRA CHATA DE COBRE NÚ 3/4" x 3/16" </t>
  </si>
  <si>
    <t>TERMINAL EXTERNO (MUFLA), CLASSE 15kV, 95 a 185mm2, REF.: HVT-153-E, FAB. RAYCHEM, 3M</t>
  </si>
  <si>
    <t>TERMINAL INTERNO (MUFLA), CLASSE 15kV, 95 a 185mm2, REF.: HVT-153-I, FAB. RAYCHEM, 3M</t>
  </si>
  <si>
    <t>CAIXA DE PASSAGEM EM ALVENARIA 80x80cm C/TAMPA DE FERRO FUNDIDO Ф600mm - SELADA PELA ENEL</t>
  </si>
  <si>
    <t>PAINEL DE PROTEÇÃO GERAL EM MÉDIA TENSÃO, C/DISJUNTOR, SECCIONADORA E TPS (02 COLUNAS SM6), USO AO TEMPO, CONF. DES. 03/07</t>
  </si>
  <si>
    <t>Entrada MT (ENEL 13.8kV) + PMT x GMG</t>
  </si>
  <si>
    <r>
      <t xml:space="preserve">DUTO FLEXÍVEL CORRUGADO EM POLIETILENO (PEAD), NBR-15715, C/ARAME PESCA, </t>
    </r>
    <r>
      <rPr>
        <sz val="8"/>
        <rFont val="Calibri"/>
        <family val="2"/>
      </rPr>
      <t>Ф</t>
    </r>
    <r>
      <rPr>
        <sz val="8"/>
        <rFont val="Arial"/>
        <family val="2"/>
      </rPr>
      <t xml:space="preserve"> 5" x 140mm, FAB. NOVOFLEX, KANAFLEX </t>
    </r>
  </si>
  <si>
    <t>COLUNA.1 SM6 CONNECTED IM.375 - ENTRADA GMG</t>
  </si>
  <si>
    <t>COLUNA.2 SM6 CONNECTED DM1.A.750 - PROT.GERAL DJ-630A+SEPAM</t>
  </si>
  <si>
    <t>COLUNA.3 SM6 CONNECTED QM.375 - SAÍDA TR.1 SECC.FUS</t>
  </si>
  <si>
    <t>COLUNA.4 SM6 CONNECTED QM.375 - SAÍDA TR.2 SECC.FUS</t>
  </si>
  <si>
    <t>COLUNA.5 SM6 CONNECTED DM1.A.750 - SAÍDA SE-02 DJ-630A+SEPAM</t>
  </si>
  <si>
    <t>SUPORTE METÁLICO P/MUFLAS GALV. 2" x 2" x 3/16" - 110cm</t>
  </si>
  <si>
    <r>
      <t xml:space="preserve">LEITO PESADO P/CABOS EM PERFIS DE AÇO, CH#16 MSG, Ref.: MAX.LP-PGF, NBR-7008, </t>
    </r>
    <r>
      <rPr>
        <b/>
        <sz val="8"/>
        <rFont val="Arial"/>
        <family val="2"/>
      </rPr>
      <t>500x100mm</t>
    </r>
    <r>
      <rPr>
        <sz val="8"/>
        <rFont val="Arial"/>
        <family val="2"/>
      </rPr>
      <t xml:space="preserve">, FAB. MAXTIL, CARMEHIL     </t>
    </r>
  </si>
  <si>
    <t xml:space="preserve">CRUZETA HORIZONTAL 90o P/LEITO PESADO, CH#16 MSG, Ref.: MAX.CZ9-PGF, NBR-7008, 500x100mm, FAB. MAXTIL, CARMEHIL     </t>
  </si>
  <si>
    <t>ELEMENTOS DE FIXAÇÃO E SUPORTE P/LEITO 500mm</t>
  </si>
  <si>
    <t>COLUNA.8 SM6 CONNECTED QM.375 - SAÍDA TR.2 750 SECC.</t>
  </si>
  <si>
    <t>COLUNA.4 SM6 CONNECTED QM.375 - SAÍDA TR.1 750 SECC.</t>
  </si>
  <si>
    <t xml:space="preserve">FLANGE P/PAINEL EM CHAPA DE AÇO LISA, CH#18 MSG, Ref.: MAX.E.ACO-PGF, NBR-7008, P/ELETROCALHA 300x100mm, FAB. MAXTIL, VALEMAM, CARMEHIL     </t>
  </si>
  <si>
    <t xml:space="preserve">CURVA VERTICAL 90o EM CHAPA DE AÇO LISA, CH#18 MSG, Ref.: MAX.EL.CH9JI-PGF, NBR-7008, P/ELETROCALHA 300x100mm, FAB. MAXTIL, VALEMAN, CARMEHIL     </t>
  </si>
  <si>
    <t>BLOCO AUTÔNOMO DE EMERGÊNCIA , AUTONOMIA 3 HORAS, 150 LUMENS, PLUGÁVEL FAB. FLC, AUREON</t>
  </si>
  <si>
    <t>UNIDADE AUTÔNOMA DE EMERGÊNCIA, AUTONOMIA 3 HORAS, LED 1200 LUMENS 02 FARÓIS, PLUGÁVEL, FAB. SEGURIMAX</t>
  </si>
  <si>
    <t>1.15.34</t>
  </si>
  <si>
    <t>1.15.35</t>
  </si>
  <si>
    <r>
      <t>ELETROCALHA C/VIROLA "C" EM CHAPA DE AÇO PERFURADO, CH#18 MSG, Ref.: MAX.EPU-PGF, NBR-7008, DIM.</t>
    </r>
    <r>
      <rPr>
        <b/>
        <sz val="8"/>
        <rFont val="Arial"/>
        <family val="2"/>
      </rPr>
      <t>300x100mm</t>
    </r>
    <r>
      <rPr>
        <sz val="8"/>
        <rFont val="Arial"/>
        <family val="2"/>
      </rPr>
      <t>, FAB. MAXTIL, VALEMAM, CARMEHIL</t>
    </r>
  </si>
  <si>
    <t xml:space="preserve">FLANGE P/PAINEL EM CHAPA DE AÇO LISA, CH#18 MSG, Ref.: MAX.E.ACO-GE, NBR-10476, P/ELETROCALHA 200x100mm, FAB. MAXTIL, VALEMAM, CARMEHIL     </t>
  </si>
  <si>
    <t>PORTA ACÚSTICA FOLHA SIMPLES 1600x2100mm (LA)</t>
  </si>
  <si>
    <t>SENSOR DE NÍVEL BASE + TQ PRINCIPAL, CHAVE DE BÓIA MECÂNICA</t>
  </si>
  <si>
    <r>
      <t>ELETROCALHA C/VIROLA "C" EM CHAPA DE AÇO PERFURADO, CH#18 MSG, Ref.: MAX.EPU-PGF, NBR-7008, DIM.</t>
    </r>
    <r>
      <rPr>
        <b/>
        <sz val="8"/>
        <rFont val="Arial"/>
        <family val="2"/>
      </rPr>
      <t>400x100mm</t>
    </r>
    <r>
      <rPr>
        <sz val="8"/>
        <rFont val="Arial"/>
        <family val="2"/>
      </rPr>
      <t>, FAB. MAXTIL, VALEMAM, CARMEHIL</t>
    </r>
  </si>
  <si>
    <t xml:space="preserve">CURVA HORIZONTAL 90o EM CHAPA DE AÇO LISA, CH#18 MSG, Ref.: MAX.EL.CH9JI-PGF, NBR-7008, P/ELETROCALHA 400x100mm, FAB. MAXTIL, VALEMAM, CARMEHIL     </t>
  </si>
  <si>
    <t xml:space="preserve">CURVA VERTICAL INTERNA EM CHAPA DE AÇO LISA, CH#18 MSG, Ref.: MAX.EL.CI9JI-GE, NBR-10476, P/ELETROCALHA 400x100mm, FAB. MAXTIL, VALEMAM, CARMEHIL  </t>
  </si>
  <si>
    <t xml:space="preserve">QF.IT.5P-2  1000 x 600 x 200mm (ALP) - SOBREPOR </t>
  </si>
  <si>
    <t>QF.IT.9P-1  1000 x 600 x 120mm (ALP) - EMBUTIR</t>
  </si>
  <si>
    <t>1.6.40</t>
  </si>
  <si>
    <t>1.6.41</t>
  </si>
  <si>
    <t>1.6.42</t>
  </si>
  <si>
    <t>1.6.43</t>
  </si>
  <si>
    <t>OS QGBT´s ESTÃO NAS SUBESTAÇÕES</t>
  </si>
  <si>
    <t>QL.SE-02</t>
  </si>
  <si>
    <t>QL-SE-01</t>
  </si>
  <si>
    <t>QL.COZ.T-1</t>
  </si>
  <si>
    <t>QL.1P-1.1</t>
  </si>
  <si>
    <t>QL.1P-1.2</t>
  </si>
  <si>
    <t>QF.ELEV.9...10</t>
  </si>
  <si>
    <t>QFAC-3P-3</t>
  </si>
  <si>
    <t xml:space="preserve">QF.T-1.2 </t>
  </si>
  <si>
    <t>QF.NB.2</t>
  </si>
  <si>
    <t>QF.NB.10P-1</t>
  </si>
  <si>
    <t>QB-ELEV.ESG. (1x1CV)</t>
  </si>
  <si>
    <t>QB-IRR-2 (1x1,5CV)</t>
  </si>
  <si>
    <t>QB-HID-1 (1x4CV)</t>
  </si>
  <si>
    <t>QB-SPK-1 (1x4CV)</t>
  </si>
  <si>
    <t>QL.2P-AUD-2.1</t>
  </si>
  <si>
    <t>QL.2P-AUD-2.2</t>
  </si>
  <si>
    <t>QL.2P-AUD-2.3</t>
  </si>
  <si>
    <t>QF.1P-TRANSF.</t>
  </si>
  <si>
    <t>4.1.25</t>
  </si>
  <si>
    <t>4.1.26</t>
  </si>
  <si>
    <t>4.1.27</t>
  </si>
  <si>
    <t>4.1.28</t>
  </si>
  <si>
    <t>4.1.29</t>
  </si>
  <si>
    <r>
      <t>CURVA 90</t>
    </r>
    <r>
      <rPr>
        <vertAlign val="superscript"/>
        <sz val="8"/>
        <rFont val="Arial"/>
        <family val="2"/>
      </rPr>
      <t>o</t>
    </r>
    <r>
      <rPr>
        <sz val="8"/>
        <rFont val="Arial"/>
        <family val="2"/>
      </rPr>
      <t xml:space="preserve"> P/ELETRODUTO EM AÇO-CARBONO (GE), ROSCA Ф 5", FAB.ELECON, CARBINOX</t>
    </r>
  </si>
  <si>
    <t>LUVA P/ELETRODUTO EM AÇO-CARBONO (GE), ROSCA Ф 5", FAB.ELECON, CARBINOX</t>
  </si>
  <si>
    <t>ELETRODUTO EM AÇO-CARBONO (GF), CLASSE PESADA, NBR-5624(P), C/LUVA Ф 5" x 5,00 X 3,0m, FAB.ELECON, CARBINOX</t>
  </si>
  <si>
    <t>4.2.8</t>
  </si>
  <si>
    <t>OK</t>
  </si>
  <si>
    <t xml:space="preserve">CURVA HORIZONTAL 90o EM CHAPA DE AÇO LISA, CH#18 MSG, Ref.: MAX.EL.CH9JI-PGF, NBR-7008, P/ELETROCALHA 150x50mm, FAB. MAXTIL, VALEMAN, CARMEHIL     </t>
  </si>
  <si>
    <t>COMPOSIÇÃO MÃO DE OBRA  / JULHO-2024/R0</t>
  </si>
  <si>
    <t>2024/2025</t>
  </si>
  <si>
    <r>
      <t>CABO UNIPOLAR ISOL.12/20kV / FORTIS 105</t>
    </r>
    <r>
      <rPr>
        <vertAlign val="superscript"/>
        <sz val="8"/>
        <rFont val="Arial"/>
        <family val="2"/>
      </rPr>
      <t>o</t>
    </r>
    <r>
      <rPr>
        <sz val="8"/>
        <rFont val="Arial"/>
        <family val="2"/>
      </rPr>
      <t>C, CL.2, NBR-7286, COR PRETO, 1x120mm</t>
    </r>
    <r>
      <rPr>
        <vertAlign val="superscript"/>
        <sz val="8"/>
        <rFont val="Arial"/>
        <family val="2"/>
      </rPr>
      <t xml:space="preserve">2 </t>
    </r>
    <r>
      <rPr>
        <sz val="8"/>
        <rFont val="Arial"/>
        <family val="2"/>
      </rPr>
      <t>FAB. NEXANS</t>
    </r>
  </si>
  <si>
    <r>
      <t>CABO UNIPOLAR ISOL.12/20kV / EPR 105</t>
    </r>
    <r>
      <rPr>
        <vertAlign val="superscript"/>
        <sz val="8"/>
        <rFont val="Arial"/>
        <family val="2"/>
      </rPr>
      <t>o</t>
    </r>
    <r>
      <rPr>
        <sz val="8"/>
        <rFont val="Arial"/>
        <family val="2"/>
      </rPr>
      <t>C, CL.2, NBR-7286, COR PRETO, 1x35mm</t>
    </r>
    <r>
      <rPr>
        <vertAlign val="superscript"/>
        <sz val="8"/>
        <rFont val="Arial"/>
        <family val="2"/>
      </rPr>
      <t xml:space="preserve">2 </t>
    </r>
    <r>
      <rPr>
        <sz val="8"/>
        <rFont val="Arial"/>
        <family val="2"/>
      </rPr>
      <t>FAB. PRYSMIAN, NEXANS</t>
    </r>
  </si>
  <si>
    <t>PAINEL DE PARALELISMO E TRANSFERÊNCIA MT 630A/15KV C/MÓD. CONTROLE, IHM E RELÉ DE PROTEÇÃO, CONF. PROJETO, (INCLUSIVE C/GUINDASTE E TRANSP. VERTICAL/HORIZ. C/SEGURO POR EQUIP.), FAB. SCHENEIDER ou SIEMENS,</t>
  </si>
  <si>
    <r>
      <t>CABO UNIPOLAR ISOL.12/20kV / EPR 105</t>
    </r>
    <r>
      <rPr>
        <vertAlign val="superscript"/>
        <sz val="8"/>
        <rFont val="Arial"/>
        <family val="2"/>
      </rPr>
      <t>o</t>
    </r>
    <r>
      <rPr>
        <sz val="8"/>
        <rFont val="Arial"/>
        <family val="2"/>
      </rPr>
      <t>C, CL.2, NBR-7286, COR PRETO, 1x50mm</t>
    </r>
    <r>
      <rPr>
        <vertAlign val="superscript"/>
        <sz val="8"/>
        <rFont val="Arial"/>
        <family val="2"/>
      </rPr>
      <t xml:space="preserve">2 </t>
    </r>
    <r>
      <rPr>
        <sz val="8"/>
        <rFont val="Arial"/>
        <family val="2"/>
      </rPr>
      <t>FAB. PRYSMIAN, NEXANS</t>
    </r>
  </si>
  <si>
    <r>
      <t xml:space="preserve">TRANSFORMADOR ELEVADOR TRIFÁSICO À SECO </t>
    </r>
    <r>
      <rPr>
        <b/>
        <sz val="8"/>
        <rFont val="Arial"/>
        <family val="2"/>
      </rPr>
      <t>2000kVA,</t>
    </r>
    <r>
      <rPr>
        <sz val="8"/>
        <rFont val="Arial"/>
        <family val="2"/>
      </rPr>
      <t xml:space="preserve"> CLASSE 15kV, IMPEDÂNCIA 5%, TAP´S 440...13800V, GRUPO DE LIGAÇÃO Dyn1, IP-21, F155</t>
    </r>
    <r>
      <rPr>
        <vertAlign val="superscript"/>
        <sz val="8"/>
        <rFont val="Arial"/>
        <family val="2"/>
      </rPr>
      <t>o</t>
    </r>
    <r>
      <rPr>
        <sz val="8"/>
        <rFont val="Arial"/>
        <family val="2"/>
      </rPr>
      <t>C, (INCLUSIVE C/GUINDASTE E TRANSP. VERTICAL/HORIZ. C/SEGURO POR EQUIP.), FAB. SIEMENS, WEG</t>
    </r>
  </si>
  <si>
    <r>
      <t xml:space="preserve">GRUPO GERADOR DIESEL EM REGIME NORMAL (STAND-By) C/INTERRUPÇÃO NA TRANSF. DE CARGA, POT.: </t>
    </r>
    <r>
      <rPr>
        <b/>
        <sz val="8"/>
        <rFont val="Arial"/>
        <family val="2"/>
      </rPr>
      <t>937kVA</t>
    </r>
    <r>
      <rPr>
        <sz val="8"/>
        <rFont val="Arial"/>
        <family val="2"/>
      </rPr>
      <t>/750kW-440V</t>
    </r>
    <r>
      <rPr>
        <b/>
        <sz val="8"/>
        <rFont val="Arial"/>
        <family val="2"/>
      </rPr>
      <t>,</t>
    </r>
    <r>
      <rPr>
        <sz val="8"/>
        <rFont val="Arial"/>
        <family val="2"/>
      </rPr>
      <t xml:space="preserve"> MOD. C18 PD (60Hz), TANQUE BASE 1600 Litros, (INCLUSIVE C/GUINDASTE E TRANSP. VERTICAL/HORIZ. C/SEGURO POR EQUIP.), FAB. CATERPILLAR</t>
    </r>
  </si>
  <si>
    <t>CABO DE COMANDO e CONTROLE, ISOL. 0,6/1KV / PVC 70oC, CL.4, NBR-7289 COR PRETO, 3x1,5mm2 FAB. BELDEM</t>
  </si>
  <si>
    <t>CABO DE COMANDO e CONTROLE, ISOL. 0,6/1KV / PVC 70oC, CL.4, NBR-7289 COR PRETO, 3x16mm2 FAB. BELDEM</t>
  </si>
  <si>
    <t>CABO DE COMANDO e CONTROLE, ISOL. 0,6/1KV / PVC 70oC, CL.4, NBR-7289 COR PRETO, 4x4mm2 FAB. BELDEM</t>
  </si>
  <si>
    <t>CABO DE COMANDO e CONTROLE, ISOL. 0,6/1KV / PVC 70oC, CL.4, NBR-7289 COR PRETO, 6x2,5mm2 FAB. BELDEM</t>
  </si>
  <si>
    <r>
      <t xml:space="preserve">TRANSFORMADOR TRIFÁSICO A SECO </t>
    </r>
    <r>
      <rPr>
        <b/>
        <sz val="8"/>
        <rFont val="Arial"/>
        <family val="2"/>
      </rPr>
      <t>1000kVA,</t>
    </r>
    <r>
      <rPr>
        <sz val="8"/>
        <rFont val="Arial"/>
        <family val="2"/>
      </rPr>
      <t xml:space="preserve"> CLASSE 15kV, IMPEDÂNCIA 5%, TAP´S 13800/13200...../380/220V, GRUPO DE LIGAÇÃO Dyn1, IP-00, F155</t>
    </r>
    <r>
      <rPr>
        <vertAlign val="superscript"/>
        <sz val="8"/>
        <rFont val="Arial"/>
        <family val="2"/>
      </rPr>
      <t>o</t>
    </r>
    <r>
      <rPr>
        <sz val="8"/>
        <rFont val="Arial"/>
        <family val="2"/>
      </rPr>
      <t>C, (INCLUSIVE C/GUINDASTE E TRANSP. VERTICAL/HORIZ. C/SEGURO POR EQUIP.),FAB. SIEMENS, WEG</t>
    </r>
  </si>
  <si>
    <r>
      <t xml:space="preserve">TRANSFORMADOR TRIFÁSICO (BLINDADO) A SECO </t>
    </r>
    <r>
      <rPr>
        <b/>
        <sz val="8"/>
        <rFont val="Arial"/>
        <family val="2"/>
      </rPr>
      <t>750kVA,</t>
    </r>
    <r>
      <rPr>
        <sz val="8"/>
        <rFont val="Arial"/>
        <family val="2"/>
      </rPr>
      <t xml:space="preserve"> CLASSE 15kV, IMPEDÂNCIA 5%, TAP´S 13800/13200...../380/220V, GRUPO DE LIGAÇÃO Dyn1, IP-21, F155</t>
    </r>
    <r>
      <rPr>
        <vertAlign val="superscript"/>
        <sz val="8"/>
        <rFont val="Arial"/>
        <family val="2"/>
      </rPr>
      <t>o</t>
    </r>
    <r>
      <rPr>
        <sz val="8"/>
        <rFont val="Arial"/>
        <family val="2"/>
      </rPr>
      <t>C, (INCLUSIVE C/GUINDASTE E TRANSP. VERTICAL/HORIZ. C/SEGURO POR EQUIP.), FAB. SIEMENS, WEG</t>
    </r>
  </si>
  <si>
    <t>CABO UNIPOLAR ISOL. 0,6/1KV / HEPR 90oC, CL.5, NBR-13248, COR PRETO, 1x400mm2 SUPERATOX, FAB. COBRECOM, PRYSMIAN</t>
  </si>
  <si>
    <t>CABO UNIPOLAR ISOL. 0,6/1KV / HEPR 90oC, CL.5, NBR-13248, COR AZUL, 1x400mm2 SUPERATOX, FAB. COBRECOM, PRYSMIAN</t>
  </si>
  <si>
    <t>CABO UNIPOLAR ISOL. 0,6/1KV / HEPR 90oC, CL.5, NBR-13248, COR VERDE, 1x240mm2 SUPERATOX, FAB. COBRECOM, PRYSMIAN</t>
  </si>
  <si>
    <t>TANQUE DE COMBUSTÍVEL PRINCIPAL C/CAPACIDADE DE 10.000 LITROS + BACIA DE CONTENÇÃO + TUBULAÇÕES/CONEXÕES de DIESEL</t>
  </si>
  <si>
    <t>SILENCIOSO 65dB@1,5m +/- 3dB(A) + DIFUSOR + ISOLAMENTO TÉRMICO LÃ DE ROCHA E CHAPA DE ALUMINIO 0,8 mm, FAB. CATERPILLAR</t>
  </si>
  <si>
    <t>QGBT-1 Conforme o Projeto ELT-BÁSICO-ICM-TÉRREO-ALIM.dwg</t>
  </si>
  <si>
    <t>QGBT-2 Conforme o Projeto ICM-ELT-ESQUEMA-SE-2_R6.dwg</t>
  </si>
  <si>
    <t>CERTIFICAÇÃO DE CABEAMENTO ESTRUTURADO CAT.6, CONFORME NBR-14565 e ANSI/TIA/EIA 568B.2-1</t>
  </si>
  <si>
    <t>CERTIFICAÇÃO DE CABEAMENTO ESTRUTURADO FIBRA ÓPTICA, CONFORME NBR-14565 e ISSO/IEC 61280-4-3</t>
  </si>
  <si>
    <t>a) Central de Água Quente - a do 10º Pav. permanece igual, mas precisa atualizar o preço. Já a do 7º Pav. do Bloco 2 será necessária ser acrescida na proposta, pois ela antes não existia.</t>
  </si>
  <si>
    <t>b) ITMédico - além da atualização dos preços houve alterações de projeto:</t>
  </si>
  <si>
    <t>- A do Térreo foi eliminada;</t>
  </si>
  <si>
    <r>
      <t>- As 3 do 1º Pav. do Bloco 1 </t>
    </r>
    <r>
      <rPr>
        <sz val="12"/>
        <color rgb="FF000000"/>
        <rFont val="Arial"/>
        <family val="2"/>
      </rPr>
      <t>permanecem iguais à versão antiga;</t>
    </r>
  </si>
  <si>
    <t>- A do 7º Pav do Bloco 1 será igual à do 8º Pav., que permanece igual à versão antiga;</t>
  </si>
  <si>
    <r>
      <t>- </t>
    </r>
    <r>
      <rPr>
        <sz val="12"/>
        <color rgb="FF000000"/>
        <rFont val="Arial"/>
        <family val="2"/>
      </rPr>
      <t>As das Salas Cirúrgicas e do RPA do 9º Pav. do Bloco 1 permanecem iguais à versão antiga;</t>
    </r>
  </si>
  <si>
    <t>- Agora tem um novo ITMédico no 5º Pav. do Bloco 2, que é igual à metade do 8º Pav. do Bloco 1.</t>
  </si>
  <si>
    <t>Tem uma planilha excel bem esclarecedora no anexo sobre os componentes.</t>
  </si>
  <si>
    <t>c) Nobreak - ver arquivo Caracterização dos Nobreaks ICM - ABR-2022, que está junto com a proposta da Schneider. Ele seguiu o roteiro para caracterização dos nobreaks. O do 2º Pav. do Bloco 2 alterou devido o aumento do Bloco 2 e 3.</t>
  </si>
  <si>
    <r>
      <rPr>
        <sz val="12"/>
        <color rgb="FFFF0000"/>
        <rFont val="Arial"/>
        <family val="2"/>
      </rPr>
      <t xml:space="preserve">11/07/24 </t>
    </r>
    <r>
      <rPr>
        <sz val="12"/>
        <color rgb="FF222222"/>
        <rFont val="Arial"/>
        <family val="2"/>
      </rPr>
      <t>- Conforme acertado, segue em anexo as propostas da versão antiga (de 2022):</t>
    </r>
  </si>
  <si>
    <t>Sistema para Áreas Gerais</t>
  </si>
  <si>
    <t>Sistema SDAI para Sala CPD + Supressão</t>
  </si>
  <si>
    <t>Sistema Combate Coifa Cozinha Restaurante</t>
  </si>
  <si>
    <t>12.3.19</t>
  </si>
  <si>
    <t>12.3.20</t>
  </si>
  <si>
    <t>12.3.21</t>
  </si>
  <si>
    <t>12.3.22</t>
  </si>
  <si>
    <t>12.3.23</t>
  </si>
  <si>
    <t>Sistema por Aspiração Sala CPD e Ressonância</t>
  </si>
  <si>
    <t xml:space="preserve">Equipamentos e Sistemas </t>
  </si>
  <si>
    <r>
      <t xml:space="preserve">TE 90º PPR </t>
    </r>
    <r>
      <rPr>
        <sz val="8"/>
        <rFont val="Calibri"/>
        <family val="2"/>
      </rPr>
      <t>Ф</t>
    </r>
    <r>
      <rPr>
        <sz val="8"/>
        <rFont val="Arial"/>
        <family val="2"/>
      </rPr>
      <t xml:space="preserve"> 63mm, FAB. TIGRE, AMANCO, UNIKAP  </t>
    </r>
  </si>
  <si>
    <t>7.4.53</t>
  </si>
  <si>
    <t>TORNEIRA DE BOIA MECÂNICA Ф 1" MOD. 1350, FAB. DECA, MIPEL, DOCOL</t>
  </si>
  <si>
    <t>7.6.21</t>
  </si>
  <si>
    <t>AQ - Tubulação em Cobre (Solar)</t>
  </si>
  <si>
    <t>TUBO DE COBRE, CLASSE A, NBR-13206, Ф 42 x 1,10mm, FAB. ELUMA</t>
  </si>
  <si>
    <t>TUBO DE COBRE, CLASSE A, NBR-13206, Ф 54 x 1,20mm, FAB. ELUMA</t>
  </si>
  <si>
    <t>LUVA SIMPLES DE COBRE BB 600 Ф 42mm, FAB. ELUMA</t>
  </si>
  <si>
    <t>LUVA SIMPLES DE COBRE BB 600 Ф 54mm, FAB. ELUMA</t>
  </si>
  <si>
    <r>
      <t>COTOVELO DE COBRE 90</t>
    </r>
    <r>
      <rPr>
        <vertAlign val="superscript"/>
        <sz val="8"/>
        <rFont val="Arial"/>
        <family val="2"/>
      </rPr>
      <t>o</t>
    </r>
    <r>
      <rPr>
        <sz val="8"/>
        <rFont val="Arial"/>
        <family val="2"/>
      </rPr>
      <t xml:space="preserve"> BB 607 Ф 42mm, FAB. ELUMA</t>
    </r>
  </si>
  <si>
    <r>
      <t>COTOVELO DE COBRE 90</t>
    </r>
    <r>
      <rPr>
        <vertAlign val="superscript"/>
        <sz val="8"/>
        <rFont val="Arial"/>
        <family val="2"/>
      </rPr>
      <t>o</t>
    </r>
    <r>
      <rPr>
        <sz val="8"/>
        <rFont val="Arial"/>
        <family val="2"/>
      </rPr>
      <t xml:space="preserve"> BB 607 Ф 54mm, FAB. ELUMA</t>
    </r>
  </si>
  <si>
    <r>
      <t>TE 90</t>
    </r>
    <r>
      <rPr>
        <vertAlign val="superscript"/>
        <sz val="8"/>
        <rFont val="Arial"/>
        <family val="2"/>
      </rPr>
      <t>o</t>
    </r>
    <r>
      <rPr>
        <sz val="8"/>
        <rFont val="Arial"/>
        <family val="2"/>
      </rPr>
      <t xml:space="preserve"> DE COBRE BBB 611 Ф 42mm, FAB. ELUMA</t>
    </r>
  </si>
  <si>
    <t>CONECTOR DE COBRE RM 604 Ф 42x1.1/2", FAB. ELUMA</t>
  </si>
  <si>
    <t>CONECTOR DE COBRE RM 604 Ф 54x2", FAB. ELUMA</t>
  </si>
  <si>
    <t>LUVA UNIÃO DE COBRE BB 733 Ф 54mm, FAB. ELUMA</t>
  </si>
  <si>
    <t>LUVA UNIÃO DE COBRE BB 733 Ф 42mm, FAB. ELUMA</t>
  </si>
  <si>
    <t>7.9</t>
  </si>
  <si>
    <t>7.9.1</t>
  </si>
  <si>
    <t>7.9.2</t>
  </si>
  <si>
    <t>7.9.3</t>
  </si>
  <si>
    <t>7.9.4</t>
  </si>
  <si>
    <t>7.9.5</t>
  </si>
  <si>
    <t>7.9.6</t>
  </si>
  <si>
    <t>7.9.7</t>
  </si>
  <si>
    <t>7.9.8</t>
  </si>
  <si>
    <t>7.9.9</t>
  </si>
  <si>
    <t>7.9.10</t>
  </si>
  <si>
    <t>7.9.11</t>
  </si>
  <si>
    <t>7.9.12</t>
  </si>
  <si>
    <t>7.9.13</t>
  </si>
  <si>
    <t>7.9.14</t>
  </si>
  <si>
    <t>7.9.15</t>
  </si>
  <si>
    <t>7.9.16</t>
  </si>
  <si>
    <t>7.9.17</t>
  </si>
  <si>
    <t>7.9.18</t>
  </si>
  <si>
    <t>7.9.19</t>
  </si>
  <si>
    <t>7.9.20</t>
  </si>
  <si>
    <t>7.9.21</t>
  </si>
  <si>
    <t>7.9.22</t>
  </si>
  <si>
    <t>7.9.23</t>
  </si>
  <si>
    <t>7.9.24</t>
  </si>
  <si>
    <t>7.9.25</t>
  </si>
  <si>
    <t>7.9.26</t>
  </si>
  <si>
    <t>7.9.27</t>
  </si>
  <si>
    <t>SISTEMA DE SUPRESSÃO (COIFA) COMPOSTO POR CILINDRO DE APC WHDR-400S (15,1 L), 02 DIFUSORES MOD. ADP, 01 DIFUSOR MOD."F", 06 DIFUSORES MOD. "R", E VÁLVULA DE BLOQUEIO DE GÁS, FAB. KIDDE OU SIMILAR</t>
  </si>
  <si>
    <t>SISTEMA DE DETECÇÃO (COIFA) COMPOSTO POR PAINEL DE CONTROLE MOD. XV, COM 05 TERMOBULBO E REDE DE CABOS  1/16" (152M), FAB. KIDDE OU SIMILAR</t>
  </si>
  <si>
    <r>
      <t xml:space="preserve">NO-BREAK TRIFÁSICO MOD. EASY UPS 3S de </t>
    </r>
    <r>
      <rPr>
        <b/>
        <sz val="8"/>
        <rFont val="Arial"/>
        <family val="2"/>
      </rPr>
      <t>15kVA</t>
    </r>
    <r>
      <rPr>
        <sz val="8"/>
        <rFont val="Arial"/>
        <family val="2"/>
      </rPr>
      <t>, 380/380V, ON-LINE, SENOIDAL, DUPLA CONVERSÃO, COM BATERIAIS INTERNAS E PLACA SNMP. AUTONOMIA DE 15 Min EM PLENA CARGA, FAB. SCHNEIDER OU SIMILAR</t>
    </r>
  </si>
  <si>
    <r>
      <t>NO-BREAK TRIFÁSICO MOD. EASY UPS 3M de 8</t>
    </r>
    <r>
      <rPr>
        <b/>
        <sz val="8"/>
        <rFont val="Arial"/>
        <family val="2"/>
      </rPr>
      <t>0kVA</t>
    </r>
    <r>
      <rPr>
        <sz val="8"/>
        <rFont val="Arial"/>
        <family val="2"/>
      </rPr>
      <t>, 380/380V, ON-LINE, SENOIDAL, DUPLA CONVERSÃO, COM BATERIAIS INTERNAS E PLACA SNMP. AUTONOMIA DE 15 Min EM PLENA CARGA, FAB. SCHNEIDER OU SIMILAR</t>
    </r>
  </si>
  <si>
    <r>
      <t xml:space="preserve">NO-BREAK TRIFÁSICO MOD. EASY UPS 3M de </t>
    </r>
    <r>
      <rPr>
        <b/>
        <sz val="8"/>
        <rFont val="Arial"/>
        <family val="2"/>
      </rPr>
      <t>100kVA</t>
    </r>
    <r>
      <rPr>
        <sz val="8"/>
        <rFont val="Arial"/>
        <family val="2"/>
      </rPr>
      <t>, 380/380V, ON-LINE, SENOIDAL, DUPLA CONVERSÃO, COM BATERIAIS INTERNAS E PLACA SNMP. AUTONOMIA DE 15 Min EM PLENA CARGA, FAB. SCHNEIDER OU SIMILAR</t>
    </r>
  </si>
  <si>
    <r>
      <t xml:space="preserve">NO-BREAK TRIFÁSICO MOD. EASY UPS 3M de </t>
    </r>
    <r>
      <rPr>
        <b/>
        <sz val="8"/>
        <rFont val="Arial"/>
        <family val="2"/>
      </rPr>
      <t>200kVA</t>
    </r>
    <r>
      <rPr>
        <sz val="8"/>
        <rFont val="Arial"/>
        <family val="2"/>
      </rPr>
      <t>, 380/380V, ON-LINE, SENOIDAL, DUPLA CONVERSÃO, COM BANCO DE BATERIAIS EXTERNO E PLACA SNMP. AUTONOMIA DE 15 Min EM PLENA CARGA, FAB. SCHNEIDER OU SIMILAR</t>
    </r>
  </si>
  <si>
    <r>
      <t>LUMINÁRIA DE PISO EM ALUMÍNO INJETADO, VIDRO PLANO TEMPERADO TRANSPARENTE, LED 44</t>
    </r>
    <r>
      <rPr>
        <b/>
        <sz val="8"/>
        <rFont val="Arial"/>
        <family val="2"/>
      </rPr>
      <t>W</t>
    </r>
    <r>
      <rPr>
        <sz val="8"/>
        <rFont val="Arial"/>
        <family val="2"/>
      </rPr>
      <t>, COR 2700K, Ф 250mm, MOD. LOKI.153.71P (BOYRA LED)</t>
    </r>
  </si>
  <si>
    <t>ETA - Sistema de Tratamento Hemodiálise e LAB.</t>
  </si>
  <si>
    <t xml:space="preserve">Distribuição em PEX (Loop) </t>
  </si>
  <si>
    <t>TUBULAÇÃO DE DISTRIBUIÇÃO DE ÁGUA TRATADA EM PEX 32mm, INCLUSIVE CONEXÕES  E TESTE DE ESTANQUEIDADE PARA 5o., 7o. E 8o Pav.</t>
  </si>
  <si>
    <t xml:space="preserve">ISOLAMENTO TÉRMICO C/CALHA LÂ DE ROCHA / ALUMÍNIO </t>
  </si>
  <si>
    <r>
      <t xml:space="preserve">RESERVATÓRIO TÉRMICO SOLAR, CORPO EM AÇO INOX AISI 316L, ISOLAMENTO TÉRMICO EM POLIURETANO EXPANDIDO, PRESSÃO DE TRABALHO 5 mca, APOIO ELÉTRICO COM RESISTÊNCIA ELÉTRICA TIPO TUBULAR DE IMERSÃO DIRETA ACIONADA POR TERMOSTATO DE ENCOSTO BIMETÁLICO, CAPACIDADE </t>
    </r>
    <r>
      <rPr>
        <b/>
        <sz val="8"/>
        <rFont val="Arial"/>
        <family val="2"/>
      </rPr>
      <t>3000 LITROS</t>
    </r>
    <r>
      <rPr>
        <sz val="8"/>
        <rFont val="Arial"/>
        <family val="2"/>
      </rPr>
      <t>, FAB. HELIODIN ou EQUIVALENTE</t>
    </r>
  </si>
  <si>
    <t xml:space="preserve">COLETOR SOLAR, ÁREA = 2,00m x 1,00m, COBERTURA EM VIDRO 3mm, CLASSIFICAÇÃO "A" INMETRO, TUBOS E ALETAS EM COBRE, FAB. HELIOTEK OU EQUIVALENTE </t>
  </si>
  <si>
    <t>CENTRAL DE ALARME ENDEREÇÁVEL PARA 08 LAÇOS COM: CPU, PLACAS DE CONTROLE DE LAÇO E EXPANSÃO, CHASSIS, PORTAS E GABINETE, FAB. NOTIFIER OU SIMILAR</t>
  </si>
  <si>
    <t>DETECTOR DE VAZAMENTO DE GÁS CH4/H2 100% LELEX D RELE NPT IP-67 PRIMA XP, FAB. SMA Safety  OU SIMILAR</t>
  </si>
  <si>
    <t>DETECTOR ÓPTICO DE FUMAÇA ENDEREÇÁVEL, MOD. FSP-951, FAB. NOTIFIER OU SIMILAR</t>
  </si>
  <si>
    <r>
      <t>DETECTOR DE CALOR TERMOVELOCIMÉTRICO 58</t>
    </r>
    <r>
      <rPr>
        <vertAlign val="superscript"/>
        <sz val="8"/>
        <rFont val="Arial"/>
        <family val="2"/>
      </rPr>
      <t>o</t>
    </r>
    <r>
      <rPr>
        <sz val="8"/>
        <rFont val="Arial"/>
        <family val="2"/>
      </rPr>
      <t>C ENDEREÇÁVEL, MOD. FST-951R, FAB. NOTIFIER OU SIMILAR</t>
    </r>
  </si>
  <si>
    <t>BASE P/ DETECTOR ENDEREÇÁVEL COR BRANCA, MOD. FST-B501-WHITE, FAB. NOTIFIER OU SIMILAR</t>
  </si>
  <si>
    <t>DETECTOR DE FUMAÇA ÓPTICO FEIXE LINEAR CONVENCIONAL C/PRISMA REFLETIVO, MOD. OSI-R-SS, FAB. NOTIFIER OU SIMILAR</t>
  </si>
  <si>
    <t>ACIONADOR MANUAL C/ INDICAÇÃO FUNCIONAMENTO TIPO "QUEBRE VIDRO/APERTE BOTÃO", MOD. NGB-12LXP, FAB. NOTIFIER OU SIMILAR</t>
  </si>
  <si>
    <t>CAIXA DE MONTAGEM METÁLICA PARA ACIONADOR  NGB-12LX, MOD. SB-I/O, FAB. NOTIFIER OU SIMILAR</t>
  </si>
  <si>
    <t>SINALIZADOR AUDIO VISUAL, MOD. P2RL, FAB. NOTIFIER OU SIMILAR</t>
  </si>
  <si>
    <t>CAIXA DE MONTAGEM PLÁSTICA PARA SINALIZADOR P2RL, MOD. SBB-RL, COM MOLDURA MOD. BZR-PG, FAB. NOTIFIER OU SIMILAR</t>
  </si>
  <si>
    <t>MÓDULO ENDEREÇÁVEL DE SIRENE 24Vcc/2A, MOD. FCM-1, FAB. NOTIFIER OU SIMILAR</t>
  </si>
  <si>
    <t>MÓDULO MONITOR ENDEREÇÁVEL, MOD. FMM-1, FAB. NOTIFIER OU SIMILAR</t>
  </si>
  <si>
    <t>MÓDULO ENDEREÇÁVEL ISOLADOR DE LAÇO, MOD. ISO-X, FAB. NOTIFIER OU SIMILAR</t>
  </si>
  <si>
    <t>GROUND MOUNT, DOUBLE DOOR, POWDER COATED, CHROME - DH24120GPC2, FAB. NOTIFIER OU SIMILAR</t>
  </si>
  <si>
    <t>CENTRAL DE ALARME CONVENCIONAL 220Vac, MOD. MRP-2002E, FAB. NOTIFIER OU SIMILAR</t>
  </si>
  <si>
    <t>DETECTOR ÓPTICO DE FUMAÇA CONVENCIONAL, MOD. 2W-B COM BASE, FAB. NOTIFIER OU SIMILAR</t>
  </si>
  <si>
    <t>ACIONADOR MANUAL ENDEREÇÁVEL COM BOTÃO DE ABORTO, MOD. NGB-12LRA + BASE MOD. SBA -10, FAB. NOTIFIER OU SIMILAR</t>
  </si>
  <si>
    <t>SINALIZADOR AUDIO VISUAL LED, MOD. P2RL, COM BASE MOD. SBBRL, FAB. NOTIFIER OU SIMILAR</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</si>
  <si>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</si>
  <si>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</si>
  <si>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</si>
  <si>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</si>
  <si>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</si>
  <si>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</si>
  <si>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</si>
  <si>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</si>
  <si>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</si>
  <si>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</si>
  <si>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</si>
  <si>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</si>
  <si>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</si>
  <si>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</si>
  <si>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</si>
  <si>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</si>
  <si>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</si>
  <si>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</si>
  <si>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</si>
  <si>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</si>
  <si>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</si>
  <si>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</si>
  <si>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</si>
  <si>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</si>
  <si>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</si>
  <si>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</si>
  <si>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</si>
  <si>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</si>
  <si>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</si>
  <si>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</si>
  <si>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</si>
  <si>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</si>
  <si>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</si>
  <si>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</si>
  <si>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</si>
  <si>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</si>
  <si>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</si>
  <si>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</si>
  <si>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</si>
  <si>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</si>
  <si>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</si>
  <si>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</si>
  <si>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</si>
  <si>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</si>
  <si>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</si>
  <si>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</si>
  <si>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</si>
  <si>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</si>
  <si>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</si>
  <si>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</si>
  <si>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</si>
  <si>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</si>
  <si>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</si>
  <si>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</si>
  <si>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</si>
  <si>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</si>
  <si>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</si>
  <si>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</si>
  <si>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</si>
  <si>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</si>
  <si>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1.14.100</t>
  </si>
  <si>
    <t>1.14.101</t>
  </si>
  <si>
    <t>1.14.102</t>
  </si>
  <si>
    <t>1.14.103</t>
  </si>
  <si>
    <t>1.14.104</t>
  </si>
  <si>
    <t>1.14.105</t>
  </si>
  <si>
    <t>1.14.106</t>
  </si>
  <si>
    <t>1.14.107</t>
  </si>
  <si>
    <t>1.14.108</t>
  </si>
  <si>
    <t>1.14.109</t>
  </si>
  <si>
    <t>1.14.110</t>
  </si>
  <si>
    <t>1.14.111</t>
  </si>
  <si>
    <t>1.14.112</t>
  </si>
  <si>
    <t>1.14.113</t>
  </si>
  <si>
    <t>1.14.114</t>
  </si>
  <si>
    <t>1.14.115</t>
  </si>
  <si>
    <t>1.14.116</t>
  </si>
  <si>
    <t>1.14.117</t>
  </si>
  <si>
    <t>1.14.118</t>
  </si>
  <si>
    <t>1.14.119</t>
  </si>
  <si>
    <t>1.14.120</t>
  </si>
  <si>
    <t>1.14.121</t>
  </si>
  <si>
    <t>1.14.122</t>
  </si>
  <si>
    <t>1.14.123</t>
  </si>
  <si>
    <t>1.14.124</t>
  </si>
  <si>
    <t>1.14.125</t>
  </si>
  <si>
    <t>1.14.126</t>
  </si>
  <si>
    <t>1.14.127</t>
  </si>
  <si>
    <t>1.14.128</t>
  </si>
  <si>
    <t>1.14.129</t>
  </si>
  <si>
    <t>1.14.130</t>
  </si>
  <si>
    <t>1.14.131</t>
  </si>
  <si>
    <t>1.14.132</t>
  </si>
  <si>
    <t>1.14.133</t>
  </si>
  <si>
    <t>1.14.134</t>
  </si>
  <si>
    <t>1.14.135</t>
  </si>
  <si>
    <t>1.14.136</t>
  </si>
  <si>
    <t>1.14.137</t>
  </si>
  <si>
    <t>Sistema de Média Tensão - MT</t>
  </si>
  <si>
    <t>A</t>
  </si>
  <si>
    <t>B</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</si>
  <si>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</si>
  <si>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</si>
  <si>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</si>
  <si>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</si>
  <si>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</si>
  <si>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</si>
  <si>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</si>
  <si>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</si>
  <si>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</si>
  <si>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</si>
  <si>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</si>
  <si>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</si>
  <si>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</si>
  <si>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</si>
  <si>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</si>
  <si>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</si>
  <si>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</si>
  <si>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</si>
  <si>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</si>
  <si>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</si>
  <si>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</si>
  <si>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</si>
  <si>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C</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</si>
  <si>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</si>
  <si>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</si>
  <si>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</si>
  <si>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</si>
  <si>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</si>
  <si>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</si>
  <si>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</si>
  <si>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</si>
  <si>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</si>
  <si>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</si>
  <si>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</si>
  <si>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</si>
  <si>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</si>
  <si>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</si>
  <si>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</si>
  <si>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</si>
  <si>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</si>
  <si>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</si>
  <si>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</si>
  <si>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</si>
  <si>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</si>
  <si>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</si>
  <si>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</si>
  <si>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</si>
  <si>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</si>
  <si>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</si>
  <si>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</si>
  <si>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</si>
  <si>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</si>
  <si>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</si>
  <si>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</si>
  <si>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</si>
  <si>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</si>
  <si>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</si>
  <si>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D</t>
  </si>
  <si>
    <t>1.15.92</t>
  </si>
  <si>
    <t>1.15.93</t>
  </si>
  <si>
    <t>1.15.94</t>
  </si>
  <si>
    <t>1.15.95</t>
  </si>
  <si>
    <t>1.15.96</t>
  </si>
  <si>
    <t>1.15.97</t>
  </si>
  <si>
    <t>1.15.98</t>
  </si>
  <si>
    <t>1.15.99</t>
  </si>
  <si>
    <t>E</t>
  </si>
  <si>
    <t>1.15.100</t>
  </si>
  <si>
    <t>1.15.101</t>
  </si>
  <si>
    <t>1.15.102</t>
  </si>
  <si>
    <t>1.15.103</t>
  </si>
  <si>
    <t>1.15.104</t>
  </si>
  <si>
    <t>1.15.105</t>
  </si>
  <si>
    <t>1.15.106</t>
  </si>
  <si>
    <t>1.15.107</t>
  </si>
  <si>
    <t>1.15.108</t>
  </si>
  <si>
    <t>1.15.109</t>
  </si>
  <si>
    <t>1.15.110</t>
  </si>
  <si>
    <t>1.15.111</t>
  </si>
  <si>
    <t>1.15.112</t>
  </si>
  <si>
    <t>1.15.113</t>
  </si>
  <si>
    <t>1.15.114</t>
  </si>
  <si>
    <t>1.15.115</t>
  </si>
  <si>
    <t>1.15.116</t>
  </si>
  <si>
    <t>1.15.117</t>
  </si>
  <si>
    <t>1.15.118</t>
  </si>
  <si>
    <t>1.15.119</t>
  </si>
  <si>
    <t>1.15.120</t>
  </si>
  <si>
    <t>1.15.121</t>
  </si>
  <si>
    <t>1.15.122</t>
  </si>
  <si>
    <t>1.15.123</t>
  </si>
  <si>
    <t>1.15.124</t>
  </si>
  <si>
    <t>1.15.125</t>
  </si>
  <si>
    <t>1.15.126</t>
  </si>
  <si>
    <t>1.15.127</t>
  </si>
  <si>
    <t>1.15.128</t>
  </si>
  <si>
    <t>1.15.129</t>
  </si>
  <si>
    <t>1.15.130</t>
  </si>
  <si>
    <t>1.15.131</t>
  </si>
  <si>
    <t>1.15.132</t>
  </si>
  <si>
    <t>1.15.133</t>
  </si>
  <si>
    <t>1.15.134</t>
  </si>
  <si>
    <t>1.15.135</t>
  </si>
  <si>
    <t>1.15.136</t>
  </si>
  <si>
    <t>1.15.137</t>
  </si>
  <si>
    <t>1.15.138</t>
  </si>
  <si>
    <t>1.15.139</t>
  </si>
  <si>
    <t>1.15.140</t>
  </si>
  <si>
    <t>1.15.141</t>
  </si>
  <si>
    <t>1.15.142</t>
  </si>
  <si>
    <t>1.15.143</t>
  </si>
  <si>
    <t>1.15.144</t>
  </si>
  <si>
    <t>1.15.145</t>
  </si>
  <si>
    <t>1.15.146</t>
  </si>
  <si>
    <t>1.15.147</t>
  </si>
  <si>
    <t>1.15.148</t>
  </si>
  <si>
    <t>1.15.149</t>
  </si>
  <si>
    <t>1.15.150</t>
  </si>
  <si>
    <t>1.15.151</t>
  </si>
  <si>
    <t>1.15.152</t>
  </si>
  <si>
    <t>1.15.153</t>
  </si>
  <si>
    <t>1.15.154</t>
  </si>
  <si>
    <t>1.15.155</t>
  </si>
  <si>
    <t>1.15.156</t>
  </si>
  <si>
    <t>1.15.157</t>
  </si>
  <si>
    <t>1.15.158</t>
  </si>
  <si>
    <t>1.15.159</t>
  </si>
  <si>
    <t>1.15.160</t>
  </si>
  <si>
    <t>1.15.161</t>
  </si>
  <si>
    <t>1.15.162</t>
  </si>
  <si>
    <t>1.15.163</t>
  </si>
  <si>
    <t xml:space="preserve">CENTRAL DE CHAMADA POSTO DE ENFERMAGEM SEM ÁUDIO MODELO R5KANNV2 - FAB. RAULAND OU SIMILAR </t>
  </si>
  <si>
    <t xml:space="preserve">CENTRAL DA CHAMADA POSTO DE ENFERMAGEM VoIP MODELO R5KCONSV2 - FAB. RAULAND OU SIMILAR </t>
  </si>
  <si>
    <t xml:space="preserve">ESTAÇÃO DE LEITO SEM ÁUDIO MODELO R5K15V - FAB. RAULAND OU SIMILAR </t>
  </si>
  <si>
    <t xml:space="preserve">ESTAÇÃO DE LEITO COM ÁUDIO MODELO R5KSTAFF - FAB. RAULAND OU SIMILAR </t>
  </si>
  <si>
    <r>
      <t>PÊRA ERGONÔMICA MODELO CCNVK</t>
    </r>
    <r>
      <rPr>
        <sz val="8"/>
        <color indexed="10"/>
        <rFont val="Arial"/>
        <family val="2"/>
      </rPr>
      <t xml:space="preserve"> </t>
    </r>
    <r>
      <rPr>
        <sz val="8"/>
        <rFont val="Arial"/>
        <family val="2"/>
      </rPr>
      <t xml:space="preserve">- FAB. RAULAND OU SIMILAR </t>
    </r>
  </si>
  <si>
    <r>
      <t>SINALEIRO DE TETO MODELO R5KVABKCALL6</t>
    </r>
    <r>
      <rPr>
        <sz val="8"/>
        <color indexed="10"/>
        <rFont val="Arial"/>
        <family val="2"/>
      </rPr>
      <t xml:space="preserve"> </t>
    </r>
    <r>
      <rPr>
        <sz val="8"/>
        <rFont val="Arial"/>
        <family val="2"/>
      </rPr>
      <t xml:space="preserve">- FAB. RAULAND OU SIMILAR </t>
    </r>
  </si>
  <si>
    <r>
      <t>SINALEIRO DE PORTA MODELO R5KCL546</t>
    </r>
    <r>
      <rPr>
        <sz val="8"/>
        <color indexed="10"/>
        <rFont val="Arial"/>
        <family val="2"/>
      </rPr>
      <t xml:space="preserve"> </t>
    </r>
    <r>
      <rPr>
        <sz val="8"/>
        <rFont val="Arial"/>
        <family val="2"/>
      </rPr>
      <t xml:space="preserve">- FAB. RAULAND OU SIMILAR </t>
    </r>
  </si>
  <si>
    <r>
      <t>ESTAÇÃO DE BANHEIRO MODELO R5KPC11</t>
    </r>
    <r>
      <rPr>
        <sz val="8"/>
        <color indexed="10"/>
        <rFont val="Arial"/>
        <family val="2"/>
      </rPr>
      <t xml:space="preserve"> </t>
    </r>
    <r>
      <rPr>
        <sz val="8"/>
        <rFont val="Arial"/>
        <family val="2"/>
      </rPr>
      <t xml:space="preserve">- FAB. RAULAND OU SIMILAR </t>
    </r>
  </si>
  <si>
    <t>4.2.9</t>
  </si>
  <si>
    <t>4.2.10</t>
  </si>
  <si>
    <t>4.2.11</t>
  </si>
  <si>
    <t>4.2.12</t>
  </si>
  <si>
    <r>
      <t>CONTROLADOR MSC C/ FONTE DE ALIMENTAÇÃO SWITCH INTERNO CONEXÃO BOARD PARA ALIMENTAÇÃO MOD. R5KMSC</t>
    </r>
    <r>
      <rPr>
        <sz val="8"/>
        <color indexed="10"/>
        <rFont val="Arial"/>
        <family val="2"/>
      </rPr>
      <t xml:space="preserve"> </t>
    </r>
    <r>
      <rPr>
        <sz val="8"/>
        <rFont val="Arial"/>
        <family val="2"/>
      </rPr>
      <t xml:space="preserve">- FAB. RAULAND OU SIMILAR </t>
    </r>
  </si>
  <si>
    <t>LANÇAMENTO ITEM 4.2 - EQUIP. SISTEMA DE CHAMADA ENFERMAGEM CONF. PROPOSTA NOVO FORNECEDOR (RAULAND)</t>
  </si>
  <si>
    <t xml:space="preserve">QL.COZ.T-2 </t>
  </si>
  <si>
    <t xml:space="preserve">QNB.DC-1 </t>
  </si>
  <si>
    <t>Baseado nela fiz duas alterações na sua planilha (células laranjas). Veja se vc concorda.</t>
  </si>
  <si>
    <t>Em razão delas considerarem as tubulações de circulações das duas centrais (PPR e Cobre) esses itens terão que ser retirados do item mãe Tubulação PPR e Tubulação Cobre, para não haver duplicidade.</t>
  </si>
  <si>
    <t>Depois dessa planilha específica ser readequada vc envia para Maria Tereza. Na Planilha Global vc também faz os ajustes mas não envia para ela.</t>
  </si>
  <si>
    <r>
      <rPr>
        <sz val="12"/>
        <color rgb="FFFF0000"/>
        <rFont val="Arial"/>
        <family val="2"/>
      </rPr>
      <t>17/07/2024</t>
    </r>
    <r>
      <rPr>
        <sz val="12"/>
        <color rgb="FF222222"/>
        <rFont val="Arial"/>
        <family val="2"/>
      </rPr>
      <t xml:space="preserve"> - Segue anexo a Proposta das Centrais de Aquecimento d'água.</t>
    </r>
  </si>
  <si>
    <r>
      <t xml:space="preserve">AQUECEDOR DE ACUMULAÇÃO VERTICAL, CORPO EM AÇO INOX 316 L, PRESSÃO DE TRABALHO 4,0kgf/cm2, MOD. GVP-1500/92-GN, CAPACIDADE </t>
    </r>
    <r>
      <rPr>
        <b/>
        <sz val="8"/>
        <rFont val="Arial"/>
        <family val="2"/>
      </rPr>
      <t>1500</t>
    </r>
    <r>
      <rPr>
        <sz val="8"/>
        <rFont val="Arial"/>
        <family val="2"/>
      </rPr>
      <t xml:space="preserve"> LITROS, EQUIPADO COM 02 AQUECEDORES DE PASSAGEM 32,5L/min, MOD. REU-2402 FEC1 (RINNAI), MONTADO EM SKID, FAB. ECAL ou EQUIVALENTE </t>
    </r>
  </si>
  <si>
    <r>
      <t xml:space="preserve">RESERVATÓRIO DE ACUMULAÇÃO P/ÁGUA QUENTE, CORPO EM AÇO INOX 316 L, PRESSÃO DE TRABALHO 4,0kgf/cm2, MOD. TQV-1500, CAPACIDADE </t>
    </r>
    <r>
      <rPr>
        <b/>
        <sz val="8"/>
        <rFont val="Arial"/>
        <family val="2"/>
      </rPr>
      <t>1500</t>
    </r>
    <r>
      <rPr>
        <sz val="8"/>
        <rFont val="Arial"/>
        <family val="2"/>
      </rPr>
      <t xml:space="preserve"> LITROS, FAB. ECAL ou EQUIVALENTE</t>
    </r>
  </si>
  <si>
    <r>
      <t xml:space="preserve">INSTALAÇÃO DAS INTERCONEXÕES DOS ELEMENTOS DA CENTRAL, COMPREENDENDO MATERIAL DE INST. DA CIRCULAÇÃO HIDRÁULICA (TUB. E CONEXÕES EM PPR NO 10oPAV.), INST. ELÉTRICA (TUB., CABEAÇÃO E PAINEL) E GÁS (TUB./CONEXÕES), DE ACORDO COM O PROJETO, INCLUSIVE A MONTAGEM, FRETE E IÇAMENTO DOS EQUIPAMENTOS - </t>
    </r>
    <r>
      <rPr>
        <b/>
        <sz val="8"/>
        <rFont val="Arial"/>
        <family val="2"/>
      </rPr>
      <t>BLOCO-1</t>
    </r>
    <r>
      <rPr>
        <sz val="8"/>
        <rFont val="Arial"/>
        <family val="2"/>
      </rPr>
      <t>.</t>
    </r>
  </si>
  <si>
    <t>7.6.22</t>
  </si>
  <si>
    <t>7.6.23</t>
  </si>
  <si>
    <t>LUMINÁRIA CIRCULAR DE EMBUTIR, CORPO E REFLETOR EM ALUMÍNIO, DIFUSOR RECUADO EM ACRÍLICO LEITOSO, COM LED e DRIVER 36,5W/220V, MOD. EF41-E14000840, FAB. LUMICENTER</t>
  </si>
  <si>
    <r>
      <t xml:space="preserve">LUMINÁRIA DE PISO TIPO ESPETO EM ALUMÍNO, VIDRO TEMPERADO, MÓDULO LED </t>
    </r>
    <r>
      <rPr>
        <b/>
        <sz val="8"/>
        <rFont val="Arial"/>
        <family val="2"/>
      </rPr>
      <t>6W</t>
    </r>
    <r>
      <rPr>
        <sz val="8"/>
        <rFont val="Arial"/>
        <family val="2"/>
      </rPr>
      <t>, FLUXO 460Lm, COR 2700K, Ф 90mm, MOD. RELUMI01077, FAB. LUMICENTER</t>
    </r>
  </si>
  <si>
    <r>
      <t xml:space="preserve">LUMINÁRIA DE EMBUTIR EM FORRO MODULADO COM PERFIL "T", CORPO EM CHAPA DE AÇO, REFLETOR EM ALUMÍNIO ANODIZADO, </t>
    </r>
    <r>
      <rPr>
        <b/>
        <sz val="8"/>
        <rFont val="Arial"/>
        <family val="2"/>
      </rPr>
      <t>DIFUSOR ACRÍLICO</t>
    </r>
    <r>
      <rPr>
        <sz val="8"/>
        <rFont val="Arial"/>
        <family val="2"/>
      </rPr>
      <t xml:space="preserve"> TRANSLÚCIDO, COM 02 LÂMPADAS LED T5 </t>
    </r>
    <r>
      <rPr>
        <b/>
        <sz val="8"/>
        <rFont val="Arial"/>
        <family val="2"/>
      </rPr>
      <t>2x7,5W</t>
    </r>
    <r>
      <rPr>
        <sz val="8"/>
        <rFont val="Arial"/>
        <family val="2"/>
      </rPr>
      <t>/220V, MOD. PF107-E214, FAB. LUMICENTER</t>
    </r>
  </si>
  <si>
    <r>
      <t xml:space="preserve">LUMINÁRIA DE EMBUTIR EM FORRO MODULADO COM PERFIL "T", CORPO EM CHAPA DE AÇO, REFLETOR E </t>
    </r>
    <r>
      <rPr>
        <b/>
        <sz val="8"/>
        <rFont val="Arial"/>
        <family val="2"/>
      </rPr>
      <t>ALETAS</t>
    </r>
    <r>
      <rPr>
        <sz val="8"/>
        <rFont val="Arial"/>
        <family val="2"/>
      </rPr>
      <t xml:space="preserve"> PARABÓLICAS EM ALUMÍNIO ANODIZADO, COM 04 LÂMPADAS LED T5 </t>
    </r>
    <r>
      <rPr>
        <b/>
        <sz val="8"/>
        <rFont val="Arial"/>
        <family val="2"/>
      </rPr>
      <t>4x7,5W</t>
    </r>
    <r>
      <rPr>
        <sz val="8"/>
        <rFont val="Arial"/>
        <family val="2"/>
      </rPr>
      <t>/220V, MOD. FAA04-E414, FAB. LUMICENTER</t>
    </r>
  </si>
  <si>
    <r>
      <t xml:space="preserve">LUMINÁRIA DE EMBUTIR EM FORRO MODULADO COM PERFIL "T", CORPO EM CHAPA DE AÇO, REFLETOR E </t>
    </r>
    <r>
      <rPr>
        <b/>
        <sz val="8"/>
        <rFont val="Arial"/>
        <family val="2"/>
      </rPr>
      <t>ALETAS</t>
    </r>
    <r>
      <rPr>
        <sz val="8"/>
        <rFont val="Arial"/>
        <family val="2"/>
      </rPr>
      <t xml:space="preserve"> PARABÓLICAS EM ALUMÍNIO ANODIZADO, COM 02 LÂMPADAS LED T5 </t>
    </r>
    <r>
      <rPr>
        <b/>
        <sz val="8"/>
        <rFont val="Arial"/>
        <family val="2"/>
      </rPr>
      <t>2x7,5W</t>
    </r>
    <r>
      <rPr>
        <sz val="8"/>
        <rFont val="Arial"/>
        <family val="2"/>
      </rPr>
      <t>/220V, MOD. FAA01-E214, FAB. LUMICENTER</t>
    </r>
  </si>
  <si>
    <r>
      <t>LUMINÁRIA CIRCULAR DE EMBUTIR, CORPO EM ALUMÍNIO REPUXADO, FACHO ORIENTÁVEL 30</t>
    </r>
    <r>
      <rPr>
        <vertAlign val="superscript"/>
        <sz val="8"/>
        <rFont val="Arial"/>
        <family val="2"/>
      </rPr>
      <t>o</t>
    </r>
    <r>
      <rPr>
        <sz val="8"/>
        <rFont val="Arial"/>
        <family val="2"/>
      </rPr>
      <t>, COM LÂMPADA LED 1xAR70 8,5W/220V, MOD. NF-062135-A, FAB. LUMICENTER</t>
    </r>
  </si>
  <si>
    <t>REVISÃO ITEM 7.6 - EQUIPAMENTO SISTEMA DE AQUECIMENTO BL-1 E BL-2, CONF. PROPOSTA ECOENGI</t>
  </si>
  <si>
    <r>
      <t xml:space="preserve">INSTALAÇÃO DAS INTERCONEXÕES DOS ELEMENTOS DA CENTRAL, COMPREENDENDO MATERIAL DE INST. DA CIRCULAÇÃO HIDRÁULICA (TUB. E CONEXÕES EM COBRE NO 7oPAV.), INST. ELÉTRICA (TUB., CABEAÇÃO E PAINEL) E GÁS (TUB./CONEXÕES), DE ACORDO COM O PROJETO, INCLUSIVE A MONTAGEM, FRETE E IÇAMENTO DOS EQUIPAMENTOS - </t>
    </r>
    <r>
      <rPr>
        <b/>
        <sz val="8"/>
        <rFont val="Arial"/>
        <family val="2"/>
      </rPr>
      <t>BLOCO-2</t>
    </r>
    <r>
      <rPr>
        <sz val="8"/>
        <rFont val="Arial"/>
        <family val="2"/>
      </rPr>
      <t>.</t>
    </r>
  </si>
  <si>
    <t>ESTE MATERIAL ESTÁ INCLUSO NO FORNECIMENTO E MONTAGEM ITEM 7.6.23</t>
  </si>
  <si>
    <t>REVISÃO ITEM 12.3 - DESCRITIVO E PREÇOS DO SISTEMA SDAI, CONF. PROPOSTA ECOSAFETY</t>
  </si>
  <si>
    <t>TUBULAÇÃO PPR NA COBERTA 10oPAV ESTÁ INCLUSA NO FORNECIMENTO E MONTAGEM ITEM 7.6.22</t>
  </si>
  <si>
    <t>R2</t>
  </si>
  <si>
    <t>R3</t>
  </si>
  <si>
    <t>SISTEMA DE SUPRESSÃO (CPD) COMPOSTO POR CILINDRO NH-016-406-MS, CAPACIDADE 70 lbs, FLUIDO FK 5.1.12 30kg, CABEÇA DE COMANDO ELETRICO 24VDC MONITORADA (CHM), COMUTADOR A PRESSAO, C/INFRAESTRUTUA DE 1.1/4" e 01 DIFUSOR NH076-FDN-040-UL, FAB. NH FIRE</t>
  </si>
  <si>
    <t>DETECTOR DE FUMAÇA POR AMOSTRAGEM E ASPIRAÇÃO VESDA LASER FOCUS 500, MOD. VLF-500, FAB. XTRALIS OU SIMILAR</t>
  </si>
  <si>
    <r>
      <t>TRANSFORMADOR DE SEPARAÇÃO MONOFÁSICO 220/220V-</t>
    </r>
    <r>
      <rPr>
        <b/>
        <sz val="8"/>
        <rFont val="Arial"/>
        <family val="2"/>
      </rPr>
      <t>1x5kVA</t>
    </r>
    <r>
      <rPr>
        <sz val="8"/>
        <rFont val="Arial"/>
        <family val="2"/>
      </rPr>
      <t>, C/CAIXA IP-21, C/MEDIÇÃO TEMPERATURA. CONF. IEC61558-2-15 e IEC742. MATERIAL ISOLANTE CLASSE H, C/PRATELEIRA SUPORTE, MOD. TSMC5000DS, FAB. RDI BENDER, SCHNEIDER</t>
    </r>
  </si>
  <si>
    <r>
      <t>TRANSFORMADOR DE SEPARAÇÃO MONOFÁSICO 220/220V-</t>
    </r>
    <r>
      <rPr>
        <b/>
        <sz val="8"/>
        <rFont val="Arial"/>
        <family val="2"/>
      </rPr>
      <t>1x10kVA</t>
    </r>
    <r>
      <rPr>
        <sz val="8"/>
        <rFont val="Arial"/>
        <family val="2"/>
      </rPr>
      <t>, C/CAIXA IP-21, C/MEDIÇÃO TEMPERATURA. CONF. IEC61558-2-15 e IEC742. MATERIAL ISOLANTE CLASSE H, C/PRATELEIRA SUPORTE, MOD. TSMC10000DS, FAB. RDI BENDER, SCHNEIDER</t>
    </r>
  </si>
  <si>
    <r>
      <t>CONJUNTO TRANSFORMADOR DE SEPARAÇÃO MONOFÁSICO 220/220V-</t>
    </r>
    <r>
      <rPr>
        <b/>
        <sz val="8"/>
        <rFont val="Arial"/>
        <family val="2"/>
      </rPr>
      <t>2x7,5kVA</t>
    </r>
    <r>
      <rPr>
        <sz val="8"/>
        <rFont val="Arial"/>
        <family val="2"/>
      </rPr>
      <t>, COM CAIXA IP-21, C/MEDIÇÃO TEMPERATURA. CONF. IEC61558-2-15 e IEC742. MATERIAL ISOLANTE CLASSE H, C/PRATELEIRA SUPORTE, MOD. TSDC75007500DDS, FAB. RDI BENDER, SCHNEIDER</t>
    </r>
  </si>
  <si>
    <r>
      <t>CONJUNTO TRANSFORMADOR DE SEPARAÇÃO MONOFÁSICO 220/220V-</t>
    </r>
    <r>
      <rPr>
        <b/>
        <sz val="8"/>
        <rFont val="Arial"/>
        <family val="2"/>
      </rPr>
      <t>2x10kVA</t>
    </r>
    <r>
      <rPr>
        <sz val="8"/>
        <rFont val="Arial"/>
        <family val="2"/>
      </rPr>
      <t>, COM CAIXA IP-21, C/MEDIÇÃO TEMPERATURA. CONF. IEC61558-2-15 e IEC742. MATERIAL ISOLANTE CLASSE H, C/PRATELEIRA SUPORTE, MOD. TSDC1000010000DDS, FAB. RDI BENDER, SCHNEIDER</t>
    </r>
  </si>
  <si>
    <r>
      <rPr>
        <b/>
        <sz val="8"/>
        <rFont val="Arial"/>
        <family val="2"/>
      </rPr>
      <t>DSI</t>
    </r>
    <r>
      <rPr>
        <sz val="8"/>
        <rFont val="Arial"/>
        <family val="2"/>
      </rPr>
      <t xml:space="preserve"> DISPOSITIVO SUPERVISOR DE ISOLAMENTO e DST DISPOSITIVO SUPERVISOR DO TRANSFORMADOR (CARGA e TEMPERATURA), GERADOR DE SINAIS, TENSÃO 60...264Vca, 42...460Hz - MOD. DSIGS427-P, FAB. BENDER</t>
    </r>
  </si>
  <si>
    <r>
      <t xml:space="preserve">MÓDULO REPETIDOR ISOLADO, MOD. </t>
    </r>
    <r>
      <rPr>
        <b/>
        <sz val="8"/>
        <rFont val="Arial"/>
        <family val="2"/>
      </rPr>
      <t>I-7510</t>
    </r>
    <r>
      <rPr>
        <sz val="8"/>
        <rFont val="Arial"/>
        <family val="2"/>
      </rPr>
      <t>, FAB. BENDER</t>
    </r>
  </si>
  <si>
    <r>
      <t xml:space="preserve">LOCALIZADOR DE FALHAS FIXO C/06 TRANSFORMADORES DE MEDIDAS 10mm INCLUSOS, LED DE ALARME PARA CADA CANAL DE MEDIÇÃO, SENSIBILIDADE 0,5mA - MOD. </t>
    </r>
    <r>
      <rPr>
        <b/>
        <sz val="8"/>
        <rFont val="Arial"/>
        <family val="2"/>
      </rPr>
      <t xml:space="preserve">LFFR51, </t>
    </r>
    <r>
      <rPr>
        <sz val="8"/>
        <rFont val="Arial"/>
        <family val="2"/>
      </rPr>
      <t>FAB. BENDER</t>
    </r>
  </si>
  <si>
    <r>
      <t xml:space="preserve">IHM -ANUNCIADOR DE ALARME E TESTE CENTRAL COM MEMORIZAÇÃO DE DATA E HORA DOS EVENTOS, CONF. NBR-13534 - MOD. </t>
    </r>
    <r>
      <rPr>
        <b/>
        <sz val="8"/>
        <rFont val="Arial"/>
        <family val="2"/>
      </rPr>
      <t>MK-305-IO,</t>
    </r>
    <r>
      <rPr>
        <sz val="8"/>
        <rFont val="Arial"/>
        <family val="2"/>
      </rPr>
      <t xml:space="preserve"> FAB. BENDER</t>
    </r>
  </si>
  <si>
    <r>
      <t xml:space="preserve">FONTE DE ALIMENTAÇÃO 15E (24V), MOD. </t>
    </r>
    <r>
      <rPr>
        <b/>
        <sz val="8"/>
        <rFont val="Arial"/>
        <family val="2"/>
      </rPr>
      <t xml:space="preserve">AN15-24, </t>
    </r>
    <r>
      <rPr>
        <sz val="8"/>
        <rFont val="Arial"/>
        <family val="2"/>
      </rPr>
      <t>FAB. BENDER</t>
    </r>
  </si>
  <si>
    <r>
      <t>CONVERSOR DE PROTOCOLO PARA INTERFACE BMS X MODBUS TCP/IP -</t>
    </r>
    <r>
      <rPr>
        <b/>
        <sz val="8"/>
        <rFont val="Arial"/>
        <family val="2"/>
      </rPr>
      <t xml:space="preserve"> CP65IP</t>
    </r>
  </si>
  <si>
    <t xml:space="preserve">QF.IT.1P-1.1  1000 x 600 x 200mm (ALP) - SOBREPOR </t>
  </si>
  <si>
    <t>QF.IT.1P-2.1  1000 x 600 x 120mm (ALP) - EMBUTIR</t>
  </si>
  <si>
    <t>QF.IT.1P-1.3  1000 x 600 x 120mm (ALP) - EMBUTIR</t>
  </si>
  <si>
    <t xml:space="preserve">QF.IT.7P-1  1600 x 760 x 200mm (ALP) - SOBREPOR </t>
  </si>
  <si>
    <t xml:space="preserve">QF.IT.8P-1  1600 x 760 x 200mm (ALP) - SOBREPOR </t>
  </si>
  <si>
    <t>REVISÃO ITEM 1.13 - EQUIPAMENTOS IT-MÉDICO, CONF. PROPOSTA RDI BENDER</t>
  </si>
  <si>
    <t>REVISÃO ITEM 1.14 - OS QUADROS BLOCO-1 COM PROPOSTA CACTUS</t>
  </si>
  <si>
    <t>REVISÃO ITEM 7.7 - MATERIAL DE COBRE P/EQUIP. SISTEMA DE AQUECIMENTO BL-2, CONF. PROPOSTA ECOENGI</t>
  </si>
  <si>
    <t>QUADROS SOMENTE DO BLOCO-1</t>
  </si>
  <si>
    <t>R4</t>
  </si>
  <si>
    <t>REVISÃO ITEM 1.11 - DESCRITIVO E PREÇOS DAS LUMINÁRIAS, CONF. PROPOSTA LUMICENTER R1</t>
  </si>
  <si>
    <r>
      <t xml:space="preserve">LUMINÁRIA DE EMBUTIR EM FORRO MODULADO COM PERFIL "T", CORPO EM CHAPA DE AÇO, REFLETOR EM ALUMÍNIO ANODIZADO, </t>
    </r>
    <r>
      <rPr>
        <b/>
        <sz val="8"/>
        <rFont val="Arial"/>
        <family val="2"/>
      </rPr>
      <t>DIFUSOR ACRÍLICO</t>
    </r>
    <r>
      <rPr>
        <sz val="8"/>
        <rFont val="Arial"/>
        <family val="2"/>
      </rPr>
      <t xml:space="preserve"> TRANSLÚCIDO, COM 04 LÂMPADAS LED T8 </t>
    </r>
    <r>
      <rPr>
        <b/>
        <sz val="8"/>
        <rFont val="Arial"/>
        <family val="2"/>
      </rPr>
      <t>4x9W</t>
    </r>
    <r>
      <rPr>
        <sz val="8"/>
        <rFont val="Arial"/>
        <family val="2"/>
      </rPr>
      <t>/220V, MOD. CHT10-E414ACL, FAB. LUMICENTER</t>
    </r>
  </si>
  <si>
    <r>
      <t xml:space="preserve">LUMINÁRIA QUADRADA DE EMBUTIR DOWNLIGHT, CORPO EM AÇO, DIFUSOR EM POLIESTIRENO TRANSLÚCIDO, COM LED e DRIVER </t>
    </r>
    <r>
      <rPr>
        <b/>
        <sz val="8"/>
        <rFont val="Arial"/>
        <family val="2"/>
      </rPr>
      <t>18,5W</t>
    </r>
    <r>
      <rPr>
        <sz val="8"/>
        <rFont val="Arial"/>
        <family val="2"/>
      </rPr>
      <t>/220V, MOD. EF75-E 2000840, FAB. LUMICENTER</t>
    </r>
  </si>
  <si>
    <r>
      <t xml:space="preserve">LUMINÁRIA CIRCULAR DE EMBUTIR, CORPO EM ALUMÍNIO, DIFUSOR RECUADO EM ACRÍLICO LEITOSO, COM LED e DRIVER </t>
    </r>
    <r>
      <rPr>
        <b/>
        <sz val="8"/>
        <rFont val="Arial"/>
        <family val="2"/>
      </rPr>
      <t>17,5W</t>
    </r>
    <r>
      <rPr>
        <sz val="8"/>
        <rFont val="Arial"/>
        <family val="2"/>
      </rPr>
      <t>/220V, MOD. EF42-E 12000840, FAB. LUMICENTER</t>
    </r>
  </si>
  <si>
    <r>
      <t xml:space="preserve">LUMINÁRIA DE EMBUTIR EM FORRO MODULADO COM PERFIL "T", CORPO EM CHAPA DE AÇO, REFLETOR EM ALUMÍNIO ANODIZADO, COM 02 LÂMPADAS LED T8 </t>
    </r>
    <r>
      <rPr>
        <b/>
        <sz val="8"/>
        <rFont val="Arial"/>
        <family val="2"/>
      </rPr>
      <t>2x18W</t>
    </r>
    <r>
      <rPr>
        <sz val="8"/>
        <rFont val="Arial"/>
        <family val="2"/>
      </rPr>
      <t>/220V, MOD. CAN03-E232, FAB. LUMICENTER</t>
    </r>
  </si>
  <si>
    <r>
      <t xml:space="preserve">LUMINÁRIA DE </t>
    </r>
    <r>
      <rPr>
        <b/>
        <sz val="8"/>
        <rFont val="Arial"/>
        <family val="2"/>
      </rPr>
      <t>SOBREPOR</t>
    </r>
    <r>
      <rPr>
        <sz val="8"/>
        <rFont val="Arial"/>
        <family val="2"/>
      </rPr>
      <t xml:space="preserve"> (PENDENTE), CORPO EM CHAPA DE AÇO, REFLETOR EM ALUMÍNIO ANODIZADO, </t>
    </r>
    <r>
      <rPr>
        <b/>
        <sz val="8"/>
        <rFont val="Arial"/>
        <family val="2"/>
      </rPr>
      <t>DIFUSOR ACRÍLICO</t>
    </r>
    <r>
      <rPr>
        <sz val="8"/>
        <rFont val="Arial"/>
        <family val="2"/>
      </rPr>
      <t xml:space="preserve"> TRANSLÚCIDO, COM 01 LÂMPADA LED T8 </t>
    </r>
    <r>
      <rPr>
        <b/>
        <sz val="8"/>
        <rFont val="Arial"/>
        <family val="2"/>
      </rPr>
      <t>1x18W</t>
    </r>
    <r>
      <rPr>
        <sz val="8"/>
        <rFont val="Arial"/>
        <family val="2"/>
      </rPr>
      <t>/220V, MOD. CHT10-S232.ACL, FAB. LUMICENTER</t>
    </r>
  </si>
  <si>
    <r>
      <t xml:space="preserve">LUMINÁRIA DE EMBUTIR MELLOWLIGHT, CORPO E REFLETOR EM CHAPA DE AÇO, DIFUSOR EM CHAPA DE AÇO PERFURADA e PELÍCULA POLIÉSTER, COM PLACAS DE LED </t>
    </r>
    <r>
      <rPr>
        <b/>
        <sz val="8"/>
        <rFont val="Arial"/>
        <family val="2"/>
      </rPr>
      <t>35W</t>
    </r>
    <r>
      <rPr>
        <sz val="8"/>
        <rFont val="Arial"/>
        <family val="2"/>
      </rPr>
      <t>/220V, MOD. LML03-E3000840, FAB. LUMICENTER</t>
    </r>
  </si>
  <si>
    <r>
      <t xml:space="preserve">LUMINÁRIA HOSPITALAR DE SOBREPOR SOB O LEITO (VIGÍLIA), CORPO EM CAHPA DE ALUMÍNIO, DIFUSORES EM VIDRO ACETINADO, ILUMINAÇÃO DIRETA e INDIRETA, COM LÂMPADA e </t>
    </r>
    <r>
      <rPr>
        <b/>
        <sz val="8"/>
        <rFont val="Arial"/>
        <family val="2"/>
      </rPr>
      <t>REATOR,</t>
    </r>
    <r>
      <rPr>
        <sz val="8"/>
        <rFont val="Arial"/>
        <family val="2"/>
      </rPr>
      <t xml:space="preserve"> MOD. NS011970-B, FAB. LUMICENTER</t>
    </r>
  </si>
  <si>
    <r>
      <t xml:space="preserve">UMINÁRIA DE </t>
    </r>
    <r>
      <rPr>
        <b/>
        <sz val="8"/>
        <rFont val="Arial"/>
        <family val="2"/>
      </rPr>
      <t>SOBREPOR</t>
    </r>
    <r>
      <rPr>
        <sz val="8"/>
        <rFont val="Arial"/>
        <family val="2"/>
      </rPr>
      <t xml:space="preserve"> (PENDENTE), CORPO EM CHAPA DE AÇO, REFLETOR EM ALUMÍNIO ANODIZADO, COM 02 LÂMPADAS LED T8 </t>
    </r>
    <r>
      <rPr>
        <b/>
        <sz val="8"/>
        <rFont val="Arial"/>
        <family val="2"/>
      </rPr>
      <t>2x9W</t>
    </r>
    <r>
      <rPr>
        <sz val="8"/>
        <rFont val="Arial"/>
        <family val="2"/>
      </rPr>
      <t>/220V, MOD. CAN03-S216TL, FAB. LUMICENTER</t>
    </r>
  </si>
  <si>
    <t>ARANDELA, CORPO EM ALUMÍNIO FUNDIDO, DIFUSOR EM VIDRO FRIZADO TEMPERADO E GRADE FRONTAL, COM LÂMPADA BULBON LED 7W, MOD. EX02-S1E27, FAB. LUMICENTER - ESCADA /SERV./ ELEVADOR</t>
  </si>
  <si>
    <r>
      <t xml:space="preserve">LUMINÁRIA DE EMBUTIR EM FORRO MODULADO COM PERFIL "T", CORPO EM CHAPA DE AÇO, REFLETOR EM ALUMÍNIO ANODIZADO, </t>
    </r>
    <r>
      <rPr>
        <b/>
        <sz val="8"/>
        <rFont val="Arial"/>
        <family val="2"/>
      </rPr>
      <t>DIFUSOR ACRÍLICO</t>
    </r>
    <r>
      <rPr>
        <sz val="8"/>
        <rFont val="Arial"/>
        <family val="2"/>
      </rPr>
      <t xml:space="preserve"> TRANSLÚCIDO, COM 02 LÂMPADAS LED T8 </t>
    </r>
    <r>
      <rPr>
        <b/>
        <sz val="8"/>
        <rFont val="Arial"/>
        <family val="2"/>
      </rPr>
      <t>2x18W</t>
    </r>
    <r>
      <rPr>
        <sz val="8"/>
        <rFont val="Arial"/>
        <family val="2"/>
      </rPr>
      <t>/220V, MOD. CHT02.E232, FAB. LUMICENTER</t>
    </r>
  </si>
  <si>
    <r>
      <t xml:space="preserve">BOMBA CENTRIFUGA SUBMERSA INOX MULTIESTÁGIO, TRIFÁSICA 380V, </t>
    </r>
    <r>
      <rPr>
        <b/>
        <sz val="8"/>
        <rFont val="Arial"/>
        <family val="2"/>
      </rPr>
      <t>P=3/4CV</t>
    </r>
    <r>
      <rPr>
        <sz val="8"/>
        <rFont val="Arial"/>
        <family val="2"/>
      </rPr>
      <t xml:space="preserve"> - Q=3m3/h X Hman=10mca, TOMADA R-1.1/4", MOD. SUB20-07S4E5, FAB. SCHNEIDER - REC. CISTERNA 3      </t>
    </r>
  </si>
  <si>
    <t>R5</t>
  </si>
  <si>
    <t xml:space="preserve">ETA DE PRÉ-TRATAMENTO DE ÁGUA CONSTITUÍDA DE: 1) SISTEMA DE FILTRAÇÃO DE LEITO PROFUNDO COM CAPACIDADE DE FILTRAR 8,6 M3/H, CONTENDO FILTRO MULTI MEIOS 10 M3/H, VÁLVULAS ELETROMECÂNICA 10 M3/H E SISTEMA DE TELEMETRIA COM MONITORAMENTO DA PRESSÃO, VAZÃO E STATUS DE FILTRAÇÃO, ATRAVÉS DE VIA MODBUS; E 2) SISTEMA DE CONTROLE DE RESIDUAL DE CLORO LIVRE - RE CLORAÇÃO, PARA DOSAGEM E MENSURAÇÃO DE RESIDUAL DE CLORO LIVRE CONTROLADO ENTRE 0,5 Á 0,8 PPM INITERRUPTAMENTE, CONTITUÍDO POR BOMBA DOSADORA DE HIPOCLORITO DE SÓDIO AUTOMÁTICA COM VAZÃO DE 0 À 10 L/H E PRESSÃO DE INJEÇÃO DE 1 À 7 BAR, SONDAS DE MEDIÇÃO DE CLORO LIVRE COM SENSIBILIDADE DE 0,1 PPM E SISTEMA DE TELEMETRIA COM MONITORAMENTO DE VAZÃO, CLORO LIVRE NOS RESERVATÓRIOS E CLORO LIVRE EM PONTO DE CONSUMO, ATRAVÉS DE VIA MODBUS </t>
  </si>
  <si>
    <t xml:space="preserve">REVISÃO ITEM 7.5.26 - DESCRITIVO E PREÇOS DA ETA </t>
  </si>
  <si>
    <r>
      <t xml:space="preserve">CABO F/UTP 23AWGX4P </t>
    </r>
    <r>
      <rPr>
        <b/>
        <sz val="8"/>
        <color theme="1"/>
        <rFont val="Arial"/>
        <family val="2"/>
      </rPr>
      <t>CAT.6A</t>
    </r>
    <r>
      <rPr>
        <sz val="8"/>
        <color theme="1"/>
        <rFont val="Arial"/>
        <family val="2"/>
      </rPr>
      <t xml:space="preserve"> LSZH-3 CZ, MOD: 23370094, FAB: FURUKAWA OU SIMILAR</t>
    </r>
  </si>
  <si>
    <r>
      <t xml:space="preserve">CABO U/UTP 23AWGX4P </t>
    </r>
    <r>
      <rPr>
        <b/>
        <sz val="8"/>
        <rFont val="Arial"/>
        <family val="2"/>
      </rPr>
      <t>CAT.6</t>
    </r>
    <r>
      <rPr>
        <sz val="8"/>
        <rFont val="Arial"/>
        <family val="2"/>
      </rPr>
      <t xml:space="preserve"> LSZH-3 CINZA, MODELO: 23400198, FAB: FURUKAWA OU SIMILAR</t>
    </r>
  </si>
  <si>
    <t>PATCH CORD U/UTP GIGALAN GREEN CAT.6 - LSZH - T568A/B - 0.5m - CINZA, MOD: 35123240, FAB: FURUKAWA OU SIMILAR</t>
  </si>
  <si>
    <t>PATCH CORD U/UTP GIGALAN GREEN CAT.6 - LSZH - T568A/B - 1.5m - CINZA, MOD: 35123242, FAB: FURUKAWA OU SIMILAR</t>
  </si>
  <si>
    <t>CABO OPTICO CFOT-SM-EO 04F LSZH (FIBER-LAN INDOOR/OUTDOOR), MOD: 28070032, FAB: FURUKAWA OU SIMILAR</t>
  </si>
  <si>
    <r>
      <t xml:space="preserve">CABO OPTICO CFOT-SM-EO </t>
    </r>
    <r>
      <rPr>
        <b/>
        <sz val="8"/>
        <rFont val="Arial"/>
        <family val="2"/>
      </rPr>
      <t>04F</t>
    </r>
    <r>
      <rPr>
        <sz val="8"/>
        <rFont val="Arial"/>
        <family val="2"/>
      </rPr>
      <t xml:space="preserve"> LSZH (FIBER-LAN INDOOR/OUTDOOR), MOD: 28070032, FAB: FURUKAWA OU SIMILAR</t>
    </r>
  </si>
  <si>
    <r>
      <t xml:space="preserve">CABO OPTICO CFOT-SM-EO </t>
    </r>
    <r>
      <rPr>
        <b/>
        <sz val="8"/>
        <rFont val="Arial"/>
        <family val="2"/>
      </rPr>
      <t>06F</t>
    </r>
    <r>
      <rPr>
        <sz val="8"/>
        <rFont val="Arial"/>
        <family val="2"/>
      </rPr>
      <t xml:space="preserve"> LSZH (FIBER-LAN INDOOR/OUTDOOR), MOD: 28070045, FAB: FURUKAWA OU SIMILAR</t>
    </r>
  </si>
  <si>
    <t>CABO OPTICO CFOT-SM-EO 12F LSZH (FIBER-LAN INDOOR/OUTDOOR), MOD: 28070015, FAB FURUKAWA OU SIMILAR</t>
  </si>
  <si>
    <t>CORDAO MONOFIBRA CONECTORIZADO SM BLI G-657A2 SC-APC/SC-APC 1.5m - LSZH - BRANCO - D3, MOD: 33006399, FAB: FURUKAWA OU SIMILAR</t>
  </si>
  <si>
    <t>CORDAO MONOFIBRA CONECTORIZADO SM BLI G-657A2 SC-APC/SC-APC 2.5m - LSZH - BRANCO - D3, MOD: 33006401, FAB: FURUKAWA OU SIMILAR</t>
  </si>
  <si>
    <t>CORDAO MONOFIBRA CONECTORIZADO SM BLI G-657A2 SC-APC/SC-UPC 2.5m - LSZH - BRANCO - D3, MOD: 33001097, FAB: FURUKAWA OU SIMILAR</t>
  </si>
  <si>
    <t>2.4.14</t>
  </si>
  <si>
    <t>2.4.15</t>
  </si>
  <si>
    <t>CAIXA DE EMBUTIR 14" CDM COM PORTA DE AÇO, TAM.400 X 395 X 100mm, ATÉ 06 MÓDULOS CDM 4x2, RÉGUA DE TOMADAS 2P+T, REF.: 35600031, FAB. FURUKAWA OU SIMILAR</t>
  </si>
  <si>
    <t>CAIXA DE EMBUTIR 28" CDM COM PORTA DE AÇO, TAM.800 X 395 X 100mm, ATÉ 12 MÓDULOS CDM 4x2, RÉGUA DE TOMADAS 2P+T, REF.: 35600032, FAB. FURUKAWA OU SIMILAR</t>
  </si>
  <si>
    <t>CAIXA DE EMBUTIR 28" CDM COM PORTA EM AÇO, TAM.800 X 395 X 100mm, ATÉ 12 MÓDULOS CDM 4x2, RÉGUA DE TOMADAS 2P+T, REF.: 35600032, FAB. FURUKAWA OU SIMILAR</t>
  </si>
  <si>
    <t>MINI RACK DE PARADE 16US x 600 x 600 PROF. COM 1 BANDEJA - PRETO COM TETO COM 2 VENTILADORES E 1 RÉGUA COM 8 TOMADAS E PORCAS GAIOLAS E PARAFUSOS DE FIXAÇÃO, MOD: GPMR 166060, FAB: GP RACKS OU SIMILAR</t>
  </si>
  <si>
    <t>RACK 4P ABERTO 19" 45U ITMAX MOD: 35150532 + 2 GUIAS VERTICAL 200mm ITMAX - PORTA ÚNICA MOD: 35150106 + 2 PÇS DE TAMPA LATERAL - GUIA VERTICAL ITMAX - PORTA ÚNICA - MOD: 35150521 + 2 BANDEJA SUPERIOR E INFERIOR ITMAX, MOD: 35150405 + 7 PÇS GUIA HORIZONTAL 2U ITMAX, MOD: 35150406 + 1 PÇ ACOMODADOR RADIAL PLÁSTICO ITMAX - KIT 5 PEÇAS, MOD: 35150409 + 1 PÇ BARRA DE ATERRAMENTO ITMAX, MOD: 35150255 COM PORCA GAIOLA E PARAFUSOS E 2 RÉGUA COM 08 TOMADAS 19" X 20 A; FAB: FURUKAWA OU SIMILAR</t>
  </si>
  <si>
    <t>DIO B-144 MÓDULO BÁSICO MOD: 35265051 + 24 PÇS EXTENSAO MONOFIBRA CONECTORIZADA SM BLI G-657A2 SC-APC 1.5m COM ADAPTADOR - LSZH - BRANCO - D0.9 (PACOTE C/ 06F), MOD: 35260983, FAB: FURUKAWA OU SIMILAR</t>
  </si>
  <si>
    <t>DIO PARA TRILHO DIN INDUSTRIAL 6P - BRANCO, MOD. 35050381 + BASE PARA TRILHO DIN INDUSTRIAL - INOX, MOD: 35150250, FAB. FURUKAWA OU SIMILAR</t>
  </si>
  <si>
    <t>DIO TERALAN ENTERPRISE MODULO BASICO 48F (06 FO), MOD: 35261155 + TODOS OS ACESSÓRIOS PARA ATENDIMENTO DE 6 PONTOS DE FIBRA + BANDEJA PARA ACOMODACAO DE SOBRA DE CORDAO 1U CURTO MOD: 35261015, FAB: FURUKAWA OU SIMILAR</t>
  </si>
  <si>
    <t>DIO TERALAN ENTERPRISE MODULO BASICO 48F (12 FO) MOD: 35261155 + TODOS OS ACESSÓRIOS PARA ATENDIMENTO DE 12 PONTOS DE FIBRA + BANDEJA PARA ACOMODACAO DE SOBRA DE CORDAO 1U CURTO MOD: 35261015, FAB: FURUKAWA OU SIMILAR</t>
  </si>
  <si>
    <t>DIO TERALAN ENTERPRISE MODULO BASICO 48F (18 FO) MOD: 35261155 + TODOS OS ACESSÓRIOS PARA ATENDIMENTO DE 18 PONTOS DE FIBRA + BANDEJA PARA ACOMODACAO DE SOBRA DE CORDAO 1U CURTO MOD: 35261015, FAB: FURUKAWA OU SIMILAR</t>
  </si>
  <si>
    <t>DIO TERALAN ENTERPRISE MODULO BASICO 48F (24FO) MOD: 35261155 + TODOS OS ACESSÓRIOS PARA ATENDIMENTO DE 24 PONTOS DE FIBRA, + BANDEJA PARA ACOMODACAO DE SOBRA DE CORDAO 1U CURTO MOD: 35261015, FAB: FURUKAWA OU SIMILAR</t>
  </si>
  <si>
    <t>MÓDULO PARA DADOS CAT.6 8 PORTAS - CDM - MOD: 35600040, FAB: FURUKAWA OU SIMILAR</t>
  </si>
  <si>
    <t>PATCH PANEL DESCARREGADO 24P BLINDADO - DATAWAVE READY, MOD. 35050000 + CONECTORES FÊMEA CATEGORIA 6 PARA COMPOR O PATCH PANEL, FAB. FURUKAWA OU SIMILAR</t>
  </si>
  <si>
    <t>BASTIDOR 19" COM DIVISOR OPTICO 1 X 2X32 G.657A SC-APC/SC-APC, MOD. 35500278, FAB. FURUKAWA OU SIMILAR</t>
  </si>
  <si>
    <t>Equipamentos e Licenças</t>
  </si>
  <si>
    <t>OLT COM SUPORTE XGS-PON Shelf FX4 + FANT-F + 2x10GE NOKIA 7360 ISAM, MOD: 35519040 + LICENÇA DE USO, FAB: NOKIA OU SIMILAR</t>
  </si>
  <si>
    <t>PLACA DE TERMINAÇÃO DE REDE NOKIA 7360 ISAM FX 480Gbps NT [FANT-F], MOD: 35519004,  + LICENÇA DE USO, FAB: NOKIA OU SIMILAR</t>
  </si>
  <si>
    <t>PLACA DE LINHA GPON 16 PORTAS NOKIA 7360 ISAM FD/FX 16port GPON LT [FGLT-D], MOD: 35519006  + LICENÇA DE USOFAB: NOKIA OU SIMILAR</t>
  </si>
  <si>
    <t xml:space="preserve">MÓDULO SFP GPON TRANSCEIVER C+ NOKIA, MOD: 35519003  + LICENÇA DE USO, FAB: NÓKIA OU SIMILAR </t>
  </si>
  <si>
    <t>MÓDULO SFP+ UPLINK TRANSCEIVER 10GE LR SM 1310nm 10km NOKIA, MOD: 35519005  + LICENÇA DE USO, FAB: NOKIA OU SIMILAR</t>
  </si>
  <si>
    <t>ONT GPON G-240G-E NOKIA, MOD: 35519007 + LICENÇA DE USO, FAB: NOKIA OU SIMILAR</t>
  </si>
  <si>
    <t>ONT GPON POE G-040P-Q, MOD: 35519009 + LICENÇA DE USO, FAB: NOKIA OU SIMILAR</t>
  </si>
  <si>
    <t>2.6.1</t>
  </si>
  <si>
    <t>2.6.2</t>
  </si>
  <si>
    <t>2.6.3</t>
  </si>
  <si>
    <t>2.6.4</t>
  </si>
  <si>
    <t>2.6.5</t>
  </si>
  <si>
    <t>2.6.6</t>
  </si>
  <si>
    <t>2.6.7</t>
  </si>
  <si>
    <t>SONOFLETOR CIRCULAR 7.8" EMBUTIR EM FORRO, COM GARRAS DE FIXAÇÃO, COR BRANCA, RESPOSTA FREQUÊNCIA 80-18kHz, POTÊNCIA 6W, IMPEDÂNCIA 16,67 Ohms, SENSIBILIDADE 86 dB(1W/1m), COM TRANSFORMADOR DE LINHA 100V; MOD. LHM0606/10, FAB.: BOSCH OU SIMILAR</t>
  </si>
  <si>
    <t>SONOFLETOR RETANGULAR 250X60X140MM, DE SOBREPOR, COR BRANCA, RESPOSTA FREQUÊNCIA 100-18,5kHz, POTÊNCIA 15W, IMPEDÂNCIA 8/326/667 Ohms, SENSIBILIDADE 86 dB(1W/1m), COM TRANSFORMADOR DE LINHA 100V; MOD. LB2-UC15-L1, FAB.: BOSCH OU SIMILAR</t>
  </si>
  <si>
    <t>ATENUADOR DE SOM, LINHA 100V, POTÊNCIA 100W, CONTROLE ROTATIVO 0-5 STEPS, COR BRANCA,, MOD. LBC1420/10, FAB.: BOSCH OU SIMILIAR</t>
  </si>
  <si>
    <t>CONTROLADOR DE ÁUDIO IP MOD: PRA-SCS, FAB: BOSCH OU SIMILAR</t>
  </si>
  <si>
    <t>AMPLIFICADOR IP DE 4 CANAIS COM POTÊNCIA DE 600W, MOD: PRA-AD604, FAB: BOSCH OU SIMILAR</t>
  </si>
  <si>
    <t>ESTAÇÃO DE CHAMADA DE ÁUDIO,  MOD: PRA-CSLD, FAB: BOSCH OU SIMILAR</t>
  </si>
  <si>
    <t>TECLADO PARA SELEÇÃO DE ZONA DE ÁUDIO. MOD: PRA-CSE, FAB: BOSCH OU SIMILAR</t>
  </si>
  <si>
    <t>FONTE PARA CONTROLADOR, MOD: PRA-PSM24, FAB: BOSCH OU SIMILAR</t>
  </si>
  <si>
    <t>FONTE PARA AMPLIFICADOR, MOD: PRA-PSM48, FAB: BOSCH OU SIMILAR</t>
  </si>
  <si>
    <t>RACK FECHADO PADRÃO 19" x 670mm X 12U, GABINETE DE PAREDE, NA COR PRETA, COM PORTA E VISOR DE VIDRO TEMPERADO, CHAVE NA PORTA, FAB. GP RACKS OU SIMILAR - AUDITÓRIO</t>
  </si>
  <si>
    <t>RACK FECHADO PADRÃO 19" x 670mm X 12U, GABINETE DE PAREDE, NA COR PRETA, COM PORTA E VISOR DE VIDRO TEMPERADO, CHAVE NA PORTA, FAB. GP RACKS OU SIMILAR</t>
  </si>
  <si>
    <t>CFTV - Câmeras e Servidor de armazenamento vídeo</t>
  </si>
  <si>
    <r>
      <t xml:space="preserve">CÂMERA </t>
    </r>
    <r>
      <rPr>
        <b/>
        <sz val="8"/>
        <rFont val="Arial"/>
        <family val="2"/>
      </rPr>
      <t>BULLET</t>
    </r>
    <r>
      <rPr>
        <sz val="8"/>
        <rFont val="Arial"/>
        <family val="2"/>
      </rPr>
      <t xml:space="preserve"> IP, 2MP, RESOL. 1920x1080P@20fps, ICR, H.265+/H.265/H.264+/H.264, DWDR, 3D DNR, BLC, INFRA.VERM e IRIS AUTOMÁTICO, PoE IEEE 802.3af / 802,3at Type.1, Classe.3, USO EXTERNO IP-66, LENTE DE 3,3-10,2mm, IK10 IR, CONTENDO OS SEGUINTES ANALÍTICOS EMBARCADOS: QUALQUER OBJETO; OBJETO EM CAMPO; LINHA TRANSVERSAL; ENTRAR/SAIR DE CAMPO; VAGO; SEGUIR ROTA; CONTANDO; OCUPAÇÃO; ALTERAÇÃO DA CONDIÇÃO; PESQUISA DE SIMILARIDADE; OBJETOS QUE ESTÃO PARANDO OU COMEÇANDO A SE MOVER. MOD. NBE-3502-AL, FAB. BOSCH OU SIMILAR</t>
    </r>
  </si>
  <si>
    <r>
      <t xml:space="preserve">CÂMERA </t>
    </r>
    <r>
      <rPr>
        <b/>
        <sz val="8"/>
        <rFont val="Arial"/>
        <family val="2"/>
      </rPr>
      <t>MICRODOME</t>
    </r>
    <r>
      <rPr>
        <sz val="8"/>
        <rFont val="Arial"/>
        <family val="2"/>
      </rPr>
      <t xml:space="preserve"> IP, 2MP, RESOL.1920x1080P@20fps, ICR, H.265+/H.265/H.264+/H.264, DWDR, 3D DNR, BLC, INFRA.VERM e IRIS AUTOMÁTICO, PoE IEEE 802.3af / 802,3at Type.1, Classe.3, USO EXTERNO IP-66, LENTE DE 2,49mm, CONTENDO OS SEGUINTES ANALÍTICOS EMBARCADOS: QUALQUER OBJETO; OBJETO EM CAMPO; LINHA CRUZANDO; ENTRAR/SAIR DO CAMPO; VADIAGEM; SEGUIR ROTA; CONTANDO; OCUPAÇÃO; MUDANÇA DE CONDIÇÃO; SEMELHANÇA PROCURAR; OBJETOS PARANDO OU INICIANDO MOVER. MOD. NUV-3702-F02, FAB. BOSCH OU SIMILAR</t>
    </r>
  </si>
  <si>
    <r>
      <t>CÂMERA</t>
    </r>
    <r>
      <rPr>
        <b/>
        <sz val="8"/>
        <rFont val="Arial"/>
        <family val="2"/>
      </rPr>
      <t xml:space="preserve"> SPEED DOME</t>
    </r>
    <r>
      <rPr>
        <sz val="8"/>
        <rFont val="Arial"/>
        <family val="2"/>
      </rPr>
      <t xml:space="preserve"> IP, 4MP, STARLIGHT RESOL. 2688x1520P@60fps, COBERTURA "DETECTA-OBSERVA-RECONHECE-IDENTIFICA", ZOOM ÓTICO 30X, ZOOM DIGITAL 16X, H.265/H.264/M-JPEG, INFRA VERM, ALIM. 220/24Vca, USO EXTERNO IP-66, C/ACESSÓRIOS, CONTENDO OS SEGUINTES ANALÍTICOS EMBARCADOS: QUALQUER OBJETO, OBJETO NO CAMPO CRUZAMENTO DE LINHA ENTRAR/SAIR DO CAMPO VADIAGEM SEGUIR ROTA OBJETO PARADO/REMOVIDO CONTAGEM OCUPAÇÃO ESTIMATIVA DE DENSIDADE DEMOGRÁFICA ALTERAÇÃO DE CONDIÇÕES PESQUISA DE SIMILARIDADE, FORNECIDO COM ACESSÓRIOS PARA FIXAÇÃO EM PAREDE OU POSTE (PLACA DE MONTAGEM SUSPENSA – REF: NDA-U-WMT. FABRICANTE BOSCH OU SIMILAR,
GABINETE DE VIGILÂNCIA 24VAC – REF.: NDA-U-PA0. FABRICANTE BOSCH OU SIMILAR, ADAPTADOR DE MONTAGEM DE HASTE GRANDE - NDA-U-PA0. FABRICANTE BOSCH OU SIMILAR). CÂMERA MOD. NDP-5523-Z30L, FAB. BOSCH OU SIMILAR</t>
    </r>
  </si>
  <si>
    <r>
      <t xml:space="preserve">CÂMERA </t>
    </r>
    <r>
      <rPr>
        <b/>
        <sz val="8"/>
        <rFont val="Arial"/>
        <family val="2"/>
      </rPr>
      <t>DOME</t>
    </r>
    <r>
      <rPr>
        <sz val="8"/>
        <rFont val="Arial"/>
        <family val="2"/>
      </rPr>
      <t xml:space="preserve"> IP, 2MP C/DETECÇÃO DE ÁUDIO, RESOL. 1920x1080P@20fps, ICR, H.265+/H.265/H.264+/H.264, DWDR, 3D DNR, BLC, INFRA.VERM e IRIS AUTOMÁTICO, PoE IEEE 802.3af / 802,3at Type.1, Classe.3, USO INTERNO IP-66, LENTE DE 3-9mm, CONTENDO OS SEGUINTES ANALÍTICOS EMBARCADOS: LINHA TRANSVERSAL; ENTRAR/SAIR DE CAMPO; VAGO; SEGUIR ROTA; OBJETO OCIOSO/REMOVIDO; ESTIMATIVA DE DENSIDADE POPULACIONAL; RASTREAMENTO 3D; ALARMES E RASTREAMENTO COM BASE EM REGRAS; CONTAGEM DE PESSOAS. MOD. NDE-3512-AL, FAB. BOSCH OU SIMILAR </t>
    </r>
  </si>
  <si>
    <t>SOLUÇÃO DE GRAVAÇÃO, VISUALIZAÇÃO E GERENCIAMENTO PARA SISTEMAS DE VIGILÂNCIA EM REDE DE ATÉ 256 CANAIS, 3U, COM CAPACIDADE PARA ATÉ 16 BAIAS DE HD, INTERFACE DE REDE GIGABIT ETHERNET COM PORTA DUAL, 16 GB DE MEMÓRIA DO SISTEMA E UM PROCESSADOR INTEL XEON HEXA CORE COM SUPORTE RAID 5. MOD. DIP-73G0-00N, FAB. BOSCH OU SIMILAR</t>
  </si>
  <si>
    <t>DISCO RÍGIDO DE 12 TB PARA USO EM SOLUÇÃO DE VÍDEO. MOD. ST12000VE0008, FAB. SEAGATE OU SIMILAR</t>
  </si>
  <si>
    <t>6.2</t>
  </si>
  <si>
    <t>CFTV - Software de gestão de vídeo</t>
  </si>
  <si>
    <t>6.2.1</t>
  </si>
  <si>
    <t>SOFTWARE DE GESTÃO DE VÍDEO LICENCIADO PARA ATENDER OS QUANTITAIVOS DE CÂMERAS DESCRITOS NOS ITEM 6.1.1, 6.1.2, 6.1.3 E 6.1.4 COM ATUALIZAÇÃO DE SOFTWARE BASE E DE LICENÇAS POR PELO MENOS 1 ANO APÓS INSTALAÇÃO. REF. MBV-BPRO, MBV-XCHANPRO, MBV-MPRO E MBV-MCHANPRO, FAB. BOSCH OU SIMILAR</t>
  </si>
  <si>
    <t>6.3</t>
  </si>
  <si>
    <t>6.3.1</t>
  </si>
  <si>
    <t>CATRACA PEDESTAL SEMIAUTOMÁTICA. MOD. VAATRP02-MK2, FAB: ASSA ABLOY OU SIMILAR</t>
  </si>
  <si>
    <t>CATRACA SWING GATE MASTER. MOD. VAA-SG04_M, FAB: ASSA ABLOY OU SIMILAR</t>
  </si>
  <si>
    <t>CATRACA SWING GATE SLAVE, MOD. VAA-SG04_S, FAB: ASSA ABLOY OU SIMILAR</t>
  </si>
  <si>
    <t>CATRACA SWING GATE DUPLO MECANISMO, MOD. VAA-SG04_DM, FAB: ASSA ABLOY OU SIMILAR</t>
  </si>
  <si>
    <t>PORTA CONVENCIONAL PARA BARREIRA SWING GATE SG04, MOD. DOOR_SG04, FAB: ASSA ABLOY OU SIMILAR</t>
  </si>
  <si>
    <t>PORTA PCD PARA BARREIRA SWING GATE SG04, MOD. DOOR_SG04_PCD, FAB: ASSA ABLOY OU SIMILAR</t>
  </si>
  <si>
    <t>LEITOR FACIAL COM MEDIÇÃO DE TEMPERATURA COM SUPORTE PARA INSTALAÇÃO EM CATRACA, MOD. VF-10K1HT-CAT, FAB: ASSA ABLOY OU SIMILAR</t>
  </si>
  <si>
    <t>LEITOR FACIAL SEM MEDIÇÃO DE TEMPERATURA COM SUPORTE PARA INSTALAÇÃO EM CATRACA. MOD. VF-10K1T-CAT, FAB: ASSA ABLOY OU SIMILAR</t>
  </si>
  <si>
    <t>CONTROLADOR AERO X1100, MOD. X1100A, FAB: HID OU SIMILAR</t>
  </si>
  <si>
    <t>FONTE ALIM. 110/220VAC, 12VCC, 2A, C/ TRAFO, CARREGADOR DE BATERIA E CAIXA, MOD. NFC2A-C, FAB: ASSA ABLOY OU SIMILAR</t>
  </si>
  <si>
    <t>BATERIA DE GEL, SELADA, 12VCC, 7AH, MOD: BAT-7, FAB: ASSA ABLOY OU SIMILAR</t>
  </si>
  <si>
    <t>6.3.2</t>
  </si>
  <si>
    <t>6.3.3</t>
  </si>
  <si>
    <t>6.3.4</t>
  </si>
  <si>
    <t>6.3.5</t>
  </si>
  <si>
    <t>6.3.6</t>
  </si>
  <si>
    <t>6.3.7</t>
  </si>
  <si>
    <t>6.3.8</t>
  </si>
  <si>
    <t>6.3.9</t>
  </si>
  <si>
    <t>6.3.10</t>
  </si>
  <si>
    <t>6.3.11</t>
  </si>
  <si>
    <t>6.4</t>
  </si>
  <si>
    <t>CANCELA AUTOMOTIVA VAULT-6100-4  220V, CINZA, HASTE DE 4M. MOD: VAULT-6100-4, FAB: ASSA ABLOY OU SIMILAR</t>
  </si>
  <si>
    <t>TOTEM VEICULAR MODULAR - ASSA ABLOY, MOD: VTOT-MOD-VAULT, FAB: ASSA ABLOY OU SIMILAR</t>
  </si>
  <si>
    <t>CENTRAL DE LAÇO INDUTIVO, MOD: LAB9, FAB: ASSA ABLOY OU SIMILAR</t>
  </si>
  <si>
    <t>LAÇO INDUTIVO (ANTI ESMAGAMENTO) MOD: LACOP6, FAB: ASSA ABLOY OU SIMILAR</t>
  </si>
  <si>
    <t>SUPORTE DE APOIO PARA CANCELA 4 A 6M, MOD: QIKAF, FAB: ASSA ABLOY OU SIMILAR</t>
  </si>
  <si>
    <t>CONTROLE REMOTO PARA CANCELA (ATUAÇÃO EM EMERGENCIA), MOD: ZENT4, FAB: ASSA ABLOY OU SIMILAR</t>
  </si>
  <si>
    <t>LEITOR HID SIGNO 20K, MULLION, PERFIL DE 13,56 MHZ, OSDP / WIEGAND, PIGTAIL, MOBILE READY, BLE. MOD: 20KNKS-00-000000, FAB: HID OU SIMILAR</t>
  </si>
  <si>
    <t>CONTROLADOR AERO X1100. MOD: X1100A, FAB: HID OU SIMILAR</t>
  </si>
  <si>
    <t>FONTE ALIM. 110/220VAC, 12VCC, 2A, C/ TRAFO, CARREGADOR DE BATERIA E CAIXA. MOD: NFC2A-C, FAB: ASSA ABLOY OU SIMILAR</t>
  </si>
  <si>
    <t>BATERIA DE GEL, SELADA, 12VCC, 7AH. MOD: BAT-7, FAB: ASSA ABLOY OU SIMILAR</t>
  </si>
  <si>
    <t>6.4.1</t>
  </si>
  <si>
    <t>6.4.2</t>
  </si>
  <si>
    <t>6.4.3</t>
  </si>
  <si>
    <t>6.4.4</t>
  </si>
  <si>
    <t>6.4.5</t>
  </si>
  <si>
    <t>6.4.6</t>
  </si>
  <si>
    <t>6.4.7</t>
  </si>
  <si>
    <t>6.4.8</t>
  </si>
  <si>
    <t>6.4.9</t>
  </si>
  <si>
    <t>6.4.10</t>
  </si>
  <si>
    <t>6.5</t>
  </si>
  <si>
    <t>PORTA MODELO 1: PORTA SIMPLES, 1 FOLHA PIVOTADA, KIT FECHADURA ELETROMECÂNICA MODELO EL560 E PASSA CABOS MODELO DL350. CONTROLADORA X1100A, COM FONTE E BATERIA, RECONHECIMENTO DE BIOMETRIA FACIAL MOD. VF-10K1. ABERTURA MANUAL E FECHAMENTO COM MOLA HIDRÁULICA MODELO: 01523065-3. FAB: ASSA ABLOY OU SIMILAR</t>
  </si>
  <si>
    <t>PORTA MODELO 2: DUAS PORTAS SIMPLES INTERTRAVADAS COM 1 FOLHA PIVOTADA EM CADA, TRAVAS ELETROMAGNÉTICAS MODELO: 600M + SUPORTE LZ600M E PLACAS DE INTERTRAVAMENTO MOD: ILM-200. ABERTURA MANUAL ATRAVÉS DE BOTÃO NA ENTRADA E SAÍDA, MODELO PBT020B2 E FECHAMENTO COM MOLA HIDRAULICA MODELO: 01523065-3 E PASSA CABOS MODELO DL350, FAB: ASSA ABLOY OU SIMILAR</t>
  </si>
  <si>
    <t>PORTA MODELO 3: PORTA DUPLA, 2 FOLHAS PIVOTADAS, TRAVAS ELETROMAGNÉTICAS MODELO: EM-NH2500M, CONTROLADORA X1100A, COM FONTE E BATERIA, RECONHECIMENTE DE BIOMETRIA FACIAL MODELO: VF-10K1. ABERTURA MANUAL E FECHAMENTO COM MOLAS HIDRÁULICAS MODELO: 01523065-3, FAB: ASSA ABLOY OU SIMILAR</t>
  </si>
  <si>
    <t>PORTA MODELO 4: PORTA SIMPLES, 1 FOLHA DESLIZANTE, COM KIT OPERADOR DE PORTA MODELO: VSDO-200-PULL, CONTROLADORA X1100A, COM FONTE E BATERIA, RECONHECIMENTO DE BIOMETRIA FACIAL, BOTAÕ DE REQUISIÇÃO DE SAÍDA - PBT020B2 E BOTÃO DE EMERGÊNCIA CP-32G. ABERTURA E FECHAMENTO AUTOMATIZADOS. FAB: ASSA ABLOY OU SIMILAR</t>
  </si>
  <si>
    <t>PORTA MODELO 5: PORTA SIMPLES, 1 FOLHA DESLIZANTE, COM KIT DE OPERADOR DE PORTA MODELO: VSDO-200-PULL, CONTROLADORA X1100A, COM FONTE E BATERIA RECONHECIMENTO DE BIOMETRIA FACIAL, BOTÃO DE REQUISIÇÃO DE SAÍDA - PBT020B2 E BOTÃO DE EMERGÊNCIA CP-32G. ABERTURA E FECHAMENTO AUTOMATIZADOS. FEIXE DE SENSORES ÓPTICOS (BARREIRA IVA), FAB: ASSA ABLOY OU SIMILAR</t>
  </si>
  <si>
    <t>PORTA MODELO 6: PORTA DUPLA, 2 FOLHAS PIVOTADAS,  COM KIT OPERADOR DE PORTA MODELO: VSDO-200-PULL NAS DUAS PORTAS, RECONHECIMENTO DE BIOMETRIA FACIAL, BOTÃO DE REQUISIÇÃO DE SAÍDA - PBT020B2 E BOTÃO DE EMERGÊNCIA CP-32G. ABERTURA E FECHAMENTO AUTOMATIZADOS. FEIXE DE SENSORES ÓPTICOS (BARREIRA IVA), FAB: ASSA ABLOY OU SIMILAR</t>
  </si>
  <si>
    <t>PORTA MODELO 7: PORTA DUPLA, 2 FOLHAS DESLIZANTES, LIBERAÇÃO COM SENSOR DE PROXIMIDADE, TIPO MICROONDAS, ABERTURA E FECHAMENTO AUTOMATIZADOS. FEIXE DE SENDOR ÓPTICOS (BARREIRA IVA)</t>
  </si>
  <si>
    <t>PORTA MODELO 8: PORTA SIMPLES, 1 FOLHA DESLIZANTE, COM 3 SENSORES DE PROXIMIDADE DE MÃO PARA ABERTURA INTERNA E EXTERNA E PARA POLARIZAÇÃO DO VIDRO. ABERTURA E FECHAMENTO AUTOMATIZADOS</t>
  </si>
  <si>
    <t>6.5.1</t>
  </si>
  <si>
    <t>6.5.2</t>
  </si>
  <si>
    <t>6.5.3</t>
  </si>
  <si>
    <t>6.5.4</t>
  </si>
  <si>
    <t>6.5.5</t>
  </si>
  <si>
    <t>6.5.6</t>
  </si>
  <si>
    <t>6.5.7</t>
  </si>
  <si>
    <t>6.5.8</t>
  </si>
  <si>
    <t>6.6</t>
  </si>
  <si>
    <t>PLATAFORMA DE CONTROLE DE ACESSO QUE PERMITE O GERENCIAMENTO DA SEGURANÇA LICENCIADA COM LICENÇAS PARA USO DE 17 CATRACAS, 69 PORTAS, 1 CANCELA, 127 BIOMETRIA FACIAL E 8 ESTAÇÕES DE CADASTRAMENTO DE VISITATE. MOD: VALT NEXT NXT-ENT, FAB: ASSA ABLOY OU SIMILAR</t>
  </si>
  <si>
    <t>6.6.1</t>
  </si>
  <si>
    <t xml:space="preserve">Controle de Acesso - Catracas </t>
  </si>
  <si>
    <t>Controle de Acesso - Cancela</t>
  </si>
  <si>
    <t>Controle de Acesso - Portas</t>
  </si>
  <si>
    <t>Controle de Acesso - Software de Gestão</t>
  </si>
  <si>
    <t>REVISÃO ITEM 3.2 - DESCRITIVO E ACRÉSCIMO DE MAT. SONORIZAÇÃO</t>
  </si>
  <si>
    <t>REVISÃO ITEM 6.0 - DESCRITIVO E ACRÉSCIMO DE MAT. CONTROLE ACESSO + CFTV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</si>
</sst>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
    <numFmt numFmtId="166" formatCode="#,##0.00&quot;m2&quot;"/>
    <numFmt numFmtId="167" formatCode="0.0000"/>
    <numFmt numFmtId="168" formatCode="_-* #,##0.0000_-;\-* #,##0.0000_-;_-* &quot;-&quot;??_-;_-@_-"/>
    <numFmt numFmtId="169" formatCode="#,##0.0000"/>
  </numFmts>
  <fonts count="73" x14ac:knownFonts="1">
    <font>
      <sz val="10"/>
      <color indexed="8"/>
      <name val="MS Sans Serif"/>
    </font>
    <font>
      <sz val="11"/>
      <color theme="1"/>
      <name val="Calibri"/>
      <family val="2"/>
      <scheme val="minor"/>
    </font>
    <font>
      <sz val="9"/>
      <color indexed="8"/>
      <name val="Courier New"/>
      <family val="3"/>
    </font>
    <font>
      <sz val="8"/>
      <name val="MS Sans Serif"/>
      <family val="2"/>
    </font>
    <font>
      <sz val="10"/>
      <color indexed="8"/>
      <name val="Arial"/>
      <family val="2"/>
    </font>
    <font>
      <sz val="10"/>
      <name val="Arial"/>
      <family val="2"/>
    </font>
    <font>
      <b/>
      <sz val="10"/>
      <color indexed="8"/>
      <name val="Arial"/>
      <family val="2"/>
    </font>
    <font>
      <sz val="10"/>
      <color indexed="10"/>
      <name val="Arial"/>
      <family val="2"/>
    </font>
    <font>
      <b/>
      <sz val="10"/>
      <color indexed="10"/>
      <name val="Arial"/>
      <family val="2"/>
    </font>
    <font>
      <sz val="9"/>
      <color indexed="8"/>
      <name val="Arial"/>
      <family val="2"/>
    </font>
    <font>
      <b/>
      <sz val="9"/>
      <color indexed="12"/>
      <name val="Arial"/>
      <family val="2"/>
    </font>
    <font>
      <b/>
      <sz val="10"/>
      <color indexed="12"/>
      <name val="Arial"/>
      <family val="2"/>
    </font>
    <font>
      <b/>
      <sz val="10"/>
      <name val="Arial"/>
      <family val="2"/>
    </font>
    <font>
      <sz val="8"/>
      <color indexed="8"/>
      <name val="Arial"/>
      <family val="2"/>
    </font>
    <font>
      <sz val="8"/>
      <name val="Arial"/>
      <family val="2"/>
    </font>
    <font>
      <b/>
      <sz val="9"/>
      <name val="Arial"/>
      <family val="2"/>
    </font>
    <font>
      <sz val="8"/>
      <color indexed="10"/>
      <name val="Arial"/>
      <family val="2"/>
    </font>
    <font>
      <sz val="9"/>
      <name val="Arial"/>
      <family val="2"/>
    </font>
    <font>
      <b/>
      <sz val="9"/>
      <color indexed="8"/>
      <name val="Arial"/>
      <family val="2"/>
    </font>
    <font>
      <b/>
      <sz val="8"/>
      <name val="Arial"/>
      <family val="2"/>
    </font>
    <font>
      <sz val="12"/>
      <color indexed="10"/>
      <name val="Arial"/>
      <family val="2"/>
    </font>
    <font>
      <b/>
      <sz val="12"/>
      <color indexed="10"/>
      <name val="Arial"/>
      <family val="2"/>
    </font>
    <font>
      <sz val="10"/>
      <color indexed="12"/>
      <name val="Arial"/>
      <family val="2"/>
    </font>
    <font>
      <b/>
      <sz val="8"/>
      <color indexed="8"/>
      <name val="Arial"/>
      <family val="2"/>
    </font>
    <font>
      <sz val="10"/>
      <color indexed="8"/>
      <name val="MS Sans Serif"/>
      <family val="2"/>
    </font>
    <font>
      <b/>
      <sz val="8"/>
      <color indexed="12"/>
      <name val="Arial"/>
      <family val="2"/>
    </font>
    <font>
      <vertAlign val="superscript"/>
      <sz val="8"/>
      <name val="Arial"/>
      <family val="2"/>
    </font>
    <font>
      <sz val="8"/>
      <name val="Calibri"/>
      <family val="2"/>
    </font>
    <font>
      <sz val="9"/>
      <color indexed="81"/>
      <name val="Tahoma"/>
      <family val="2"/>
    </font>
    <font>
      <b/>
      <sz val="9"/>
      <color indexed="81"/>
      <name val="Tahoma"/>
      <family val="2"/>
    </font>
    <font>
      <vertAlign val="subscript"/>
      <sz val="8"/>
      <name val="Arial"/>
      <family val="2"/>
    </font>
    <font>
      <sz val="8"/>
      <color indexed="8"/>
      <name val="Calibri"/>
      <family val="2"/>
    </font>
    <font>
      <b/>
      <sz val="11"/>
      <color indexed="17"/>
      <name val="Arial"/>
      <family val="2"/>
    </font>
    <font>
      <b/>
      <vertAlign val="superscript"/>
      <sz val="8"/>
      <name val="Arial"/>
      <family val="2"/>
    </font>
    <font>
      <sz val="10"/>
      <color indexed="8"/>
      <name val="MS Sans Serif"/>
      <family val="2"/>
    </font>
    <font>
      <b/>
      <sz val="11"/>
      <color theme="1"/>
      <name val="Calibri"/>
      <family val="2"/>
      <scheme val="minor"/>
    </font>
    <font>
      <sz val="8"/>
      <color rgb="FFFF0000"/>
      <name val="Arial"/>
      <family val="2"/>
    </font>
    <font>
      <sz val="8"/>
      <color rgb="FF00B050"/>
      <name val="Arial"/>
      <family val="2"/>
    </font>
    <font>
      <sz val="10"/>
      <color indexed="8"/>
      <name val="Calibri"/>
      <family val="2"/>
      <scheme val="minor"/>
    </font>
    <font>
      <b/>
      <sz val="10"/>
      <color indexed="8"/>
      <name val="Calibri"/>
      <family val="2"/>
      <scheme val="minor"/>
    </font>
    <font>
      <sz val="10"/>
      <color rgb="FFFF0000"/>
      <name val="Calibri"/>
      <family val="2"/>
      <scheme val="minor"/>
    </font>
    <font>
      <sz val="8"/>
      <color theme="1"/>
      <name val="Arial"/>
      <family val="2"/>
    </font>
    <font>
      <sz val="11"/>
      <color theme="1"/>
      <name val="Arial Black"/>
      <family val="2"/>
    </font>
    <font>
      <sz val="10"/>
      <color rgb="FFFF0000"/>
      <name val="MS Sans Serif"/>
      <family val="2"/>
    </font>
    <font>
      <sz val="10"/>
      <color rgb="FF00B050"/>
      <name val="MS Sans Serif"/>
      <family val="2"/>
    </font>
    <font>
      <b/>
      <sz val="12"/>
      <color indexed="8"/>
      <name val="Calibri"/>
      <family val="2"/>
      <scheme val="minor"/>
    </font>
    <font>
      <b/>
      <sz val="8"/>
      <color rgb="FFFF0000"/>
      <name val="Arial"/>
      <family val="2"/>
    </font>
    <font>
      <b/>
      <i/>
      <sz val="10"/>
      <color indexed="8"/>
      <name val="Calibri"/>
      <family val="2"/>
      <scheme val="minor"/>
    </font>
    <font>
      <b/>
      <sz val="8"/>
      <color rgb="FFFF0000"/>
      <name val="Calibri"/>
      <family val="2"/>
      <scheme val="minor"/>
    </font>
    <font>
      <sz val="10"/>
      <name val="Calibri"/>
      <family val="2"/>
      <scheme val="minor"/>
    </font>
    <font>
      <sz val="12"/>
      <color rgb="FFFF0000"/>
      <name val="Calibri"/>
      <family val="2"/>
      <scheme val="minor"/>
    </font>
    <font>
      <b/>
      <sz val="9"/>
      <color indexed="8"/>
      <name val="Calibri"/>
      <family val="2"/>
      <scheme val="minor"/>
    </font>
    <font>
      <b/>
      <sz val="10"/>
      <name val="Calibri"/>
      <family val="2"/>
      <scheme val="minor"/>
    </font>
    <font>
      <b/>
      <sz val="9"/>
      <color rgb="FFFF0000"/>
      <name val="Calibri"/>
      <family val="2"/>
      <scheme val="minor"/>
    </font>
    <font>
      <b/>
      <sz val="10"/>
      <color rgb="FFFF0000"/>
      <name val="Calibri"/>
      <family val="2"/>
      <scheme val="minor"/>
    </font>
    <font>
      <sz val="10"/>
      <color indexed="10"/>
      <name val="Calibri"/>
      <family val="2"/>
    </font>
    <font>
      <b/>
      <sz val="10"/>
      <color indexed="10"/>
      <name val="Calibri"/>
      <family val="2"/>
    </font>
    <font>
      <sz val="10"/>
      <color indexed="8"/>
      <name val="Calibri"/>
      <family val="2"/>
    </font>
    <font>
      <b/>
      <sz val="10"/>
      <color indexed="8"/>
      <name val="Calibri"/>
      <family val="2"/>
    </font>
    <font>
      <i/>
      <sz val="10"/>
      <color indexed="8"/>
      <name val="Calibri"/>
      <family val="2"/>
    </font>
    <font>
      <sz val="11"/>
      <name val="Calibri"/>
      <family val="2"/>
      <scheme val="minor"/>
    </font>
    <font>
      <b/>
      <sz val="8"/>
      <color theme="0" tint="-4.9989318521683403E-2"/>
      <name val="Arial"/>
      <family val="2"/>
    </font>
    <font>
      <sz val="8"/>
      <name val="Arial Narrow"/>
      <family val="2"/>
    </font>
    <font>
      <sz val="12"/>
      <color rgb="FF222222"/>
      <name val="Arial"/>
      <family val="2"/>
    </font>
    <font>
      <sz val="12"/>
      <color rgb="FF000000"/>
      <name val="Arial"/>
      <family val="2"/>
    </font>
    <font>
      <sz val="12"/>
      <color rgb="FFFF0000"/>
      <name val="Arial"/>
      <family val="2"/>
    </font>
    <font>
      <sz val="12"/>
      <color rgb="FF00B050"/>
      <name val="Arial"/>
      <family val="2"/>
    </font>
    <font>
      <sz val="12"/>
      <color indexed="8"/>
      <name val="Arial"/>
      <family val="2"/>
    </font>
    <font>
      <sz val="12"/>
      <name val="Arial"/>
      <family val="2"/>
    </font>
    <font>
      <sz val="10"/>
      <color rgb="FFFF0000"/>
      <name val="Arial"/>
      <family val="2"/>
    </font>
    <font>
      <b/>
      <sz val="9"/>
      <color rgb="FFFF0000"/>
      <name val="Arial"/>
      <family val="2"/>
    </font>
    <font>
      <b/>
      <sz val="12"/>
      <name val="Arial"/>
      <family val="2"/>
    </font>
    <font>
      <b/>
      <sz val="8"/>
      <color theme="1"/>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1"/>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tint="-0.249977111117893"/>
        <bgColor indexed="64"/>
      </patternFill>
    </fill>
  </fills>
  <borders count="15">
    <border>
      <left/>
      <right/>
      <top/>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s>
  <cellStyleXfs count="5">
    <xf numFmtId="0" fontId="0" fillId="0" borderId="0"/>
    <xf numFmtId="164" fontId="2" fillId="0" borderId="0" applyFont="0" applyFill="0" applyBorder="0" applyAlignment="0" applyProtection="0"/>
    <xf numFmtId="0" fontId="24" fillId="0" borderId="0"/>
    <xf numFmtId="164" fontId="2" fillId="0" borderId="0" applyFont="0" applyFill="0" applyBorder="0" applyAlignment="0" applyProtection="0"/>
    <xf numFmtId="164" fontId="2" fillId="0" borderId="0" applyFont="0" applyFill="0" applyBorder="0" applyAlignment="0" applyProtection="0"/>
  </cellStyleXfs>
  <cellXfs count="252">
    <xf numFmtId="0" fontId="0" fillId="0" borderId="0" xfId="0"/>
    <xf numFmtId="0" fontId="4" fillId="0" borderId="0" xfId="0" applyFont="1" applyAlignment="1">
      <alignment horizontal="center"/>
    </xf>
    <xf numFmtId="0" fontId="4" fillId="0" borderId="0" xfId="0" applyFont="1"/>
    <xf numFmtId="0" fontId="6" fillId="0" borderId="1" xfId="0" applyFont="1" applyBorder="1" applyAlignment="1">
      <alignment horizontal="center"/>
    </xf>
    <xf numFmtId="0" fontId="6" fillId="0" borderId="1" xfId="0" applyFont="1" applyBorder="1"/>
    <xf numFmtId="0" fontId="10" fillId="0" borderId="0" xfId="0" applyFont="1" applyAlignment="1">
      <alignment horizontal="left"/>
    </xf>
    <xf numFmtId="0" fontId="11" fillId="0" borderId="0" xfId="0" applyFont="1"/>
    <xf numFmtId="0" fontId="9"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2" fillId="0" borderId="0" xfId="0" applyFont="1"/>
    <xf numFmtId="0" fontId="14" fillId="0" borderId="0" xfId="0" applyFont="1" applyAlignment="1">
      <alignment horizontal="left"/>
    </xf>
    <xf numFmtId="0" fontId="14" fillId="0" borderId="0" xfId="0" applyFont="1"/>
    <xf numFmtId="1" fontId="14" fillId="0" borderId="0" xfId="0" applyNumberFormat="1" applyFont="1"/>
    <xf numFmtId="0" fontId="14" fillId="0" borderId="0" xfId="0" applyFont="1" applyAlignment="1">
      <alignment horizontal="left" wrapText="1"/>
    </xf>
    <xf numFmtId="0" fontId="14" fillId="0" borderId="0" xfId="0" applyFont="1" applyAlignment="1">
      <alignment wrapText="1"/>
    </xf>
    <xf numFmtId="0" fontId="17" fillId="0" borderId="0" xfId="0" applyFont="1"/>
    <xf numFmtId="0" fontId="13" fillId="0" borderId="0" xfId="0" applyFont="1"/>
    <xf numFmtId="0" fontId="15" fillId="0" borderId="0" xfId="0" applyFont="1" applyAlignment="1">
      <alignment horizontal="center"/>
    </xf>
    <xf numFmtId="0" fontId="18" fillId="0" borderId="0" xfId="0" applyFont="1"/>
    <xf numFmtId="0" fontId="9" fillId="0" borderId="0" xfId="0" applyFont="1"/>
    <xf numFmtId="0" fontId="13" fillId="0" borderId="0" xfId="0" applyFont="1" applyAlignment="1">
      <alignment horizontal="center" wrapText="1"/>
    </xf>
    <xf numFmtId="0" fontId="10" fillId="0" borderId="0" xfId="0" applyFont="1" applyAlignment="1">
      <alignment horizontal="center"/>
    </xf>
    <xf numFmtId="0" fontId="16" fillId="0" borderId="0" xfId="0" applyFont="1"/>
    <xf numFmtId="0" fontId="14" fillId="0" borderId="0" xfId="0" applyFont="1" applyAlignment="1">
      <alignment horizontal="center" wrapText="1"/>
    </xf>
    <xf numFmtId="3" fontId="14" fillId="0" borderId="0" xfId="0" applyNumberFormat="1" applyFont="1" applyAlignment="1">
      <alignment horizontal="center"/>
    </xf>
    <xf numFmtId="164" fontId="13" fillId="0" borderId="0" xfId="3" applyFont="1"/>
    <xf numFmtId="164" fontId="4" fillId="0" borderId="0" xfId="3" applyFont="1"/>
    <xf numFmtId="4" fontId="14" fillId="0" borderId="0" xfId="0" applyNumberFormat="1" applyFont="1" applyAlignment="1">
      <alignment horizontal="right"/>
    </xf>
    <xf numFmtId="164" fontId="14" fillId="0" borderId="0" xfId="3" applyFont="1"/>
    <xf numFmtId="4" fontId="16" fillId="0" borderId="0" xfId="0" applyNumberFormat="1" applyFont="1" applyAlignment="1">
      <alignment horizontal="right"/>
    </xf>
    <xf numFmtId="4" fontId="13" fillId="0" borderId="0" xfId="0" applyNumberFormat="1" applyFont="1" applyAlignment="1">
      <alignment horizontal="right"/>
    </xf>
    <xf numFmtId="0" fontId="11" fillId="0" borderId="0" xfId="0" applyFont="1" applyAlignment="1">
      <alignment horizontal="center"/>
    </xf>
    <xf numFmtId="1" fontId="14" fillId="0" borderId="0" xfId="0" applyNumberFormat="1" applyFont="1" applyAlignment="1">
      <alignment horizontal="center"/>
    </xf>
    <xf numFmtId="0" fontId="13" fillId="0" borderId="0" xfId="0" applyFont="1" applyAlignment="1">
      <alignment horizontal="center" vertical="justify"/>
    </xf>
    <xf numFmtId="0" fontId="15" fillId="0" borderId="0" xfId="0" applyFont="1" applyAlignment="1">
      <alignment horizontal="left"/>
    </xf>
    <xf numFmtId="1" fontId="14" fillId="0" borderId="0" xfId="0" applyNumberFormat="1" applyFont="1" applyAlignment="1">
      <alignment wrapText="1"/>
    </xf>
    <xf numFmtId="0" fontId="7" fillId="0" borderId="0" xfId="0" applyFont="1"/>
    <xf numFmtId="0" fontId="20" fillId="0" borderId="0" xfId="0" applyFont="1"/>
    <xf numFmtId="0" fontId="4" fillId="0" borderId="0" xfId="0" applyFont="1" applyAlignment="1">
      <alignment horizontal="right"/>
    </xf>
    <xf numFmtId="0" fontId="21" fillId="0" borderId="0" xfId="0" applyFont="1"/>
    <xf numFmtId="0" fontId="11" fillId="0" borderId="0" xfId="0" applyFont="1" applyAlignment="1">
      <alignment horizontal="right"/>
    </xf>
    <xf numFmtId="0" fontId="22" fillId="0" borderId="0" xfId="0" applyFont="1"/>
    <xf numFmtId="4" fontId="23" fillId="0" borderId="0" xfId="0" applyNumberFormat="1" applyFont="1" applyAlignment="1">
      <alignment horizontal="right"/>
    </xf>
    <xf numFmtId="0" fontId="13" fillId="0" borderId="0" xfId="0" applyFont="1" applyAlignment="1">
      <alignment horizontal="right"/>
    </xf>
    <xf numFmtId="0" fontId="14" fillId="0" borderId="0" xfId="0" applyFont="1" applyAlignment="1">
      <alignment horizontal="right"/>
    </xf>
    <xf numFmtId="14" fontId="9" fillId="0" borderId="2" xfId="0" applyNumberFormat="1" applyFont="1" applyBorder="1" applyAlignment="1">
      <alignment horizontal="center"/>
    </xf>
    <xf numFmtId="0" fontId="14" fillId="0" borderId="0" xfId="0" applyFont="1" applyAlignment="1">
      <alignment horizontal="left" vertical="center" wrapText="1"/>
    </xf>
    <xf numFmtId="0" fontId="6" fillId="0" borderId="0" xfId="0" applyFont="1" applyAlignment="1">
      <alignment horizontal="center"/>
    </xf>
    <xf numFmtId="0" fontId="36" fillId="0" borderId="0" xfId="0" applyFont="1" applyAlignment="1">
      <alignment horizontal="center"/>
    </xf>
    <xf numFmtId="0" fontId="36" fillId="0" borderId="0" xfId="0" applyFont="1"/>
    <xf numFmtId="2" fontId="10" fillId="0" borderId="0" xfId="0" applyNumberFormat="1" applyFont="1"/>
    <xf numFmtId="4" fontId="19" fillId="0" borderId="0" xfId="0" applyNumberFormat="1" applyFont="1" applyAlignment="1">
      <alignment horizontal="center"/>
    </xf>
    <xf numFmtId="164" fontId="14" fillId="0" borderId="0" xfId="3" applyFont="1" applyFill="1" applyAlignment="1">
      <alignment horizontal="center"/>
    </xf>
    <xf numFmtId="164" fontId="19" fillId="0" borderId="0" xfId="3" applyFont="1"/>
    <xf numFmtId="164" fontId="13" fillId="0" borderId="0" xfId="3" applyFont="1" applyBorder="1"/>
    <xf numFmtId="164" fontId="23" fillId="0" borderId="0" xfId="3" applyFont="1" applyFill="1" applyBorder="1" applyAlignment="1"/>
    <xf numFmtId="164" fontId="25" fillId="0" borderId="0" xfId="3" applyFont="1" applyFill="1"/>
    <xf numFmtId="0" fontId="15" fillId="2" borderId="0" xfId="0" applyFont="1" applyFill="1" applyAlignment="1">
      <alignment horizontal="center"/>
    </xf>
    <xf numFmtId="0" fontId="15" fillId="2" borderId="0" xfId="0" applyFont="1" applyFill="1" applyAlignment="1">
      <alignment horizontal="left"/>
    </xf>
    <xf numFmtId="4" fontId="19" fillId="2" borderId="0" xfId="0" applyNumberFormat="1" applyFont="1" applyFill="1" applyAlignment="1">
      <alignment horizontal="center"/>
    </xf>
    <xf numFmtId="0" fontId="14" fillId="0" borderId="0" xfId="0" applyFont="1" applyAlignment="1">
      <alignment horizontal="center" vertical="top"/>
    </xf>
    <xf numFmtId="0" fontId="13" fillId="0" borderId="0" xfId="0" applyFont="1" applyAlignment="1">
      <alignment horizontal="center" vertical="top"/>
    </xf>
    <xf numFmtId="0" fontId="36" fillId="0" borderId="0" xfId="0" applyFont="1" applyAlignment="1">
      <alignment horizontal="left" wrapText="1"/>
    </xf>
    <xf numFmtId="0" fontId="15" fillId="3" borderId="0" xfId="0" applyFont="1" applyFill="1" applyAlignment="1">
      <alignment horizontal="center"/>
    </xf>
    <xf numFmtId="0" fontId="15" fillId="3" borderId="0" xfId="0" applyFont="1" applyFill="1" applyAlignment="1">
      <alignment horizontal="left"/>
    </xf>
    <xf numFmtId="0" fontId="12" fillId="3" borderId="0" xfId="0" applyFont="1" applyFill="1"/>
    <xf numFmtId="4" fontId="17" fillId="3" borderId="0" xfId="0" applyNumberFormat="1" applyFont="1" applyFill="1" applyAlignment="1">
      <alignment horizontal="right"/>
    </xf>
    <xf numFmtId="4" fontId="15" fillId="3" borderId="0" xfId="0" applyNumberFormat="1" applyFont="1" applyFill="1" applyAlignment="1">
      <alignment horizontal="right"/>
    </xf>
    <xf numFmtId="164" fontId="4" fillId="0" borderId="0" xfId="3" applyFont="1" applyAlignment="1">
      <alignment horizontal="center"/>
    </xf>
    <xf numFmtId="164" fontId="6" fillId="0" borderId="0" xfId="3" applyFont="1" applyAlignment="1">
      <alignment horizontal="center"/>
    </xf>
    <xf numFmtId="164" fontId="4" fillId="0" borderId="0" xfId="3" applyFont="1" applyFill="1" applyAlignment="1">
      <alignment horizontal="center"/>
    </xf>
    <xf numFmtId="0" fontId="15" fillId="0" borderId="0" xfId="0" applyFont="1"/>
    <xf numFmtId="165" fontId="36" fillId="0" borderId="0" xfId="0" applyNumberFormat="1" applyFont="1" applyAlignment="1">
      <alignment horizontal="center"/>
    </xf>
    <xf numFmtId="1" fontId="14" fillId="0" borderId="0" xfId="0" applyNumberFormat="1" applyFont="1" applyAlignment="1">
      <alignment horizontal="center" wrapText="1"/>
    </xf>
    <xf numFmtId="164" fontId="19" fillId="0" borderId="0" xfId="3" applyFont="1" applyFill="1" applyAlignment="1">
      <alignment horizontal="center"/>
    </xf>
    <xf numFmtId="0" fontId="5" fillId="0" borderId="0" xfId="0" applyFont="1" applyAlignment="1">
      <alignment horizontal="center"/>
    </xf>
    <xf numFmtId="0" fontId="14" fillId="0" borderId="0" xfId="0" applyFont="1" applyAlignment="1">
      <alignment horizontal="center" vertical="justify"/>
    </xf>
    <xf numFmtId="43" fontId="14" fillId="0" borderId="0" xfId="0" applyNumberFormat="1" applyFont="1" applyAlignment="1">
      <alignment horizontal="center"/>
    </xf>
    <xf numFmtId="43" fontId="13" fillId="0" borderId="0" xfId="0" applyNumberFormat="1" applyFont="1" applyAlignment="1">
      <alignment horizontal="center"/>
    </xf>
    <xf numFmtId="1" fontId="14" fillId="0" borderId="0" xfId="0" applyNumberFormat="1" applyFont="1" applyAlignment="1">
      <alignment vertical="center" wrapText="1"/>
    </xf>
    <xf numFmtId="0" fontId="19" fillId="0" borderId="0" xfId="0" applyFont="1" applyAlignment="1">
      <alignment horizontal="center"/>
    </xf>
    <xf numFmtId="164" fontId="13" fillId="0" borderId="0" xfId="3" applyFont="1" applyFill="1" applyAlignment="1">
      <alignment horizontal="center"/>
    </xf>
    <xf numFmtId="164" fontId="37" fillId="0" borderId="0" xfId="3" applyFont="1"/>
    <xf numFmtId="1" fontId="36" fillId="0" borderId="0" xfId="0" applyNumberFormat="1" applyFont="1" applyAlignment="1">
      <alignment vertical="center" wrapText="1"/>
    </xf>
    <xf numFmtId="0" fontId="10" fillId="0" borderId="3" xfId="0" applyFont="1" applyBorder="1" applyAlignment="1">
      <alignment horizontal="center"/>
    </xf>
    <xf numFmtId="4" fontId="19" fillId="3" borderId="0" xfId="0" applyNumberFormat="1" applyFont="1" applyFill="1" applyAlignment="1">
      <alignment horizontal="center"/>
    </xf>
    <xf numFmtId="0" fontId="10" fillId="5" borderId="3" xfId="0" applyFont="1" applyFill="1" applyBorder="1" applyAlignment="1">
      <alignment horizontal="center"/>
    </xf>
    <xf numFmtId="1" fontId="36" fillId="0" borderId="0" xfId="0" applyNumberFormat="1" applyFont="1" applyAlignment="1">
      <alignment horizontal="center"/>
    </xf>
    <xf numFmtId="0" fontId="38" fillId="0" borderId="0" xfId="0" applyFont="1" applyAlignment="1">
      <alignment horizontal="center"/>
    </xf>
    <xf numFmtId="0" fontId="38" fillId="0" borderId="0" xfId="0" applyFont="1"/>
    <xf numFmtId="0" fontId="39" fillId="0" borderId="0" xfId="0" applyFont="1" applyAlignment="1">
      <alignment horizontal="center"/>
    </xf>
    <xf numFmtId="0" fontId="39" fillId="0" borderId="0" xfId="0" applyFont="1"/>
    <xf numFmtId="0" fontId="40" fillId="0" borderId="0" xfId="0" applyFont="1" applyAlignment="1">
      <alignment horizontal="center"/>
    </xf>
    <xf numFmtId="1" fontId="14" fillId="0" borderId="0" xfId="0" applyNumberFormat="1" applyFont="1" applyAlignment="1">
      <alignment horizontal="left" wrapText="1"/>
    </xf>
    <xf numFmtId="0" fontId="14" fillId="0" borderId="0" xfId="0" applyFont="1" applyAlignment="1">
      <alignment horizontal="left" vertical="top" wrapText="1"/>
    </xf>
    <xf numFmtId="0" fontId="14" fillId="0" borderId="0" xfId="0" applyFont="1" applyAlignment="1">
      <alignment horizontal="left" vertical="center"/>
    </xf>
    <xf numFmtId="1" fontId="41" fillId="0" borderId="0" xfId="0" applyNumberFormat="1" applyFont="1" applyAlignment="1">
      <alignment vertical="center" wrapText="1"/>
    </xf>
    <xf numFmtId="0" fontId="13" fillId="0" borderId="0" xfId="0" applyFont="1" applyAlignment="1">
      <alignment horizontal="left"/>
    </xf>
    <xf numFmtId="0" fontId="14" fillId="0" borderId="0" xfId="0" applyFont="1" applyAlignment="1">
      <alignment vertical="center" wrapText="1"/>
    </xf>
    <xf numFmtId="1" fontId="14" fillId="0" borderId="0" xfId="0" applyNumberFormat="1" applyFont="1" applyAlignment="1">
      <alignment horizontal="left" vertical="center" wrapText="1"/>
    </xf>
    <xf numFmtId="0" fontId="14" fillId="5" borderId="0" xfId="0" applyFont="1" applyFill="1" applyAlignment="1">
      <alignment horizontal="center"/>
    </xf>
    <xf numFmtId="0" fontId="19" fillId="0" borderId="0" xfId="0" applyFont="1" applyAlignment="1">
      <alignment horizontal="center" vertical="top"/>
    </xf>
    <xf numFmtId="0" fontId="14" fillId="8" borderId="0" xfId="0" applyFont="1" applyFill="1" applyAlignment="1">
      <alignment horizontal="center"/>
    </xf>
    <xf numFmtId="0" fontId="14" fillId="4" borderId="0" xfId="0" applyFont="1" applyFill="1" applyAlignment="1">
      <alignment horizontal="center"/>
    </xf>
    <xf numFmtId="0" fontId="14" fillId="9" borderId="0" xfId="0" applyFont="1" applyFill="1" applyAlignment="1">
      <alignment horizontal="center"/>
    </xf>
    <xf numFmtId="0" fontId="14" fillId="3" borderId="0" xfId="0" applyFont="1" applyFill="1" applyAlignment="1">
      <alignment horizontal="center"/>
    </xf>
    <xf numFmtId="0" fontId="42" fillId="10" borderId="4" xfId="0" applyFont="1" applyFill="1" applyBorder="1"/>
    <xf numFmtId="0" fontId="0" fillId="10" borderId="5" xfId="0" applyFill="1" applyBorder="1"/>
    <xf numFmtId="0" fontId="0" fillId="0" borderId="6" xfId="0" applyBorder="1"/>
    <xf numFmtId="166" fontId="0" fillId="0" borderId="6" xfId="3" applyNumberFormat="1" applyFont="1" applyBorder="1"/>
    <xf numFmtId="0" fontId="0" fillId="0" borderId="3" xfId="0" applyBorder="1"/>
    <xf numFmtId="166" fontId="0" fillId="0" borderId="3" xfId="3" applyNumberFormat="1" applyFont="1" applyBorder="1"/>
    <xf numFmtId="166" fontId="35" fillId="0" borderId="3" xfId="3" applyNumberFormat="1" applyFont="1" applyBorder="1"/>
    <xf numFmtId="166" fontId="43" fillId="0" borderId="3" xfId="3" applyNumberFormat="1" applyFont="1" applyBorder="1"/>
    <xf numFmtId="166" fontId="44" fillId="0" borderId="3" xfId="3" applyNumberFormat="1" applyFont="1" applyBorder="1"/>
    <xf numFmtId="166" fontId="34" fillId="5" borderId="3" xfId="3" applyNumberFormat="1" applyFont="1" applyFill="1" applyBorder="1"/>
    <xf numFmtId="0" fontId="19" fillId="0" borderId="0" xfId="0" applyFont="1" applyAlignment="1">
      <alignment horizontal="center" vertical="center"/>
    </xf>
    <xf numFmtId="0" fontId="4" fillId="0" borderId="7" xfId="0" applyFont="1" applyBorder="1" applyAlignment="1">
      <alignment horizontal="center"/>
    </xf>
    <xf numFmtId="0" fontId="4" fillId="0" borderId="8" xfId="0" applyFont="1" applyBorder="1"/>
    <xf numFmtId="0" fontId="4" fillId="0" borderId="8" xfId="0" applyFont="1" applyBorder="1" applyAlignment="1">
      <alignment horizontal="center"/>
    </xf>
    <xf numFmtId="0" fontId="4" fillId="0" borderId="9" xfId="0" applyFont="1" applyBorder="1" applyAlignment="1">
      <alignment horizontal="center"/>
    </xf>
    <xf numFmtId="2" fontId="13" fillId="0" borderId="0" xfId="0" applyNumberFormat="1" applyFont="1"/>
    <xf numFmtId="0" fontId="4" fillId="0" borderId="10" xfId="0" applyFont="1" applyBorder="1" applyAlignment="1">
      <alignment horizontal="center"/>
    </xf>
    <xf numFmtId="0" fontId="4" fillId="0" borderId="11" xfId="0" applyFont="1" applyBorder="1"/>
    <xf numFmtId="0" fontId="4" fillId="0" borderId="11" xfId="0" applyFont="1" applyBorder="1" applyAlignment="1">
      <alignment horizontal="center"/>
    </xf>
    <xf numFmtId="0" fontId="14" fillId="0" borderId="0" xfId="0" applyFont="1" applyAlignment="1">
      <alignment horizontal="center" vertical="center"/>
    </xf>
    <xf numFmtId="1" fontId="14" fillId="0" borderId="0" xfId="0" applyNumberFormat="1" applyFont="1" applyAlignment="1">
      <alignment horizontal="center" vertical="center"/>
    </xf>
    <xf numFmtId="0" fontId="14" fillId="0" borderId="0" xfId="0" applyFont="1" applyAlignment="1">
      <alignment vertical="center"/>
    </xf>
    <xf numFmtId="164" fontId="46" fillId="0" borderId="0" xfId="3" applyFont="1"/>
    <xf numFmtId="0" fontId="38" fillId="0" borderId="0" xfId="0" applyFont="1" applyAlignment="1">
      <alignment horizontal="center" vertical="center"/>
    </xf>
    <xf numFmtId="17" fontId="38" fillId="0" borderId="0" xfId="0" applyNumberFormat="1" applyFont="1" applyAlignment="1">
      <alignment horizontal="center"/>
    </xf>
    <xf numFmtId="0" fontId="47" fillId="11" borderId="2" xfId="0" applyFont="1" applyFill="1" applyBorder="1"/>
    <xf numFmtId="0" fontId="47" fillId="11" borderId="2" xfId="0" applyFont="1" applyFill="1" applyBorder="1" applyAlignment="1">
      <alignment horizontal="center" vertical="center"/>
    </xf>
    <xf numFmtId="0" fontId="47" fillId="11" borderId="2" xfId="0" applyFont="1" applyFill="1" applyBorder="1" applyAlignment="1">
      <alignment horizontal="center"/>
    </xf>
    <xf numFmtId="2" fontId="38" fillId="0" borderId="0" xfId="0" applyNumberFormat="1" applyFont="1" applyAlignment="1">
      <alignment horizontal="center" vertical="center"/>
    </xf>
    <xf numFmtId="164" fontId="38" fillId="0" borderId="0" xfId="4" applyFont="1" applyAlignment="1">
      <alignment horizontal="center"/>
    </xf>
    <xf numFmtId="43" fontId="38" fillId="0" borderId="0" xfId="0" applyNumberFormat="1" applyFont="1"/>
    <xf numFmtId="165" fontId="38" fillId="0" borderId="0" xfId="0" applyNumberFormat="1" applyFont="1" applyAlignment="1">
      <alignment horizontal="center" vertical="center"/>
    </xf>
    <xf numFmtId="0" fontId="48" fillId="0" borderId="0" xfId="0" applyFont="1" applyAlignment="1">
      <alignment horizontal="center"/>
    </xf>
    <xf numFmtId="164" fontId="49" fillId="0" borderId="0" xfId="3" applyFont="1"/>
    <xf numFmtId="0" fontId="49" fillId="0" borderId="0" xfId="0" applyFont="1"/>
    <xf numFmtId="164" fontId="38" fillId="0" borderId="0" xfId="3" applyFont="1"/>
    <xf numFmtId="0" fontId="38" fillId="5" borderId="2" xfId="0" applyFont="1" applyFill="1" applyBorder="1"/>
    <xf numFmtId="2" fontId="39" fillId="5" borderId="2" xfId="0" applyNumberFormat="1" applyFont="1" applyFill="1" applyBorder="1" applyAlignment="1">
      <alignment horizontal="center" vertical="center"/>
    </xf>
    <xf numFmtId="0" fontId="50" fillId="5" borderId="2" xfId="0" applyFont="1" applyFill="1" applyBorder="1" applyAlignment="1">
      <alignment horizontal="center"/>
    </xf>
    <xf numFmtId="0" fontId="38" fillId="5" borderId="2" xfId="0" applyFont="1" applyFill="1" applyBorder="1" applyAlignment="1">
      <alignment horizontal="center"/>
    </xf>
    <xf numFmtId="164" fontId="39" fillId="5" borderId="2" xfId="4" applyFont="1" applyFill="1" applyBorder="1" applyAlignment="1">
      <alignment horizontal="center"/>
    </xf>
    <xf numFmtId="43" fontId="51" fillId="6" borderId="0" xfId="0" applyNumberFormat="1" applyFont="1" applyFill="1" applyAlignment="1">
      <alignment horizontal="center"/>
    </xf>
    <xf numFmtId="43" fontId="39" fillId="6" borderId="0" xfId="0" applyNumberFormat="1" applyFont="1" applyFill="1"/>
    <xf numFmtId="0" fontId="52" fillId="9" borderId="3" xfId="0" applyFont="1" applyFill="1" applyBorder="1" applyAlignment="1">
      <alignment horizontal="center"/>
    </xf>
    <xf numFmtId="0" fontId="38" fillId="0" borderId="3" xfId="0" applyFont="1" applyBorder="1"/>
    <xf numFmtId="0" fontId="49" fillId="0" borderId="3" xfId="0" applyFont="1" applyBorder="1" applyAlignment="1">
      <alignment horizontal="center" vertical="center"/>
    </xf>
    <xf numFmtId="164" fontId="38" fillId="0" borderId="3" xfId="4" applyFont="1" applyBorder="1"/>
    <xf numFmtId="0" fontId="38" fillId="0" borderId="3" xfId="0" applyFont="1" applyBorder="1" applyAlignment="1">
      <alignment horizontal="center"/>
    </xf>
    <xf numFmtId="43" fontId="38" fillId="0" borderId="3" xfId="0" applyNumberFormat="1" applyFont="1" applyBorder="1" applyAlignment="1">
      <alignment horizontal="center"/>
    </xf>
    <xf numFmtId="43" fontId="53" fillId="6" borderId="0" xfId="0" applyNumberFormat="1" applyFont="1" applyFill="1" applyAlignment="1">
      <alignment horizontal="center"/>
    </xf>
    <xf numFmtId="0" fontId="39" fillId="4" borderId="2" xfId="0" applyFont="1" applyFill="1" applyBorder="1"/>
    <xf numFmtId="164" fontId="39" fillId="4" borderId="2" xfId="4" applyFont="1" applyFill="1" applyBorder="1" applyAlignment="1">
      <alignment horizontal="center"/>
    </xf>
    <xf numFmtId="164" fontId="38" fillId="0" borderId="3" xfId="4" applyFont="1" applyBorder="1" applyAlignment="1">
      <alignment horizontal="center"/>
    </xf>
    <xf numFmtId="0" fontId="40" fillId="0" borderId="0" xfId="0" applyFont="1" applyAlignment="1">
      <alignment horizontal="right"/>
    </xf>
    <xf numFmtId="167" fontId="54" fillId="0" borderId="0" xfId="0" applyNumberFormat="1" applyFont="1"/>
    <xf numFmtId="0" fontId="38" fillId="0" borderId="3" xfId="0" applyFont="1" applyBorder="1" applyAlignment="1">
      <alignment horizontal="center" vertical="center"/>
    </xf>
    <xf numFmtId="164" fontId="39" fillId="0" borderId="3" xfId="4" applyFont="1" applyBorder="1" applyAlignment="1">
      <alignment horizontal="center"/>
    </xf>
    <xf numFmtId="43" fontId="40" fillId="0" borderId="0" xfId="0" applyNumberFormat="1" applyFont="1"/>
    <xf numFmtId="168" fontId="38" fillId="0" borderId="0" xfId="0" applyNumberFormat="1" applyFont="1"/>
    <xf numFmtId="0" fontId="57" fillId="0" borderId="0" xfId="0" applyFont="1"/>
    <xf numFmtId="0" fontId="38" fillId="0" borderId="13" xfId="0" applyFont="1" applyBorder="1"/>
    <xf numFmtId="0" fontId="38" fillId="0" borderId="13" xfId="0" applyFont="1" applyBorder="1" applyAlignment="1">
      <alignment horizontal="center" vertical="center"/>
    </xf>
    <xf numFmtId="0" fontId="38" fillId="0" borderId="13" xfId="0" applyFont="1" applyBorder="1" applyAlignment="1">
      <alignment horizontal="center"/>
    </xf>
    <xf numFmtId="0" fontId="4" fillId="0" borderId="0" xfId="0" applyFont="1" applyAlignment="1">
      <alignment horizontal="center" vertical="center"/>
    </xf>
    <xf numFmtId="43" fontId="4" fillId="0" borderId="0" xfId="0" applyNumberFormat="1" applyFont="1"/>
    <xf numFmtId="164" fontId="4" fillId="0" borderId="0" xfId="4" applyFont="1" applyAlignment="1">
      <alignment horizontal="center"/>
    </xf>
    <xf numFmtId="0" fontId="35" fillId="0" borderId="0" xfId="0" applyFont="1"/>
    <xf numFmtId="4" fontId="35" fillId="0" borderId="0" xfId="0" applyNumberFormat="1" applyFont="1"/>
    <xf numFmtId="4" fontId="35" fillId="0" borderId="0" xfId="0" applyNumberFormat="1" applyFont="1" applyAlignment="1">
      <alignment horizontal="center"/>
    </xf>
    <xf numFmtId="4" fontId="60" fillId="0" borderId="0" xfId="0" applyNumberFormat="1" applyFont="1" applyAlignment="1">
      <alignment horizontal="center"/>
    </xf>
    <xf numFmtId="3" fontId="38" fillId="0" borderId="0" xfId="0" applyNumberFormat="1" applyFont="1" applyAlignment="1">
      <alignment horizontal="center"/>
    </xf>
    <xf numFmtId="4" fontId="38" fillId="0" borderId="0" xfId="0" applyNumberFormat="1" applyFont="1" applyAlignment="1">
      <alignment horizontal="center"/>
    </xf>
    <xf numFmtId="0" fontId="38" fillId="0" borderId="0" xfId="0" applyFont="1" applyAlignment="1">
      <alignment vertical="top" wrapText="1"/>
    </xf>
    <xf numFmtId="0" fontId="38" fillId="0" borderId="0" xfId="0" applyFont="1" applyAlignment="1">
      <alignment wrapText="1"/>
    </xf>
    <xf numFmtId="0" fontId="38" fillId="0" borderId="0" xfId="0" applyFont="1" applyAlignment="1">
      <alignment horizontal="center" wrapText="1"/>
    </xf>
    <xf numFmtId="3" fontId="38" fillId="0" borderId="0" xfId="0" applyNumberFormat="1" applyFont="1" applyAlignment="1">
      <alignment horizontal="center" wrapText="1"/>
    </xf>
    <xf numFmtId="4" fontId="38" fillId="0" borderId="0" xfId="0" applyNumberFormat="1" applyFont="1" applyAlignment="1">
      <alignment horizontal="center" wrapText="1"/>
    </xf>
    <xf numFmtId="0" fontId="38" fillId="0" borderId="0" xfId="0" applyFont="1" applyAlignment="1">
      <alignment vertical="top"/>
    </xf>
    <xf numFmtId="169" fontId="38" fillId="0" borderId="0" xfId="0" applyNumberFormat="1" applyFont="1" applyAlignment="1">
      <alignment horizontal="center"/>
    </xf>
    <xf numFmtId="0" fontId="35" fillId="5" borderId="0" xfId="0" applyFont="1" applyFill="1"/>
    <xf numFmtId="4" fontId="35" fillId="5" borderId="0" xfId="0" applyNumberFormat="1" applyFont="1" applyFill="1"/>
    <xf numFmtId="0" fontId="38" fillId="0" borderId="0" xfId="0" applyFont="1" applyAlignment="1">
      <alignment vertical="center" wrapText="1"/>
    </xf>
    <xf numFmtId="4" fontId="35" fillId="0" borderId="0" xfId="0" applyNumberFormat="1" applyFont="1" applyAlignment="1">
      <alignment horizontal="center" vertical="center"/>
    </xf>
    <xf numFmtId="4" fontId="38" fillId="0" borderId="0" xfId="0" applyNumberFormat="1" applyFont="1" applyAlignment="1">
      <alignment horizontal="center" vertical="center"/>
    </xf>
    <xf numFmtId="0" fontId="38" fillId="12" borderId="0" xfId="0" applyFont="1" applyFill="1" applyAlignment="1">
      <alignment wrapText="1"/>
    </xf>
    <xf numFmtId="3" fontId="38" fillId="12" borderId="0" xfId="0" applyNumberFormat="1" applyFont="1" applyFill="1" applyAlignment="1">
      <alignment horizontal="center"/>
    </xf>
    <xf numFmtId="4" fontId="38" fillId="12" borderId="0" xfId="0" applyNumberFormat="1" applyFont="1" applyFill="1" applyAlignment="1">
      <alignment horizontal="center"/>
    </xf>
    <xf numFmtId="0" fontId="38" fillId="0" borderId="0" xfId="0" applyFont="1" applyAlignment="1">
      <alignment vertical="center"/>
    </xf>
    <xf numFmtId="4" fontId="35" fillId="5" borderId="0" xfId="0" applyNumberFormat="1" applyFont="1" applyFill="1" applyAlignment="1">
      <alignment horizontal="center" vertical="center"/>
    </xf>
    <xf numFmtId="0" fontId="18" fillId="5" borderId="3" xfId="0" applyFont="1" applyFill="1" applyBorder="1"/>
    <xf numFmtId="0" fontId="15" fillId="0" borderId="3" xfId="0" applyFont="1" applyBorder="1" applyAlignment="1">
      <alignment horizontal="center"/>
    </xf>
    <xf numFmtId="0" fontId="18" fillId="5" borderId="0" xfId="0" applyFont="1" applyFill="1" applyAlignment="1">
      <alignment horizontal="center"/>
    </xf>
    <xf numFmtId="0" fontId="4" fillId="5" borderId="0" xfId="0" applyFont="1" applyFill="1" applyAlignment="1">
      <alignment horizontal="center" vertical="center"/>
    </xf>
    <xf numFmtId="164" fontId="61" fillId="7" borderId="0" xfId="3" applyFont="1" applyFill="1"/>
    <xf numFmtId="16" fontId="38" fillId="13" borderId="0" xfId="0" applyNumberFormat="1" applyFont="1" applyFill="1"/>
    <xf numFmtId="16" fontId="38" fillId="0" borderId="0" xfId="0" applyNumberFormat="1" applyFont="1"/>
    <xf numFmtId="0" fontId="38" fillId="5" borderId="0" xfId="0" applyFont="1" applyFill="1"/>
    <xf numFmtId="16" fontId="38" fillId="5" borderId="0" xfId="0" applyNumberFormat="1" applyFont="1" applyFill="1"/>
    <xf numFmtId="16" fontId="38" fillId="0" borderId="3" xfId="0" applyNumberFormat="1" applyFont="1" applyBorder="1"/>
    <xf numFmtId="16" fontId="40" fillId="0" borderId="0" xfId="0" applyNumberFormat="1" applyFont="1"/>
    <xf numFmtId="0" fontId="40" fillId="0" borderId="0" xfId="0" applyFont="1"/>
    <xf numFmtId="16" fontId="49" fillId="0" borderId="0" xfId="0" applyNumberFormat="1" applyFont="1"/>
    <xf numFmtId="0" fontId="39" fillId="14" borderId="0" xfId="0" applyFont="1" applyFill="1"/>
    <xf numFmtId="0" fontId="39" fillId="14" borderId="0" xfId="0" applyFont="1" applyFill="1" applyAlignment="1">
      <alignment horizontal="center"/>
    </xf>
    <xf numFmtId="0" fontId="38" fillId="15" borderId="0" xfId="0" applyFont="1" applyFill="1" applyAlignment="1">
      <alignment horizontal="center"/>
    </xf>
    <xf numFmtId="0" fontId="38" fillId="0" borderId="0" xfId="0" applyFont="1" applyAlignment="1">
      <alignment horizontal="right"/>
    </xf>
    <xf numFmtId="0" fontId="63" fillId="0" borderId="0" xfId="0" applyFont="1" applyAlignment="1">
      <alignment vertical="center" wrapText="1"/>
    </xf>
    <xf numFmtId="0" fontId="46" fillId="0" borderId="0" xfId="0" applyFont="1" applyAlignment="1">
      <alignment horizontal="center"/>
    </xf>
    <xf numFmtId="0" fontId="66" fillId="0" borderId="0" xfId="0" applyFont="1" applyAlignment="1">
      <alignment vertical="center" wrapText="1"/>
    </xf>
    <xf numFmtId="0" fontId="64" fillId="0" borderId="0" xfId="0" applyFont="1"/>
    <xf numFmtId="0" fontId="67" fillId="0" borderId="0" xfId="0" applyFont="1"/>
    <xf numFmtId="0" fontId="67" fillId="0" borderId="14" xfId="0" applyFont="1" applyBorder="1"/>
    <xf numFmtId="0" fontId="67" fillId="0" borderId="6" xfId="0" applyFont="1" applyBorder="1"/>
    <xf numFmtId="0" fontId="68" fillId="0" borderId="0" xfId="0" applyFont="1" applyAlignment="1">
      <alignment vertical="center" wrapText="1"/>
    </xf>
    <xf numFmtId="0" fontId="41" fillId="0" borderId="0" xfId="0" applyFont="1" applyAlignment="1">
      <alignment horizontal="left" wrapText="1"/>
    </xf>
    <xf numFmtId="0" fontId="69" fillId="0" borderId="0" xfId="0" applyFont="1" applyAlignment="1">
      <alignment horizontal="center"/>
    </xf>
    <xf numFmtId="1" fontId="14" fillId="0" borderId="0" xfId="0" applyNumberFormat="1" applyFont="1" applyAlignment="1">
      <alignment vertical="top" wrapText="1"/>
    </xf>
    <xf numFmtId="0" fontId="14" fillId="0" borderId="0" xfId="0" applyFont="1" applyAlignment="1">
      <alignment vertical="top" wrapText="1"/>
    </xf>
    <xf numFmtId="0" fontId="64" fillId="0" borderId="0" xfId="0" applyFont="1" applyAlignment="1">
      <alignment vertical="center" wrapText="1"/>
    </xf>
    <xf numFmtId="0" fontId="15" fillId="6" borderId="0" xfId="0" applyFont="1" applyFill="1" applyAlignment="1">
      <alignment horizontal="left"/>
    </xf>
    <xf numFmtId="0" fontId="70" fillId="0" borderId="0" xfId="0" applyFont="1" applyAlignment="1">
      <alignment horizontal="left"/>
    </xf>
    <xf numFmtId="4" fontId="14" fillId="0" borderId="0" xfId="0" applyNumberFormat="1" applyFont="1" applyAlignment="1">
      <alignment horizontal="center"/>
    </xf>
    <xf numFmtId="0" fontId="46" fillId="0" borderId="0" xfId="0" applyFont="1" applyAlignment="1">
      <alignment horizontal="left" wrapText="1"/>
    </xf>
    <xf numFmtId="0" fontId="23" fillId="0" borderId="0" xfId="0" applyFont="1" applyAlignment="1">
      <alignment horizontal="center" vertical="top"/>
    </xf>
    <xf numFmtId="0" fontId="14" fillId="5" borderId="0" xfId="0" applyFont="1" applyFill="1" applyAlignment="1">
      <alignment horizontal="left" wrapText="1"/>
    </xf>
    <xf numFmtId="0" fontId="14" fillId="5" borderId="0" xfId="0" applyFont="1" applyFill="1" applyAlignment="1">
      <alignment horizontal="left" vertical="center" wrapText="1"/>
    </xf>
    <xf numFmtId="0" fontId="41" fillId="5" borderId="0" xfId="0" applyFont="1" applyFill="1" applyAlignment="1">
      <alignment horizontal="left" wrapText="1"/>
    </xf>
    <xf numFmtId="0" fontId="71" fillId="5" borderId="0" xfId="0" applyFont="1" applyFill="1" applyAlignment="1">
      <alignment horizontal="left" vertical="center" wrapText="1"/>
    </xf>
    <xf numFmtId="0" fontId="36" fillId="0" borderId="0" xfId="0" applyFont="1" applyAlignment="1">
      <alignment horizontal="left" vertical="center" wrapText="1"/>
    </xf>
    <xf numFmtId="3" fontId="14" fillId="16" borderId="0" xfId="0" applyNumberFormat="1" applyFont="1" applyFill="1" applyAlignment="1">
      <alignment horizontal="center"/>
    </xf>
    <xf numFmtId="0" fontId="41" fillId="0" borderId="0" xfId="0" applyFont="1" applyAlignment="1">
      <alignment horizontal="left" vertical="center" wrapText="1"/>
    </xf>
    <xf numFmtId="0" fontId="4" fillId="0" borderId="2" xfId="0" applyFont="1" applyBorder="1" applyAlignment="1">
      <alignment horizontal="left"/>
    </xf>
    <xf numFmtId="14" fontId="4" fillId="0" borderId="2" xfId="0" applyNumberFormat="1" applyFont="1" applyBorder="1" applyAlignment="1">
      <alignment horizontal="center"/>
    </xf>
    <xf numFmtId="0" fontId="4" fillId="0" borderId="2" xfId="0" applyFont="1" applyBorder="1" applyAlignment="1">
      <alignment horizontal="center"/>
    </xf>
    <xf numFmtId="0" fontId="18" fillId="3" borderId="3" xfId="0" applyFont="1" applyFill="1" applyBorder="1" applyAlignment="1">
      <alignment horizontal="center"/>
    </xf>
    <xf numFmtId="0" fontId="14" fillId="0" borderId="0" xfId="0" applyFont="1" applyAlignment="1">
      <alignment horizontal="left" vertical="center" wrapText="1"/>
    </xf>
    <xf numFmtId="0" fontId="36" fillId="0" borderId="0" xfId="0" applyFont="1" applyAlignment="1">
      <alignment horizontal="left" vertical="center" wrapText="1"/>
    </xf>
    <xf numFmtId="0" fontId="18" fillId="2" borderId="3" xfId="0" applyFont="1" applyFill="1" applyBorder="1" applyAlignment="1">
      <alignment horizontal="center"/>
    </xf>
    <xf numFmtId="0" fontId="8" fillId="0" borderId="2" xfId="0" applyFont="1" applyBorder="1" applyAlignment="1">
      <alignment horizontal="right"/>
    </xf>
    <xf numFmtId="0" fontId="45" fillId="0" borderId="4" xfId="0" applyFont="1" applyBorder="1" applyAlignment="1">
      <alignment horizontal="center"/>
    </xf>
    <xf numFmtId="0" fontId="45" fillId="0" borderId="12" xfId="0" applyFont="1" applyBorder="1" applyAlignment="1">
      <alignment horizontal="center"/>
    </xf>
    <xf numFmtId="0" fontId="45" fillId="0" borderId="5" xfId="0" applyFont="1" applyBorder="1" applyAlignment="1">
      <alignment horizontal="center"/>
    </xf>
    <xf numFmtId="0" fontId="38" fillId="0" borderId="0" xfId="0" applyFont="1" applyAlignment="1">
      <alignment horizontal="center"/>
    </xf>
    <xf numFmtId="0" fontId="39" fillId="0" borderId="0" xfId="0" applyFont="1" applyAlignment="1">
      <alignment horizontal="center" vertical="center"/>
    </xf>
    <xf numFmtId="0" fontId="45" fillId="0" borderId="0" xfId="0" applyFont="1" applyAlignment="1">
      <alignment horizontal="center"/>
    </xf>
  </cellXfs>
  <cellStyles count="5">
    <cellStyle name="Comma 2" xfId="1" xr:uid="{00000000-0005-0000-0000-000000000000}"/>
    <cellStyle name="Normal" xfId="0" builtinId="0"/>
    <cellStyle name="Normal 2" xfId="2" xr:uid="{00000000-0005-0000-0000-000002000000}"/>
    <cellStyle name="Separador de milhares 2" xfId="4" xr:uid="{00000000-0005-0000-0000-000003000000}"/>
    <cellStyle name="Vírgula" xfId="3" builtin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1998</xdr:row>
      <xdr:rowOff>38100</xdr:rowOff>
    </xdr:from>
    <xdr:to>
      <xdr:col>1</xdr:col>
      <xdr:colOff>1724025</xdr:colOff>
      <xdr:row>1998</xdr:row>
      <xdr:rowOff>38100</xdr:rowOff>
    </xdr:to>
    <xdr:pic>
      <xdr:nvPicPr>
        <xdr:cNvPr id="2" name="Picture 18">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581" t="7894" r="15253" b="19736"/>
        <a:stretch/>
      </xdr:blipFill>
      <xdr:spPr bwMode="auto">
        <a:xfrm>
          <a:off x="723900" y="14649450"/>
          <a:ext cx="1419225" cy="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0</xdr:colOff>
      <xdr:row>1999</xdr:row>
      <xdr:rowOff>0</xdr:rowOff>
    </xdr:from>
    <xdr:to>
      <xdr:col>1</xdr:col>
      <xdr:colOff>304800</xdr:colOff>
      <xdr:row>1999</xdr:row>
      <xdr:rowOff>0</xdr:rowOff>
    </xdr:to>
    <xdr:sp macro="" textlink="">
      <xdr:nvSpPr>
        <xdr:cNvPr id="3" name="AutoShape 1" descr="Votorantim Cimentos – Wikipédia, a enciclopédia livre">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419100" y="14773275"/>
          <a:ext cx="30480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1676400</xdr:colOff>
      <xdr:row>1998</xdr:row>
      <xdr:rowOff>9525</xdr:rowOff>
    </xdr:from>
    <xdr:to>
      <xdr:col>2</xdr:col>
      <xdr:colOff>76200</xdr:colOff>
      <xdr:row>2001</xdr:row>
      <xdr:rowOff>47625</xdr:rowOff>
    </xdr:to>
    <xdr:pic>
      <xdr:nvPicPr>
        <xdr:cNvPr id="4" name="Picture 18">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581" t="7894" r="15253" b="19736"/>
        <a:stretch/>
      </xdr:blipFill>
      <xdr:spPr bwMode="auto">
        <a:xfrm>
          <a:off x="2095500" y="5400675"/>
          <a:ext cx="1419225" cy="5238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1998</xdr:row>
      <xdr:rowOff>152400</xdr:rowOff>
    </xdr:from>
    <xdr:to>
      <xdr:col>1</xdr:col>
      <xdr:colOff>1171575</xdr:colOff>
      <xdr:row>2000</xdr:row>
      <xdr:rowOff>95250</xdr:rowOff>
    </xdr:to>
    <xdr:pic>
      <xdr:nvPicPr>
        <xdr:cNvPr id="5" name="Imagem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43550"/>
          <a:ext cx="1619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277711</xdr:colOff>
      <xdr:row>16</xdr:row>
      <xdr:rowOff>76572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0640911" cy="2667372"/>
        </a:xfrm>
        <a:prstGeom prst="rect">
          <a:avLst/>
        </a:prstGeom>
      </xdr:spPr>
    </xdr:pic>
    <xdr:clientData/>
  </xdr:twoCellAnchor>
  <xdr:twoCellAnchor editAs="oneCell">
    <xdr:from>
      <xdr:col>0</xdr:col>
      <xdr:colOff>0</xdr:colOff>
      <xdr:row>17</xdr:row>
      <xdr:rowOff>0</xdr:rowOff>
    </xdr:from>
    <xdr:to>
      <xdr:col>14</xdr:col>
      <xdr:colOff>295275</xdr:colOff>
      <xdr:row>21</xdr:row>
      <xdr:rowOff>111589</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2752725"/>
          <a:ext cx="8829675" cy="759289"/>
        </a:xfrm>
        <a:prstGeom prst="rect">
          <a:avLst/>
        </a:prstGeom>
      </xdr:spPr>
    </xdr:pic>
    <xdr:clientData/>
  </xdr:twoCellAnchor>
  <xdr:twoCellAnchor editAs="oneCell">
    <xdr:from>
      <xdr:col>0</xdr:col>
      <xdr:colOff>0</xdr:colOff>
      <xdr:row>29</xdr:row>
      <xdr:rowOff>133350</xdr:rowOff>
    </xdr:from>
    <xdr:to>
      <xdr:col>5</xdr:col>
      <xdr:colOff>495795</xdr:colOff>
      <xdr:row>50</xdr:row>
      <xdr:rowOff>114772</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4829175"/>
          <a:ext cx="3543795" cy="3381847"/>
        </a:xfrm>
        <a:prstGeom prst="rect">
          <a:avLst/>
        </a:prstGeom>
      </xdr:spPr>
    </xdr:pic>
    <xdr:clientData/>
  </xdr:twoCellAnchor>
  <xdr:twoCellAnchor editAs="oneCell">
    <xdr:from>
      <xdr:col>0</xdr:col>
      <xdr:colOff>28575</xdr:colOff>
      <xdr:row>22</xdr:row>
      <xdr:rowOff>104775</xdr:rowOff>
    </xdr:from>
    <xdr:to>
      <xdr:col>14</xdr:col>
      <xdr:colOff>315557</xdr:colOff>
      <xdr:row>28</xdr:row>
      <xdr:rowOff>9647</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28575" y="3667125"/>
          <a:ext cx="8821382" cy="876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1</xdr:row>
      <xdr:rowOff>123825</xdr:rowOff>
    </xdr:from>
    <xdr:to>
      <xdr:col>9</xdr:col>
      <xdr:colOff>62864</xdr:colOff>
      <xdr:row>14</xdr:row>
      <xdr:rowOff>152400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8934450" y="314325"/>
          <a:ext cx="4320539" cy="2667000"/>
        </a:xfrm>
        <a:prstGeom prst="rect">
          <a:avLst/>
        </a:prstGeom>
      </xdr:spPr>
    </xdr:pic>
    <xdr:clientData/>
  </xdr:twoCellAnchor>
  <xdr:twoCellAnchor editAs="oneCell">
    <xdr:from>
      <xdr:col>0</xdr:col>
      <xdr:colOff>0</xdr:colOff>
      <xdr:row>65</xdr:row>
      <xdr:rowOff>0</xdr:rowOff>
    </xdr:from>
    <xdr:to>
      <xdr:col>0</xdr:col>
      <xdr:colOff>5630061</xdr:colOff>
      <xdr:row>82</xdr:row>
      <xdr:rowOff>86121</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9134475"/>
          <a:ext cx="5630061" cy="2838846"/>
        </a:xfrm>
        <a:prstGeom prst="rect">
          <a:avLst/>
        </a:prstGeom>
      </xdr:spPr>
    </xdr:pic>
    <xdr:clientData/>
  </xdr:twoCellAnchor>
  <xdr:twoCellAnchor editAs="oneCell">
    <xdr:from>
      <xdr:col>0</xdr:col>
      <xdr:colOff>1</xdr:colOff>
      <xdr:row>83</xdr:row>
      <xdr:rowOff>66676</xdr:rowOff>
    </xdr:from>
    <xdr:to>
      <xdr:col>0</xdr:col>
      <xdr:colOff>5695951</xdr:colOff>
      <xdr:row>99</xdr:row>
      <xdr:rowOff>58780</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 y="12115801"/>
          <a:ext cx="5695950" cy="2582904"/>
        </a:xfrm>
        <a:prstGeom prst="rect">
          <a:avLst/>
        </a:prstGeom>
      </xdr:spPr>
    </xdr:pic>
    <xdr:clientData/>
  </xdr:twoCellAnchor>
  <xdr:twoCellAnchor editAs="oneCell">
    <xdr:from>
      <xdr:col>0</xdr:col>
      <xdr:colOff>0</xdr:colOff>
      <xdr:row>100</xdr:row>
      <xdr:rowOff>0</xdr:rowOff>
    </xdr:from>
    <xdr:to>
      <xdr:col>0</xdr:col>
      <xdr:colOff>5705475</xdr:colOff>
      <xdr:row>110</xdr:row>
      <xdr:rowOff>103157</xdr:rowOff>
    </xdr:to>
    <xdr:pic>
      <xdr:nvPicPr>
        <xdr:cNvPr id="5" name="Imagem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0" y="14801850"/>
          <a:ext cx="5705475" cy="1722407"/>
        </a:xfrm>
        <a:prstGeom prst="rect">
          <a:avLst/>
        </a:prstGeom>
      </xdr:spPr>
    </xdr:pic>
    <xdr:clientData/>
  </xdr:twoCellAnchor>
  <xdr:twoCellAnchor editAs="oneCell">
    <xdr:from>
      <xdr:col>0</xdr:col>
      <xdr:colOff>0</xdr:colOff>
      <xdr:row>112</xdr:row>
      <xdr:rowOff>0</xdr:rowOff>
    </xdr:from>
    <xdr:to>
      <xdr:col>0</xdr:col>
      <xdr:colOff>7059011</xdr:colOff>
      <xdr:row>124</xdr:row>
      <xdr:rowOff>105061</xdr:rowOff>
    </xdr:to>
    <xdr:pic>
      <xdr:nvPicPr>
        <xdr:cNvPr id="6" name="Imagem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0" y="16744950"/>
          <a:ext cx="7059011" cy="2048161"/>
        </a:xfrm>
        <a:prstGeom prst="rect">
          <a:avLst/>
        </a:prstGeom>
      </xdr:spPr>
    </xdr:pic>
    <xdr:clientData/>
  </xdr:twoCellAnchor>
  <xdr:twoCellAnchor editAs="oneCell">
    <xdr:from>
      <xdr:col>0</xdr:col>
      <xdr:colOff>0</xdr:colOff>
      <xdr:row>125</xdr:row>
      <xdr:rowOff>1</xdr:rowOff>
    </xdr:from>
    <xdr:to>
      <xdr:col>0</xdr:col>
      <xdr:colOff>4772025</xdr:colOff>
      <xdr:row>134</xdr:row>
      <xdr:rowOff>51428</xdr:rowOff>
    </xdr:to>
    <xdr:pic>
      <xdr:nvPicPr>
        <xdr:cNvPr id="7" name="Imagem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0" y="21650326"/>
          <a:ext cx="4772025" cy="150875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L2022"/>
  <sheetViews>
    <sheetView tabSelected="1" zoomScaleNormal="100" workbookViewId="0">
      <pane ySplit="4" topLeftCell="A321" activePane="bottomLeft" state="frozen"/>
      <selection activeCell="E680" sqref="E680"/>
      <selection pane="bottomLeft" activeCell="B332" sqref="B332"/>
    </sheetView>
  </sheetViews>
  <sheetFormatPr defaultColWidth="9.109375" defaultRowHeight="13.2" outlineLevelRow="1" x14ac:dyDescent="0.25"/>
  <cols>
    <col min="1" max="1" width="6.6640625" style="1" customWidth="1"/>
    <col min="2" max="2" width="45.33203125" style="2" customWidth="1"/>
    <col min="3" max="3" width="4.33203125" style="1" customWidth="1"/>
    <col min="4" max="4" width="6.88671875" style="2" customWidth="1"/>
    <col min="5" max="5" width="3.44140625" style="26" customWidth="1"/>
    <col min="6" max="6" width="7.44140625" style="1" customWidth="1"/>
    <col min="7" max="7" width="13" style="1" customWidth="1"/>
    <col min="8" max="8" width="5.44140625" style="1" customWidth="1"/>
    <col min="9" max="9" width="5" style="1" customWidth="1"/>
    <col min="10" max="11" width="5.109375" style="1" customWidth="1"/>
    <col min="12" max="12" width="5.33203125" style="1" customWidth="1"/>
    <col min="13" max="13" width="5.109375" style="1" customWidth="1"/>
    <col min="14" max="14" width="5" style="1" customWidth="1"/>
    <col min="15" max="16" width="5.109375" style="1" customWidth="1"/>
    <col min="17" max="17" width="5.33203125" style="1" customWidth="1"/>
    <col min="18" max="18" width="5.109375" style="1" customWidth="1"/>
    <col min="19" max="19" width="4.88671875" style="1" customWidth="1"/>
    <col min="20" max="20" width="4.6640625" style="1" customWidth="1"/>
    <col min="21" max="21" width="5.5546875" style="1" customWidth="1"/>
    <col min="22" max="22" width="5" style="1" customWidth="1"/>
    <col min="23" max="24" width="5.109375" style="1" customWidth="1"/>
    <col min="25" max="25" width="5.33203125" style="1" customWidth="1"/>
    <col min="26" max="26" width="5.109375" style="1" customWidth="1"/>
    <col min="27" max="27" width="5" style="1" customWidth="1"/>
    <col min="28" max="28" width="4.88671875" style="1" customWidth="1"/>
    <col min="29" max="29" width="4.6640625" style="1" customWidth="1"/>
    <col min="30" max="30" width="13.88671875" style="69" customWidth="1"/>
    <col min="31" max="31" width="12.6640625" style="69" customWidth="1"/>
    <col min="32" max="32" width="3.109375" style="1" customWidth="1"/>
    <col min="33" max="33" width="7.109375" style="1" hidden="1" customWidth="1"/>
    <col min="34" max="34" width="9.88671875" style="1" bestFit="1" customWidth="1"/>
    <col min="35" max="36" width="3.5546875" style="1" customWidth="1"/>
    <col min="37" max="37" width="5.5546875" style="1" customWidth="1"/>
    <col min="38" max="16384" width="9.109375" style="2"/>
  </cols>
  <sheetData>
    <row r="1" spans="1:37" ht="14.4" thickBot="1" x14ac:dyDescent="0.3">
      <c r="A1" s="238" t="s">
        <v>391</v>
      </c>
      <c r="B1" s="238"/>
      <c r="C1" s="239">
        <v>45493</v>
      </c>
      <c r="D1" s="240"/>
      <c r="E1" s="55"/>
      <c r="AG1" s="48"/>
      <c r="AH1" s="48"/>
    </row>
    <row r="2" spans="1:37" ht="13.5" customHeight="1" x14ac:dyDescent="0.25">
      <c r="B2" s="1"/>
      <c r="E2" s="55"/>
      <c r="G2" s="7"/>
      <c r="H2" s="7"/>
      <c r="I2" s="7"/>
      <c r="K2" s="7"/>
      <c r="L2" s="7"/>
      <c r="M2" s="7"/>
      <c r="N2" s="7"/>
      <c r="P2" s="7"/>
      <c r="Q2" s="7"/>
      <c r="R2" s="7"/>
      <c r="S2" s="7"/>
      <c r="T2" s="7"/>
      <c r="U2" s="7"/>
      <c r="V2" s="7"/>
      <c r="X2" s="7"/>
      <c r="Y2" s="7"/>
      <c r="Z2" s="7"/>
      <c r="AA2" s="7"/>
      <c r="AB2" s="7"/>
      <c r="AC2" s="7"/>
      <c r="AG2" s="48"/>
      <c r="AH2" s="48"/>
    </row>
    <row r="3" spans="1:37" ht="12.75" customHeight="1" x14ac:dyDescent="0.25">
      <c r="A3" s="3" t="s">
        <v>44</v>
      </c>
      <c r="B3" s="4" t="s">
        <v>15</v>
      </c>
      <c r="C3" s="3" t="s">
        <v>16</v>
      </c>
      <c r="D3" s="4" t="s">
        <v>17</v>
      </c>
      <c r="E3" s="56"/>
      <c r="G3" s="196" t="s">
        <v>2796</v>
      </c>
      <c r="H3" s="241" t="s">
        <v>2795</v>
      </c>
      <c r="I3" s="241"/>
      <c r="J3" s="241"/>
      <c r="K3" s="241"/>
      <c r="L3" s="241"/>
      <c r="M3" s="241"/>
      <c r="N3" s="241"/>
      <c r="O3" s="241"/>
      <c r="P3" s="241"/>
      <c r="Q3" s="241"/>
      <c r="R3" s="241"/>
      <c r="S3" s="241"/>
      <c r="T3" s="241"/>
      <c r="U3" s="244" t="s">
        <v>2799</v>
      </c>
      <c r="V3" s="244"/>
      <c r="W3" s="244"/>
      <c r="X3" s="244"/>
      <c r="Y3" s="244"/>
      <c r="Z3" s="244"/>
      <c r="AA3" s="244"/>
      <c r="AB3" s="244"/>
      <c r="AC3" s="244"/>
      <c r="AF3" s="48"/>
      <c r="AG3" s="48"/>
      <c r="AH3" s="48"/>
      <c r="AI3" s="48"/>
      <c r="AJ3" s="48"/>
      <c r="AK3" s="48"/>
    </row>
    <row r="4" spans="1:37" ht="15" customHeight="1" x14ac:dyDescent="0.25">
      <c r="G4" s="87" t="s">
        <v>2820</v>
      </c>
      <c r="H4" s="85" t="s">
        <v>368</v>
      </c>
      <c r="I4" s="85" t="s">
        <v>369</v>
      </c>
      <c r="J4" s="85" t="s">
        <v>370</v>
      </c>
      <c r="K4" s="85" t="s">
        <v>371</v>
      </c>
      <c r="L4" s="85" t="s">
        <v>372</v>
      </c>
      <c r="M4" s="85" t="s">
        <v>373</v>
      </c>
      <c r="N4" s="85" t="s">
        <v>374</v>
      </c>
      <c r="O4" s="85" t="s">
        <v>375</v>
      </c>
      <c r="P4" s="85" t="s">
        <v>376</v>
      </c>
      <c r="Q4" s="85" t="s">
        <v>377</v>
      </c>
      <c r="R4" s="85" t="s">
        <v>378</v>
      </c>
      <c r="S4" s="85" t="s">
        <v>220</v>
      </c>
      <c r="T4" s="85" t="s">
        <v>198</v>
      </c>
      <c r="U4" s="197" t="s">
        <v>368</v>
      </c>
      <c r="V4" s="197" t="s">
        <v>369</v>
      </c>
      <c r="W4" s="197" t="s">
        <v>370</v>
      </c>
      <c r="X4" s="197" t="s">
        <v>371</v>
      </c>
      <c r="Y4" s="197" t="s">
        <v>372</v>
      </c>
      <c r="Z4" s="197" t="s">
        <v>373</v>
      </c>
      <c r="AA4" s="197" t="s">
        <v>374</v>
      </c>
      <c r="AB4" s="197" t="s">
        <v>220</v>
      </c>
      <c r="AC4" s="197" t="s">
        <v>198</v>
      </c>
      <c r="AD4" s="70"/>
      <c r="AE4" s="70"/>
      <c r="AF4" s="48"/>
      <c r="AG4" s="48"/>
      <c r="AH4" s="48"/>
      <c r="AI4" s="48"/>
      <c r="AJ4" s="48"/>
      <c r="AK4" s="48"/>
    </row>
    <row r="5" spans="1:37" x14ac:dyDescent="0.25">
      <c r="A5" s="58">
        <v>1</v>
      </c>
      <c r="B5" s="59" t="s">
        <v>289</v>
      </c>
      <c r="C5" s="58" t="s">
        <v>41</v>
      </c>
      <c r="D5" s="60" t="e">
        <f>#REF!/#REF!*100</f>
        <v>#REF!</v>
      </c>
      <c r="E5" s="200" t="s">
        <v>2806</v>
      </c>
      <c r="AD5" s="53"/>
    </row>
    <row r="6" spans="1:37" x14ac:dyDescent="0.25">
      <c r="A6" s="18" t="s">
        <v>6</v>
      </c>
      <c r="B6" s="35" t="s">
        <v>462</v>
      </c>
      <c r="C6" s="18" t="s">
        <v>41</v>
      </c>
      <c r="D6" s="52" t="e">
        <f>#REF!/#REF!*100</f>
        <v>#REF!</v>
      </c>
      <c r="E6" s="54"/>
      <c r="AD6" s="198" t="s">
        <v>2798</v>
      </c>
      <c r="AE6" s="53"/>
    </row>
    <row r="7" spans="1:37" s="72" customFormat="1" ht="20.399999999999999" outlineLevel="1" x14ac:dyDescent="0.25">
      <c r="A7" s="61" t="s">
        <v>635</v>
      </c>
      <c r="B7" s="47" t="s">
        <v>482</v>
      </c>
      <c r="C7" s="9" t="s">
        <v>48</v>
      </c>
      <c r="D7" s="25">
        <f>SUM(G7:AC7)*3</f>
        <v>5787</v>
      </c>
      <c r="E7" s="54"/>
      <c r="F7" s="78"/>
      <c r="G7" s="33">
        <f>5</f>
        <v>5</v>
      </c>
      <c r="H7" s="33">
        <f>MROUND((127+13+78+96+39+10+83)*1.1/3,1)</f>
        <v>164</v>
      </c>
      <c r="I7" s="9">
        <f>MROUND((210+23+50+6+130)*1.1*0.92/3,1)</f>
        <v>141</v>
      </c>
      <c r="J7" s="9">
        <f>84-25</f>
        <v>59</v>
      </c>
      <c r="K7" s="9">
        <f>94-35</f>
        <v>59</v>
      </c>
      <c r="L7" s="9">
        <f>96</f>
        <v>96</v>
      </c>
      <c r="M7" s="9">
        <v>171</v>
      </c>
      <c r="N7" s="9">
        <v>138</v>
      </c>
      <c r="O7" s="9">
        <v>130</v>
      </c>
      <c r="P7" s="9">
        <v>85</v>
      </c>
      <c r="Q7" s="9">
        <v>85</v>
      </c>
      <c r="R7" s="9">
        <v>91</v>
      </c>
      <c r="S7" s="9">
        <v>0</v>
      </c>
      <c r="T7" s="9">
        <f>441/3</f>
        <v>147</v>
      </c>
      <c r="U7" s="33">
        <v>94</v>
      </c>
      <c r="V7" s="9">
        <v>58</v>
      </c>
      <c r="W7" s="9">
        <v>74</v>
      </c>
      <c r="X7" s="9">
        <v>68</v>
      </c>
      <c r="Y7" s="9">
        <v>85</v>
      </c>
      <c r="Z7" s="9">
        <v>76</v>
      </c>
      <c r="AA7" s="9">
        <v>103</v>
      </c>
      <c r="AB7" s="9">
        <v>0</v>
      </c>
      <c r="AC7" s="9">
        <v>0</v>
      </c>
      <c r="AD7" s="53" t="e">
        <f>ROUND(#REF!*D7,2)</f>
        <v>#REF!</v>
      </c>
      <c r="AE7" s="53" t="e">
        <f>AD7-#REF!</f>
        <v>#REF!</v>
      </c>
      <c r="AF7" s="9"/>
      <c r="AG7" s="33" t="e">
        <f>#REF!-D7</f>
        <v>#REF!</v>
      </c>
      <c r="AH7" s="9"/>
      <c r="AI7" s="9"/>
      <c r="AJ7" s="9"/>
      <c r="AK7" s="9"/>
    </row>
    <row r="8" spans="1:37" s="12" customFormat="1" ht="20.399999999999999" outlineLevel="1" x14ac:dyDescent="0.2">
      <c r="A8" s="61" t="s">
        <v>636</v>
      </c>
      <c r="B8" s="47" t="s">
        <v>407</v>
      </c>
      <c r="C8" s="9" t="s">
        <v>48</v>
      </c>
      <c r="D8" s="25">
        <f>SUM(G8:AC8)*3</f>
        <v>1028.4000000000001</v>
      </c>
      <c r="E8" s="54"/>
      <c r="F8" s="78"/>
      <c r="G8" s="33">
        <f>100+100+96</f>
        <v>296</v>
      </c>
      <c r="H8" s="33">
        <f>(3+21)*1.1/3</f>
        <v>8.8000000000000007</v>
      </c>
      <c r="I8" s="9">
        <v>3</v>
      </c>
      <c r="J8" s="9">
        <v>0</v>
      </c>
      <c r="K8" s="9">
        <v>0</v>
      </c>
      <c r="L8" s="9">
        <v>0</v>
      </c>
      <c r="M8" s="9">
        <v>0</v>
      </c>
      <c r="N8" s="9">
        <v>0</v>
      </c>
      <c r="O8" s="9">
        <v>0</v>
      </c>
      <c r="P8" s="9">
        <v>0</v>
      </c>
      <c r="Q8" s="9">
        <v>0</v>
      </c>
      <c r="R8" s="9">
        <v>0</v>
      </c>
      <c r="S8" s="9">
        <v>0</v>
      </c>
      <c r="T8" s="9">
        <v>0</v>
      </c>
      <c r="U8" s="33">
        <v>5</v>
      </c>
      <c r="V8" s="9">
        <v>5</v>
      </c>
      <c r="W8" s="9">
        <v>5</v>
      </c>
      <c r="X8" s="9">
        <v>5</v>
      </c>
      <c r="Y8" s="9">
        <v>5</v>
      </c>
      <c r="Z8" s="9">
        <v>5</v>
      </c>
      <c r="AA8" s="9">
        <v>5</v>
      </c>
      <c r="AB8" s="9">
        <v>0</v>
      </c>
      <c r="AC8" s="9">
        <v>0</v>
      </c>
      <c r="AD8" s="53" t="e">
        <f>ROUND(#REF!*D8,2)</f>
        <v>#REF!</v>
      </c>
      <c r="AE8" s="53" t="e">
        <f>AD8-#REF!</f>
        <v>#REF!</v>
      </c>
      <c r="AF8" s="9"/>
      <c r="AG8" s="33" t="e">
        <f>#REF!-D8</f>
        <v>#REF!</v>
      </c>
      <c r="AH8" s="9"/>
      <c r="AI8" s="9"/>
      <c r="AJ8" s="9"/>
      <c r="AK8" s="9"/>
    </row>
    <row r="9" spans="1:37" s="12" customFormat="1" ht="20.399999999999999" outlineLevel="1" x14ac:dyDescent="0.2">
      <c r="A9" s="61" t="s">
        <v>637</v>
      </c>
      <c r="B9" s="14" t="s">
        <v>60</v>
      </c>
      <c r="C9" s="9" t="s">
        <v>47</v>
      </c>
      <c r="D9" s="25">
        <f t="shared" ref="D9:D50" si="0">SUM(G9:AC9)</f>
        <v>3189</v>
      </c>
      <c r="E9" s="54"/>
      <c r="F9" s="78"/>
      <c r="G9" s="33">
        <v>10</v>
      </c>
      <c r="H9" s="33">
        <f>125+55</f>
        <v>180</v>
      </c>
      <c r="I9" s="9">
        <v>237</v>
      </c>
      <c r="J9" s="9">
        <f>205-62</f>
        <v>143</v>
      </c>
      <c r="K9" s="9">
        <f>98+53</f>
        <v>151</v>
      </c>
      <c r="L9" s="9">
        <f>400-150</f>
        <v>250</v>
      </c>
      <c r="M9" s="9">
        <f>210+2+16+53</f>
        <v>281</v>
      </c>
      <c r="N9" s="9">
        <v>281</v>
      </c>
      <c r="O9" s="9">
        <f>198+18+63</f>
        <v>279</v>
      </c>
      <c r="P9" s="9">
        <f>118+80</f>
        <v>198</v>
      </c>
      <c r="Q9" s="9">
        <f>118+80</f>
        <v>198</v>
      </c>
      <c r="R9" s="9">
        <f>24</f>
        <v>24</v>
      </c>
      <c r="S9" s="9">
        <v>0</v>
      </c>
      <c r="T9" s="9">
        <v>0</v>
      </c>
      <c r="U9" s="33">
        <v>125</v>
      </c>
      <c r="V9" s="9">
        <v>108</v>
      </c>
      <c r="W9" s="9">
        <v>107</v>
      </c>
      <c r="X9" s="9">
        <v>142</v>
      </c>
      <c r="Y9" s="9">
        <v>152</v>
      </c>
      <c r="Z9" s="9">
        <v>136</v>
      </c>
      <c r="AA9" s="9">
        <v>187</v>
      </c>
      <c r="AB9" s="9">
        <v>0</v>
      </c>
      <c r="AC9" s="9">
        <v>0</v>
      </c>
      <c r="AD9" s="53" t="e">
        <f>ROUND(#REF!*D9,2)</f>
        <v>#REF!</v>
      </c>
      <c r="AE9" s="53" t="e">
        <f>AD9-#REF!</f>
        <v>#REF!</v>
      </c>
      <c r="AF9" s="9"/>
      <c r="AG9" s="33" t="e">
        <f>#REF!-D9</f>
        <v>#REF!</v>
      </c>
      <c r="AH9" s="9"/>
      <c r="AI9" s="9"/>
      <c r="AJ9" s="9"/>
      <c r="AK9" s="9"/>
    </row>
    <row r="10" spans="1:37" s="12" customFormat="1" ht="20.399999999999999" outlineLevel="1" x14ac:dyDescent="0.2">
      <c r="A10" s="61" t="s">
        <v>638</v>
      </c>
      <c r="B10" s="14" t="s">
        <v>61</v>
      </c>
      <c r="C10" s="9" t="s">
        <v>47</v>
      </c>
      <c r="D10" s="25">
        <f t="shared" si="0"/>
        <v>34</v>
      </c>
      <c r="E10" s="54"/>
      <c r="F10" s="78"/>
      <c r="G10" s="33">
        <v>6</v>
      </c>
      <c r="H10" s="33">
        <v>0</v>
      </c>
      <c r="I10" s="9">
        <v>0</v>
      </c>
      <c r="J10" s="9">
        <v>0</v>
      </c>
      <c r="K10" s="9">
        <v>0</v>
      </c>
      <c r="L10" s="9">
        <v>0</v>
      </c>
      <c r="M10" s="9">
        <v>0</v>
      </c>
      <c r="N10" s="9">
        <v>0</v>
      </c>
      <c r="O10" s="9">
        <v>0</v>
      </c>
      <c r="P10" s="9">
        <v>0</v>
      </c>
      <c r="Q10" s="9">
        <v>0</v>
      </c>
      <c r="R10" s="9">
        <f>0</f>
        <v>0</v>
      </c>
      <c r="S10" s="9">
        <v>0</v>
      </c>
      <c r="T10" s="9">
        <v>0</v>
      </c>
      <c r="U10" s="33">
        <v>4</v>
      </c>
      <c r="V10" s="9">
        <v>4</v>
      </c>
      <c r="W10" s="9">
        <v>4</v>
      </c>
      <c r="X10" s="9">
        <v>4</v>
      </c>
      <c r="Y10" s="9">
        <v>4</v>
      </c>
      <c r="Z10" s="9">
        <v>4</v>
      </c>
      <c r="AA10" s="9">
        <v>4</v>
      </c>
      <c r="AB10" s="9">
        <v>0</v>
      </c>
      <c r="AC10" s="9">
        <v>0</v>
      </c>
      <c r="AD10" s="53" t="e">
        <f>#REF!*D10</f>
        <v>#REF!</v>
      </c>
      <c r="AE10" s="53" t="e">
        <f>AD10-#REF!</f>
        <v>#REF!</v>
      </c>
      <c r="AF10" s="9"/>
      <c r="AG10" s="33" t="e">
        <f>#REF!-D10</f>
        <v>#REF!</v>
      </c>
      <c r="AH10" s="9"/>
      <c r="AI10" s="9"/>
      <c r="AJ10" s="9"/>
      <c r="AK10" s="9"/>
    </row>
    <row r="11" spans="1:37" s="12" customFormat="1" ht="20.399999999999999" outlineLevel="1" x14ac:dyDescent="0.2">
      <c r="A11" s="61" t="s">
        <v>639</v>
      </c>
      <c r="B11" s="14" t="s">
        <v>64</v>
      </c>
      <c r="C11" s="9" t="s">
        <v>47</v>
      </c>
      <c r="D11" s="25">
        <f t="shared" si="0"/>
        <v>5118</v>
      </c>
      <c r="E11" s="54"/>
      <c r="F11" s="78"/>
      <c r="G11" s="88">
        <f t="shared" ref="G11:AC11" si="1">G9+G7</f>
        <v>15</v>
      </c>
      <c r="H11" s="88">
        <f t="shared" si="1"/>
        <v>344</v>
      </c>
      <c r="I11" s="88">
        <f t="shared" si="1"/>
        <v>378</v>
      </c>
      <c r="J11" s="88">
        <f t="shared" si="1"/>
        <v>202</v>
      </c>
      <c r="K11" s="88">
        <f t="shared" si="1"/>
        <v>210</v>
      </c>
      <c r="L11" s="88">
        <f t="shared" si="1"/>
        <v>346</v>
      </c>
      <c r="M11" s="88">
        <f t="shared" si="1"/>
        <v>452</v>
      </c>
      <c r="N11" s="88">
        <f t="shared" si="1"/>
        <v>419</v>
      </c>
      <c r="O11" s="88">
        <f t="shared" si="1"/>
        <v>409</v>
      </c>
      <c r="P11" s="88">
        <f t="shared" si="1"/>
        <v>283</v>
      </c>
      <c r="Q11" s="88">
        <f t="shared" si="1"/>
        <v>283</v>
      </c>
      <c r="R11" s="88">
        <f t="shared" si="1"/>
        <v>115</v>
      </c>
      <c r="S11" s="88">
        <f t="shared" si="1"/>
        <v>0</v>
      </c>
      <c r="T11" s="88">
        <f t="shared" si="1"/>
        <v>147</v>
      </c>
      <c r="U11" s="88">
        <f t="shared" si="1"/>
        <v>219</v>
      </c>
      <c r="V11" s="88">
        <f t="shared" si="1"/>
        <v>166</v>
      </c>
      <c r="W11" s="88">
        <f t="shared" si="1"/>
        <v>181</v>
      </c>
      <c r="X11" s="88">
        <f t="shared" si="1"/>
        <v>210</v>
      </c>
      <c r="Y11" s="88">
        <f t="shared" si="1"/>
        <v>237</v>
      </c>
      <c r="Z11" s="88">
        <f t="shared" si="1"/>
        <v>212</v>
      </c>
      <c r="AA11" s="88">
        <f t="shared" si="1"/>
        <v>290</v>
      </c>
      <c r="AB11" s="88">
        <f t="shared" si="1"/>
        <v>0</v>
      </c>
      <c r="AC11" s="88">
        <f t="shared" si="1"/>
        <v>0</v>
      </c>
      <c r="AD11" s="53" t="e">
        <f>#REF!*D11</f>
        <v>#REF!</v>
      </c>
      <c r="AE11" s="53" t="e">
        <f>AD11-#REF!</f>
        <v>#REF!</v>
      </c>
      <c r="AF11" s="49"/>
      <c r="AG11" s="33" t="e">
        <f>#REF!-D11</f>
        <v>#REF!</v>
      </c>
      <c r="AH11" s="9"/>
      <c r="AI11" s="9"/>
      <c r="AJ11" s="9"/>
      <c r="AK11" s="9"/>
    </row>
    <row r="12" spans="1:37" s="12" customFormat="1" ht="20.399999999999999" outlineLevel="1" x14ac:dyDescent="0.2">
      <c r="A12" s="61" t="s">
        <v>640</v>
      </c>
      <c r="B12" s="14" t="s">
        <v>65</v>
      </c>
      <c r="C12" s="9" t="s">
        <v>47</v>
      </c>
      <c r="D12" s="25">
        <f t="shared" si="0"/>
        <v>376.8</v>
      </c>
      <c r="E12" s="54"/>
      <c r="F12" s="78"/>
      <c r="G12" s="88">
        <f t="shared" ref="G12:AC12" si="2">G10+G8</f>
        <v>302</v>
      </c>
      <c r="H12" s="88">
        <f t="shared" si="2"/>
        <v>8.8000000000000007</v>
      </c>
      <c r="I12" s="88">
        <f t="shared" si="2"/>
        <v>3</v>
      </c>
      <c r="J12" s="88">
        <f t="shared" si="2"/>
        <v>0</v>
      </c>
      <c r="K12" s="88">
        <f t="shared" si="2"/>
        <v>0</v>
      </c>
      <c r="L12" s="88">
        <f t="shared" si="2"/>
        <v>0</v>
      </c>
      <c r="M12" s="88">
        <f t="shared" si="2"/>
        <v>0</v>
      </c>
      <c r="N12" s="88">
        <f t="shared" si="2"/>
        <v>0</v>
      </c>
      <c r="O12" s="88">
        <f t="shared" si="2"/>
        <v>0</v>
      </c>
      <c r="P12" s="88">
        <f t="shared" si="2"/>
        <v>0</v>
      </c>
      <c r="Q12" s="88">
        <f t="shared" si="2"/>
        <v>0</v>
      </c>
      <c r="R12" s="88">
        <f t="shared" si="2"/>
        <v>0</v>
      </c>
      <c r="S12" s="88">
        <f t="shared" si="2"/>
        <v>0</v>
      </c>
      <c r="T12" s="88">
        <f t="shared" si="2"/>
        <v>0</v>
      </c>
      <c r="U12" s="88">
        <f t="shared" si="2"/>
        <v>9</v>
      </c>
      <c r="V12" s="88">
        <f t="shared" si="2"/>
        <v>9</v>
      </c>
      <c r="W12" s="88">
        <f t="shared" si="2"/>
        <v>9</v>
      </c>
      <c r="X12" s="88">
        <f t="shared" si="2"/>
        <v>9</v>
      </c>
      <c r="Y12" s="88">
        <f t="shared" si="2"/>
        <v>9</v>
      </c>
      <c r="Z12" s="88">
        <f t="shared" si="2"/>
        <v>9</v>
      </c>
      <c r="AA12" s="88">
        <f t="shared" si="2"/>
        <v>9</v>
      </c>
      <c r="AB12" s="88">
        <f t="shared" si="2"/>
        <v>0</v>
      </c>
      <c r="AC12" s="88">
        <f t="shared" si="2"/>
        <v>0</v>
      </c>
      <c r="AD12" s="53" t="e">
        <f>#REF!*D12</f>
        <v>#REF!</v>
      </c>
      <c r="AE12" s="53" t="e">
        <f>AD12-#REF!</f>
        <v>#REF!</v>
      </c>
      <c r="AF12" s="49"/>
      <c r="AG12" s="33" t="e">
        <f>#REF!-D12</f>
        <v>#REF!</v>
      </c>
      <c r="AH12" s="9"/>
      <c r="AI12" s="9"/>
      <c r="AJ12" s="9"/>
      <c r="AK12" s="9"/>
    </row>
    <row r="13" spans="1:37" s="12" customFormat="1" ht="20.399999999999999" outlineLevel="1" x14ac:dyDescent="0.2">
      <c r="A13" s="61" t="s">
        <v>641</v>
      </c>
      <c r="B13" s="14" t="s">
        <v>677</v>
      </c>
      <c r="C13" s="9" t="s">
        <v>48</v>
      </c>
      <c r="D13" s="25">
        <f t="shared" si="0"/>
        <v>7557</v>
      </c>
      <c r="E13" s="54"/>
      <c r="F13" s="78"/>
      <c r="G13" s="33">
        <v>0</v>
      </c>
      <c r="H13" s="33">
        <f>MROUND((318+159)*1.05,3)</f>
        <v>501</v>
      </c>
      <c r="I13" s="9">
        <f>MROUND((276+41+147)*1.05,3)-39</f>
        <v>447</v>
      </c>
      <c r="J13" s="9">
        <f>537-162</f>
        <v>375</v>
      </c>
      <c r="K13" s="9">
        <f>618-228</f>
        <v>390</v>
      </c>
      <c r="L13" s="9">
        <f>MROUND((107+61+108+64+567)*1.05,3)-351</f>
        <v>600</v>
      </c>
      <c r="M13" s="9">
        <v>690</v>
      </c>
      <c r="N13" s="9">
        <v>690</v>
      </c>
      <c r="O13" s="9">
        <v>651</v>
      </c>
      <c r="P13" s="9">
        <v>471</v>
      </c>
      <c r="Q13" s="9">
        <v>471</v>
      </c>
      <c r="R13" s="9">
        <v>0</v>
      </c>
      <c r="S13" s="9">
        <v>0</v>
      </c>
      <c r="T13" s="9">
        <v>0</v>
      </c>
      <c r="U13" s="33">
        <v>339</v>
      </c>
      <c r="V13" s="9">
        <v>249</v>
      </c>
      <c r="W13" s="9">
        <v>327</v>
      </c>
      <c r="X13" s="9">
        <v>294</v>
      </c>
      <c r="Y13" s="9">
        <v>345</v>
      </c>
      <c r="Z13" s="9">
        <v>324</v>
      </c>
      <c r="AA13" s="9">
        <v>393</v>
      </c>
      <c r="AB13" s="9">
        <v>0</v>
      </c>
      <c r="AC13" s="9">
        <v>0</v>
      </c>
      <c r="AD13" s="53" t="e">
        <f>#REF!*D13</f>
        <v>#REF!</v>
      </c>
      <c r="AE13" s="53" t="e">
        <f>AD13-#REF!</f>
        <v>#REF!</v>
      </c>
      <c r="AF13" s="9"/>
      <c r="AG13" s="33" t="e">
        <f>#REF!-D13</f>
        <v>#REF!</v>
      </c>
      <c r="AH13" s="9"/>
      <c r="AI13" s="9"/>
      <c r="AJ13" s="9"/>
      <c r="AK13" s="9"/>
    </row>
    <row r="14" spans="1:37" s="12" customFormat="1" ht="20.399999999999999" outlineLevel="1" x14ac:dyDescent="0.2">
      <c r="A14" s="61" t="s">
        <v>642</v>
      </c>
      <c r="B14" s="95" t="s">
        <v>451</v>
      </c>
      <c r="C14" s="9" t="s">
        <v>47</v>
      </c>
      <c r="D14" s="25">
        <f t="shared" si="0"/>
        <v>2519</v>
      </c>
      <c r="E14" s="54"/>
      <c r="F14" s="78"/>
      <c r="G14" s="88">
        <f t="shared" ref="G14:AC14" si="3">G13/3</f>
        <v>0</v>
      </c>
      <c r="H14" s="88">
        <f t="shared" si="3"/>
        <v>167</v>
      </c>
      <c r="I14" s="88">
        <f t="shared" si="3"/>
        <v>149</v>
      </c>
      <c r="J14" s="88">
        <f t="shared" si="3"/>
        <v>125</v>
      </c>
      <c r="K14" s="88">
        <f t="shared" si="3"/>
        <v>130</v>
      </c>
      <c r="L14" s="88">
        <f t="shared" si="3"/>
        <v>200</v>
      </c>
      <c r="M14" s="88">
        <f t="shared" si="3"/>
        <v>230</v>
      </c>
      <c r="N14" s="88">
        <f t="shared" si="3"/>
        <v>230</v>
      </c>
      <c r="O14" s="88">
        <f t="shared" si="3"/>
        <v>217</v>
      </c>
      <c r="P14" s="88">
        <f t="shared" si="3"/>
        <v>157</v>
      </c>
      <c r="Q14" s="88">
        <f t="shared" si="3"/>
        <v>157</v>
      </c>
      <c r="R14" s="88">
        <f t="shared" si="3"/>
        <v>0</v>
      </c>
      <c r="S14" s="88">
        <f t="shared" si="3"/>
        <v>0</v>
      </c>
      <c r="T14" s="88">
        <f t="shared" si="3"/>
        <v>0</v>
      </c>
      <c r="U14" s="88">
        <f t="shared" si="3"/>
        <v>113</v>
      </c>
      <c r="V14" s="88">
        <f t="shared" si="3"/>
        <v>83</v>
      </c>
      <c r="W14" s="88">
        <f t="shared" si="3"/>
        <v>109</v>
      </c>
      <c r="X14" s="88">
        <f t="shared" si="3"/>
        <v>98</v>
      </c>
      <c r="Y14" s="88">
        <f t="shared" si="3"/>
        <v>115</v>
      </c>
      <c r="Z14" s="88">
        <f t="shared" si="3"/>
        <v>108</v>
      </c>
      <c r="AA14" s="88">
        <f t="shared" si="3"/>
        <v>131</v>
      </c>
      <c r="AB14" s="88">
        <f t="shared" si="3"/>
        <v>0</v>
      </c>
      <c r="AC14" s="88">
        <f t="shared" si="3"/>
        <v>0</v>
      </c>
      <c r="AD14" s="53" t="e">
        <f>#REF!*D14</f>
        <v>#REF!</v>
      </c>
      <c r="AE14" s="53" t="e">
        <f>AD14-#REF!</f>
        <v>#REF!</v>
      </c>
      <c r="AF14" s="9"/>
      <c r="AG14" s="33" t="e">
        <f>#REF!-D14</f>
        <v>#REF!</v>
      </c>
      <c r="AH14" s="9"/>
      <c r="AI14" s="9"/>
      <c r="AJ14" s="9"/>
      <c r="AK14" s="9"/>
    </row>
    <row r="15" spans="1:37" s="17" customFormat="1" ht="30.6" outlineLevel="1" x14ac:dyDescent="0.2">
      <c r="A15" s="61" t="s">
        <v>643</v>
      </c>
      <c r="B15" s="14" t="s">
        <v>1031</v>
      </c>
      <c r="C15" s="9" t="s">
        <v>48</v>
      </c>
      <c r="D15" s="25">
        <f t="shared" si="0"/>
        <v>459</v>
      </c>
      <c r="E15" s="54"/>
      <c r="F15" s="9"/>
      <c r="G15" s="33">
        <v>0</v>
      </c>
      <c r="H15" s="33">
        <f>54+21+24+3-12</f>
        <v>90</v>
      </c>
      <c r="I15" s="9">
        <f>39+30+21</f>
        <v>90</v>
      </c>
      <c r="J15" s="9">
        <f>114-36</f>
        <v>78</v>
      </c>
      <c r="K15" s="9">
        <f>54+18</f>
        <v>72</v>
      </c>
      <c r="L15" s="9">
        <f>39</f>
        <v>39</v>
      </c>
      <c r="M15" s="9">
        <v>0</v>
      </c>
      <c r="N15" s="9">
        <v>0</v>
      </c>
      <c r="O15" s="9">
        <v>0</v>
      </c>
      <c r="P15" s="9">
        <f>18+18</f>
        <v>36</v>
      </c>
      <c r="Q15" s="9">
        <f>18+18</f>
        <v>36</v>
      </c>
      <c r="R15" s="9">
        <v>0</v>
      </c>
      <c r="S15" s="9">
        <v>0</v>
      </c>
      <c r="T15" s="9">
        <v>0</v>
      </c>
      <c r="U15" s="33">
        <v>0</v>
      </c>
      <c r="V15" s="9">
        <v>0</v>
      </c>
      <c r="W15" s="9">
        <v>0</v>
      </c>
      <c r="X15" s="9">
        <v>0</v>
      </c>
      <c r="Y15" s="9">
        <v>0</v>
      </c>
      <c r="Z15" s="9">
        <v>18</v>
      </c>
      <c r="AA15" s="9">
        <v>0</v>
      </c>
      <c r="AB15" s="9">
        <v>0</v>
      </c>
      <c r="AC15" s="9">
        <v>0</v>
      </c>
      <c r="AD15" s="53" t="e">
        <f>#REF!*D15</f>
        <v>#REF!</v>
      </c>
      <c r="AE15" s="53" t="e">
        <f>AD15-#REF!</f>
        <v>#REF!</v>
      </c>
      <c r="AF15" s="8"/>
      <c r="AG15" s="33" t="e">
        <f>#REF!-D15</f>
        <v>#REF!</v>
      </c>
      <c r="AH15" s="8"/>
      <c r="AI15" s="8"/>
      <c r="AJ15" s="8"/>
      <c r="AK15" s="8"/>
    </row>
    <row r="16" spans="1:37" s="17" customFormat="1" ht="36.75" customHeight="1" outlineLevel="1" x14ac:dyDescent="0.2">
      <c r="A16" s="61" t="s">
        <v>644</v>
      </c>
      <c r="B16" s="47" t="s">
        <v>393</v>
      </c>
      <c r="C16" s="9" t="s">
        <v>48</v>
      </c>
      <c r="D16" s="25">
        <f t="shared" si="0"/>
        <v>459</v>
      </c>
      <c r="E16" s="54"/>
      <c r="F16" s="9"/>
      <c r="G16" s="88">
        <f t="shared" ref="G16:AC16" si="4">G15</f>
        <v>0</v>
      </c>
      <c r="H16" s="88">
        <f t="shared" si="4"/>
        <v>90</v>
      </c>
      <c r="I16" s="88">
        <f t="shared" si="4"/>
        <v>90</v>
      </c>
      <c r="J16" s="88">
        <f t="shared" si="4"/>
        <v>78</v>
      </c>
      <c r="K16" s="88">
        <f t="shared" si="4"/>
        <v>72</v>
      </c>
      <c r="L16" s="88">
        <f t="shared" si="4"/>
        <v>39</v>
      </c>
      <c r="M16" s="88">
        <f t="shared" si="4"/>
        <v>0</v>
      </c>
      <c r="N16" s="88">
        <f t="shared" si="4"/>
        <v>0</v>
      </c>
      <c r="O16" s="88">
        <f t="shared" si="4"/>
        <v>0</v>
      </c>
      <c r="P16" s="88">
        <f t="shared" si="4"/>
        <v>36</v>
      </c>
      <c r="Q16" s="88">
        <f t="shared" si="4"/>
        <v>36</v>
      </c>
      <c r="R16" s="88">
        <f t="shared" si="4"/>
        <v>0</v>
      </c>
      <c r="S16" s="88">
        <f t="shared" si="4"/>
        <v>0</v>
      </c>
      <c r="T16" s="88">
        <f t="shared" si="4"/>
        <v>0</v>
      </c>
      <c r="U16" s="88">
        <f t="shared" si="4"/>
        <v>0</v>
      </c>
      <c r="V16" s="88">
        <f t="shared" si="4"/>
        <v>0</v>
      </c>
      <c r="W16" s="88">
        <f t="shared" si="4"/>
        <v>0</v>
      </c>
      <c r="X16" s="88">
        <f t="shared" si="4"/>
        <v>0</v>
      </c>
      <c r="Y16" s="88">
        <f t="shared" si="4"/>
        <v>0</v>
      </c>
      <c r="Z16" s="88">
        <f t="shared" si="4"/>
        <v>18</v>
      </c>
      <c r="AA16" s="88">
        <f t="shared" si="4"/>
        <v>0</v>
      </c>
      <c r="AB16" s="88">
        <f t="shared" si="4"/>
        <v>0</v>
      </c>
      <c r="AC16" s="88">
        <f t="shared" si="4"/>
        <v>0</v>
      </c>
      <c r="AD16" s="53" t="e">
        <f>#REF!*D16</f>
        <v>#REF!</v>
      </c>
      <c r="AE16" s="53" t="e">
        <f>AD16-#REF!</f>
        <v>#REF!</v>
      </c>
      <c r="AF16" s="8"/>
      <c r="AG16" s="33" t="e">
        <f>#REF!-D16</f>
        <v>#REF!</v>
      </c>
      <c r="AH16" s="8"/>
      <c r="AI16" s="8"/>
      <c r="AJ16" s="8"/>
      <c r="AK16" s="8"/>
    </row>
    <row r="17" spans="1:37" s="17" customFormat="1" ht="30.6" outlineLevel="1" x14ac:dyDescent="0.2">
      <c r="A17" s="61" t="s">
        <v>645</v>
      </c>
      <c r="B17" s="14" t="s">
        <v>395</v>
      </c>
      <c r="C17" s="8" t="s">
        <v>47</v>
      </c>
      <c r="D17" s="25">
        <f t="shared" si="0"/>
        <v>3</v>
      </c>
      <c r="E17" s="54"/>
      <c r="F17" s="9"/>
      <c r="G17" s="33">
        <v>0</v>
      </c>
      <c r="H17" s="33">
        <v>0</v>
      </c>
      <c r="I17" s="9">
        <v>1</v>
      </c>
      <c r="J17" s="9">
        <v>0</v>
      </c>
      <c r="K17" s="9">
        <v>1</v>
      </c>
      <c r="L17" s="9">
        <v>1</v>
      </c>
      <c r="M17" s="9">
        <v>0</v>
      </c>
      <c r="N17" s="9">
        <v>0</v>
      </c>
      <c r="O17" s="9">
        <v>0</v>
      </c>
      <c r="P17" s="9">
        <v>0</v>
      </c>
      <c r="Q17" s="9">
        <v>0</v>
      </c>
      <c r="R17" s="9">
        <v>0</v>
      </c>
      <c r="S17" s="9">
        <v>0</v>
      </c>
      <c r="T17" s="49">
        <v>0</v>
      </c>
      <c r="U17" s="33">
        <v>0</v>
      </c>
      <c r="V17" s="9">
        <v>0</v>
      </c>
      <c r="W17" s="9">
        <v>0</v>
      </c>
      <c r="X17" s="9">
        <v>0</v>
      </c>
      <c r="Y17" s="9">
        <v>0</v>
      </c>
      <c r="Z17" s="9">
        <v>0</v>
      </c>
      <c r="AA17" s="9">
        <v>0</v>
      </c>
      <c r="AB17" s="9">
        <v>0</v>
      </c>
      <c r="AC17" s="9">
        <v>0</v>
      </c>
      <c r="AD17" s="53" t="e">
        <f>#REF!*D17</f>
        <v>#REF!</v>
      </c>
      <c r="AE17" s="53" t="e">
        <f>AD17-#REF!</f>
        <v>#REF!</v>
      </c>
      <c r="AF17" s="8"/>
      <c r="AG17" s="33" t="e">
        <f>#REF!-D17</f>
        <v>#REF!</v>
      </c>
      <c r="AH17" s="8"/>
      <c r="AI17" s="8"/>
      <c r="AJ17" s="8"/>
      <c r="AK17" s="8"/>
    </row>
    <row r="18" spans="1:37" s="17" customFormat="1" ht="30.6" outlineLevel="1" x14ac:dyDescent="0.2">
      <c r="A18" s="61" t="s">
        <v>646</v>
      </c>
      <c r="B18" s="14" t="s">
        <v>399</v>
      </c>
      <c r="C18" s="8" t="s">
        <v>47</v>
      </c>
      <c r="D18" s="25">
        <f t="shared" si="0"/>
        <v>19</v>
      </c>
      <c r="E18" s="54"/>
      <c r="F18" s="9"/>
      <c r="G18" s="33">
        <v>0</v>
      </c>
      <c r="H18" s="33">
        <f>1+1</f>
        <v>2</v>
      </c>
      <c r="I18" s="9">
        <f>1+2+2</f>
        <v>5</v>
      </c>
      <c r="J18" s="9">
        <v>3</v>
      </c>
      <c r="K18" s="9">
        <v>4</v>
      </c>
      <c r="L18" s="9">
        <v>0</v>
      </c>
      <c r="M18" s="9">
        <v>0</v>
      </c>
      <c r="N18" s="9">
        <v>0</v>
      </c>
      <c r="O18" s="9">
        <v>0</v>
      </c>
      <c r="P18" s="9">
        <v>2</v>
      </c>
      <c r="Q18" s="9">
        <v>2</v>
      </c>
      <c r="R18" s="9">
        <v>0</v>
      </c>
      <c r="S18" s="9">
        <v>0</v>
      </c>
      <c r="T18" s="49">
        <v>0</v>
      </c>
      <c r="U18" s="33">
        <v>0</v>
      </c>
      <c r="V18" s="9">
        <v>0</v>
      </c>
      <c r="W18" s="9">
        <v>0</v>
      </c>
      <c r="X18" s="9">
        <v>0</v>
      </c>
      <c r="Y18" s="9">
        <v>0</v>
      </c>
      <c r="Z18" s="9">
        <v>1</v>
      </c>
      <c r="AA18" s="9">
        <v>0</v>
      </c>
      <c r="AB18" s="9">
        <v>0</v>
      </c>
      <c r="AC18" s="9">
        <v>0</v>
      </c>
      <c r="AD18" s="53" t="e">
        <f>#REF!*D18</f>
        <v>#REF!</v>
      </c>
      <c r="AE18" s="53" t="e">
        <f>AD18-#REF!</f>
        <v>#REF!</v>
      </c>
      <c r="AF18" s="8"/>
      <c r="AG18" s="33" t="e">
        <f>#REF!-D18</f>
        <v>#REF!</v>
      </c>
      <c r="AH18" s="8"/>
      <c r="AI18" s="8"/>
      <c r="AJ18" s="8"/>
      <c r="AK18" s="8"/>
    </row>
    <row r="19" spans="1:37" s="17" customFormat="1" ht="30.6" outlineLevel="1" x14ac:dyDescent="0.2">
      <c r="A19" s="61" t="s">
        <v>647</v>
      </c>
      <c r="B19" s="47" t="s">
        <v>2469</v>
      </c>
      <c r="C19" s="8" t="s">
        <v>47</v>
      </c>
      <c r="D19" s="25">
        <f t="shared" si="0"/>
        <v>191</v>
      </c>
      <c r="E19" s="54"/>
      <c r="F19" s="9"/>
      <c r="G19" s="33">
        <v>0</v>
      </c>
      <c r="H19" s="33">
        <f>29+11</f>
        <v>40</v>
      </c>
      <c r="I19" s="9">
        <f>15+14+9</f>
        <v>38</v>
      </c>
      <c r="J19" s="9">
        <f>33-9</f>
        <v>24</v>
      </c>
      <c r="K19" s="9">
        <f>9+19</f>
        <v>28</v>
      </c>
      <c r="L19" s="9">
        <f>12</f>
        <v>12</v>
      </c>
      <c r="M19" s="9">
        <v>0</v>
      </c>
      <c r="N19" s="9">
        <v>0</v>
      </c>
      <c r="O19" s="9">
        <v>0</v>
      </c>
      <c r="P19" s="9">
        <v>20</v>
      </c>
      <c r="Q19" s="9">
        <v>20</v>
      </c>
      <c r="R19" s="9">
        <v>0</v>
      </c>
      <c r="S19" s="9">
        <v>0</v>
      </c>
      <c r="T19" s="49">
        <v>0</v>
      </c>
      <c r="U19" s="33">
        <v>0</v>
      </c>
      <c r="V19" s="9">
        <v>0</v>
      </c>
      <c r="W19" s="9">
        <v>0</v>
      </c>
      <c r="X19" s="9">
        <v>0</v>
      </c>
      <c r="Y19" s="9">
        <v>0</v>
      </c>
      <c r="Z19" s="9">
        <v>9</v>
      </c>
      <c r="AA19" s="9">
        <v>0</v>
      </c>
      <c r="AB19" s="9">
        <v>0</v>
      </c>
      <c r="AC19" s="9">
        <v>0</v>
      </c>
      <c r="AD19" s="53" t="e">
        <f>#REF!*D19</f>
        <v>#REF!</v>
      </c>
      <c r="AE19" s="53" t="e">
        <f>AD19-#REF!</f>
        <v>#REF!</v>
      </c>
      <c r="AF19" s="8"/>
      <c r="AG19" s="33" t="e">
        <f>#REF!-D19</f>
        <v>#REF!</v>
      </c>
      <c r="AH19" s="8"/>
      <c r="AI19" s="8"/>
      <c r="AJ19" s="8"/>
      <c r="AK19" s="8"/>
    </row>
    <row r="20" spans="1:37" s="17" customFormat="1" ht="40.799999999999997" outlineLevel="1" x14ac:dyDescent="0.2">
      <c r="A20" s="61" t="s">
        <v>648</v>
      </c>
      <c r="B20" s="14" t="s">
        <v>422</v>
      </c>
      <c r="C20" s="8" t="s">
        <v>47</v>
      </c>
      <c r="D20" s="25">
        <f t="shared" si="0"/>
        <v>306</v>
      </c>
      <c r="E20" s="54"/>
      <c r="F20" s="9"/>
      <c r="G20" s="88">
        <f t="shared" ref="G20:AC20" si="5">G15/1.5</f>
        <v>0</v>
      </c>
      <c r="H20" s="88">
        <f t="shared" si="5"/>
        <v>60</v>
      </c>
      <c r="I20" s="88">
        <f t="shared" si="5"/>
        <v>60</v>
      </c>
      <c r="J20" s="88">
        <f t="shared" si="5"/>
        <v>52</v>
      </c>
      <c r="K20" s="88">
        <f t="shared" si="5"/>
        <v>48</v>
      </c>
      <c r="L20" s="88">
        <f t="shared" si="5"/>
        <v>26</v>
      </c>
      <c r="M20" s="88">
        <f t="shared" si="5"/>
        <v>0</v>
      </c>
      <c r="N20" s="88">
        <f t="shared" si="5"/>
        <v>0</v>
      </c>
      <c r="O20" s="88">
        <f t="shared" si="5"/>
        <v>0</v>
      </c>
      <c r="P20" s="88">
        <f t="shared" si="5"/>
        <v>24</v>
      </c>
      <c r="Q20" s="88">
        <f t="shared" si="5"/>
        <v>24</v>
      </c>
      <c r="R20" s="88">
        <f t="shared" si="5"/>
        <v>0</v>
      </c>
      <c r="S20" s="88">
        <f t="shared" si="5"/>
        <v>0</v>
      </c>
      <c r="T20" s="88">
        <f t="shared" si="5"/>
        <v>0</v>
      </c>
      <c r="U20" s="88">
        <f t="shared" si="5"/>
        <v>0</v>
      </c>
      <c r="V20" s="88">
        <f t="shared" si="5"/>
        <v>0</v>
      </c>
      <c r="W20" s="88">
        <f t="shared" si="5"/>
        <v>0</v>
      </c>
      <c r="X20" s="88">
        <f t="shared" si="5"/>
        <v>0</v>
      </c>
      <c r="Y20" s="88">
        <f t="shared" si="5"/>
        <v>0</v>
      </c>
      <c r="Z20" s="88">
        <f t="shared" si="5"/>
        <v>12</v>
      </c>
      <c r="AA20" s="88">
        <f t="shared" si="5"/>
        <v>0</v>
      </c>
      <c r="AB20" s="88">
        <f t="shared" si="5"/>
        <v>0</v>
      </c>
      <c r="AC20" s="88">
        <f t="shared" si="5"/>
        <v>0</v>
      </c>
      <c r="AD20" s="53" t="e">
        <f>#REF!*D20</f>
        <v>#REF!</v>
      </c>
      <c r="AE20" s="53" t="e">
        <f>AD20-#REF!</f>
        <v>#REF!</v>
      </c>
      <c r="AF20" s="8"/>
      <c r="AG20" s="33" t="e">
        <f>#REF!-D20</f>
        <v>#REF!</v>
      </c>
      <c r="AH20" s="8"/>
      <c r="AI20" s="8"/>
      <c r="AJ20" s="8"/>
      <c r="AK20" s="8"/>
    </row>
    <row r="21" spans="1:37" s="17" customFormat="1" ht="30.6" outlineLevel="1" x14ac:dyDescent="0.2">
      <c r="A21" s="61" t="s">
        <v>649</v>
      </c>
      <c r="B21" s="14" t="s">
        <v>421</v>
      </c>
      <c r="C21" s="8" t="s">
        <v>47</v>
      </c>
      <c r="D21" s="25">
        <f t="shared" si="0"/>
        <v>306</v>
      </c>
      <c r="E21" s="54"/>
      <c r="F21" s="9"/>
      <c r="G21" s="88">
        <f t="shared" ref="G21:AC21" si="6">G15/3*2</f>
        <v>0</v>
      </c>
      <c r="H21" s="88">
        <f t="shared" si="6"/>
        <v>60</v>
      </c>
      <c r="I21" s="88">
        <f t="shared" si="6"/>
        <v>60</v>
      </c>
      <c r="J21" s="88">
        <f t="shared" si="6"/>
        <v>52</v>
      </c>
      <c r="K21" s="88">
        <f t="shared" si="6"/>
        <v>48</v>
      </c>
      <c r="L21" s="88">
        <f t="shared" si="6"/>
        <v>26</v>
      </c>
      <c r="M21" s="88">
        <f t="shared" si="6"/>
        <v>0</v>
      </c>
      <c r="N21" s="88">
        <f t="shared" si="6"/>
        <v>0</v>
      </c>
      <c r="O21" s="88">
        <f t="shared" si="6"/>
        <v>0</v>
      </c>
      <c r="P21" s="88">
        <f t="shared" si="6"/>
        <v>24</v>
      </c>
      <c r="Q21" s="88">
        <f t="shared" si="6"/>
        <v>24</v>
      </c>
      <c r="R21" s="88">
        <f t="shared" si="6"/>
        <v>0</v>
      </c>
      <c r="S21" s="88">
        <f t="shared" si="6"/>
        <v>0</v>
      </c>
      <c r="T21" s="88">
        <f t="shared" si="6"/>
        <v>0</v>
      </c>
      <c r="U21" s="88">
        <f t="shared" si="6"/>
        <v>0</v>
      </c>
      <c r="V21" s="88">
        <f t="shared" si="6"/>
        <v>0</v>
      </c>
      <c r="W21" s="88">
        <f t="shared" si="6"/>
        <v>0</v>
      </c>
      <c r="X21" s="88">
        <f t="shared" si="6"/>
        <v>0</v>
      </c>
      <c r="Y21" s="88">
        <f t="shared" si="6"/>
        <v>0</v>
      </c>
      <c r="Z21" s="88">
        <f t="shared" si="6"/>
        <v>12</v>
      </c>
      <c r="AA21" s="88">
        <f t="shared" si="6"/>
        <v>0</v>
      </c>
      <c r="AB21" s="88">
        <f t="shared" si="6"/>
        <v>0</v>
      </c>
      <c r="AC21" s="88">
        <f t="shared" si="6"/>
        <v>0</v>
      </c>
      <c r="AD21" s="53" t="e">
        <f>#REF!*D21</f>
        <v>#REF!</v>
      </c>
      <c r="AE21" s="53" t="e">
        <f>AD21-#REF!</f>
        <v>#REF!</v>
      </c>
      <c r="AF21" s="8"/>
      <c r="AG21" s="33" t="e">
        <f>#REF!-D21</f>
        <v>#REF!</v>
      </c>
      <c r="AH21" s="8"/>
      <c r="AI21" s="8"/>
      <c r="AJ21" s="8"/>
      <c r="AK21" s="8"/>
    </row>
    <row r="22" spans="1:37" s="17" customFormat="1" ht="20.399999999999999" outlineLevel="1" x14ac:dyDescent="0.2">
      <c r="A22" s="61" t="s">
        <v>650</v>
      </c>
      <c r="B22" s="14" t="s">
        <v>424</v>
      </c>
      <c r="C22" s="8" t="s">
        <v>47</v>
      </c>
      <c r="D22" s="25">
        <f t="shared" si="0"/>
        <v>306</v>
      </c>
      <c r="E22" s="54"/>
      <c r="F22" s="9"/>
      <c r="G22" s="88">
        <f t="shared" ref="G22:AC22" si="7">G20</f>
        <v>0</v>
      </c>
      <c r="H22" s="88">
        <f t="shared" si="7"/>
        <v>60</v>
      </c>
      <c r="I22" s="88">
        <f t="shared" si="7"/>
        <v>60</v>
      </c>
      <c r="J22" s="88">
        <f t="shared" si="7"/>
        <v>52</v>
      </c>
      <c r="K22" s="88">
        <f t="shared" si="7"/>
        <v>48</v>
      </c>
      <c r="L22" s="88">
        <f t="shared" si="7"/>
        <v>26</v>
      </c>
      <c r="M22" s="88">
        <f t="shared" si="7"/>
        <v>0</v>
      </c>
      <c r="N22" s="88">
        <f t="shared" si="7"/>
        <v>0</v>
      </c>
      <c r="O22" s="88">
        <f t="shared" si="7"/>
        <v>0</v>
      </c>
      <c r="P22" s="88">
        <f t="shared" si="7"/>
        <v>24</v>
      </c>
      <c r="Q22" s="88">
        <f t="shared" si="7"/>
        <v>24</v>
      </c>
      <c r="R22" s="88">
        <f t="shared" si="7"/>
        <v>0</v>
      </c>
      <c r="S22" s="88">
        <f t="shared" si="7"/>
        <v>0</v>
      </c>
      <c r="T22" s="88">
        <f t="shared" si="7"/>
        <v>0</v>
      </c>
      <c r="U22" s="88">
        <f t="shared" si="7"/>
        <v>0</v>
      </c>
      <c r="V22" s="88">
        <f t="shared" si="7"/>
        <v>0</v>
      </c>
      <c r="W22" s="88">
        <f t="shared" si="7"/>
        <v>0</v>
      </c>
      <c r="X22" s="88">
        <f t="shared" si="7"/>
        <v>0</v>
      </c>
      <c r="Y22" s="88">
        <f t="shared" si="7"/>
        <v>0</v>
      </c>
      <c r="Z22" s="88">
        <f t="shared" si="7"/>
        <v>12</v>
      </c>
      <c r="AA22" s="88">
        <f t="shared" si="7"/>
        <v>0</v>
      </c>
      <c r="AB22" s="88">
        <f t="shared" si="7"/>
        <v>0</v>
      </c>
      <c r="AC22" s="88">
        <f t="shared" si="7"/>
        <v>0</v>
      </c>
      <c r="AD22" s="53" t="e">
        <f>#REF!*D22</f>
        <v>#REF!</v>
      </c>
      <c r="AE22" s="53" t="e">
        <f>AD22-#REF!</f>
        <v>#REF!</v>
      </c>
      <c r="AF22" s="8"/>
      <c r="AG22" s="33" t="e">
        <f>#REF!-D22</f>
        <v>#REF!</v>
      </c>
      <c r="AH22" s="8"/>
      <c r="AI22" s="8"/>
      <c r="AJ22" s="8"/>
      <c r="AK22" s="8"/>
    </row>
    <row r="23" spans="1:37" s="12" customFormat="1" ht="20.399999999999999" outlineLevel="1" x14ac:dyDescent="0.2">
      <c r="A23" s="61" t="s">
        <v>651</v>
      </c>
      <c r="B23" s="14" t="s">
        <v>69</v>
      </c>
      <c r="C23" s="9" t="s">
        <v>47</v>
      </c>
      <c r="D23" s="25">
        <f t="shared" si="0"/>
        <v>612</v>
      </c>
      <c r="E23" s="54"/>
      <c r="F23" s="78"/>
      <c r="G23" s="88">
        <f t="shared" ref="G23:AC23" si="8">G22*2</f>
        <v>0</v>
      </c>
      <c r="H23" s="88">
        <f t="shared" si="8"/>
        <v>120</v>
      </c>
      <c r="I23" s="88">
        <f t="shared" si="8"/>
        <v>120</v>
      </c>
      <c r="J23" s="88">
        <f t="shared" si="8"/>
        <v>104</v>
      </c>
      <c r="K23" s="88">
        <f t="shared" si="8"/>
        <v>96</v>
      </c>
      <c r="L23" s="88">
        <f t="shared" si="8"/>
        <v>52</v>
      </c>
      <c r="M23" s="88">
        <f t="shared" si="8"/>
        <v>0</v>
      </c>
      <c r="N23" s="88">
        <f t="shared" si="8"/>
        <v>0</v>
      </c>
      <c r="O23" s="88">
        <f t="shared" si="8"/>
        <v>0</v>
      </c>
      <c r="P23" s="88">
        <f t="shared" si="8"/>
        <v>48</v>
      </c>
      <c r="Q23" s="88">
        <f t="shared" si="8"/>
        <v>48</v>
      </c>
      <c r="R23" s="88">
        <f t="shared" si="8"/>
        <v>0</v>
      </c>
      <c r="S23" s="88">
        <f t="shared" si="8"/>
        <v>0</v>
      </c>
      <c r="T23" s="88">
        <f t="shared" si="8"/>
        <v>0</v>
      </c>
      <c r="U23" s="88">
        <f t="shared" si="8"/>
        <v>0</v>
      </c>
      <c r="V23" s="88">
        <f t="shared" si="8"/>
        <v>0</v>
      </c>
      <c r="W23" s="88">
        <f t="shared" si="8"/>
        <v>0</v>
      </c>
      <c r="X23" s="88">
        <f t="shared" si="8"/>
        <v>0</v>
      </c>
      <c r="Y23" s="88">
        <f t="shared" si="8"/>
        <v>0</v>
      </c>
      <c r="Z23" s="88">
        <f t="shared" si="8"/>
        <v>24</v>
      </c>
      <c r="AA23" s="88">
        <f t="shared" si="8"/>
        <v>0</v>
      </c>
      <c r="AB23" s="88">
        <f t="shared" si="8"/>
        <v>0</v>
      </c>
      <c r="AC23" s="88">
        <f t="shared" si="8"/>
        <v>0</v>
      </c>
      <c r="AD23" s="53" t="e">
        <f>#REF!*D23</f>
        <v>#REF!</v>
      </c>
      <c r="AE23" s="53" t="e">
        <f>AD23-#REF!</f>
        <v>#REF!</v>
      </c>
      <c r="AF23" s="9"/>
      <c r="AG23" s="33" t="e">
        <f>#REF!-D23</f>
        <v>#REF!</v>
      </c>
      <c r="AH23" s="9"/>
      <c r="AI23" s="9"/>
      <c r="AJ23" s="9"/>
      <c r="AK23" s="9"/>
    </row>
    <row r="24" spans="1:37" s="12" customFormat="1" ht="20.399999999999999" outlineLevel="1" x14ac:dyDescent="0.2">
      <c r="A24" s="61" t="s">
        <v>652</v>
      </c>
      <c r="B24" s="14" t="s">
        <v>1032</v>
      </c>
      <c r="C24" s="9" t="s">
        <v>47</v>
      </c>
      <c r="D24" s="25">
        <f t="shared" si="0"/>
        <v>1836</v>
      </c>
      <c r="E24" s="54"/>
      <c r="F24" s="78"/>
      <c r="G24" s="88">
        <f t="shared" ref="G24:AC24" si="9">G22*6</f>
        <v>0</v>
      </c>
      <c r="H24" s="88">
        <f t="shared" si="9"/>
        <v>360</v>
      </c>
      <c r="I24" s="88">
        <f t="shared" si="9"/>
        <v>360</v>
      </c>
      <c r="J24" s="88">
        <f t="shared" si="9"/>
        <v>312</v>
      </c>
      <c r="K24" s="88">
        <f t="shared" si="9"/>
        <v>288</v>
      </c>
      <c r="L24" s="88">
        <f t="shared" si="9"/>
        <v>156</v>
      </c>
      <c r="M24" s="88">
        <f t="shared" si="9"/>
        <v>0</v>
      </c>
      <c r="N24" s="88">
        <f t="shared" si="9"/>
        <v>0</v>
      </c>
      <c r="O24" s="88">
        <f t="shared" si="9"/>
        <v>0</v>
      </c>
      <c r="P24" s="88">
        <f t="shared" si="9"/>
        <v>144</v>
      </c>
      <c r="Q24" s="88">
        <f t="shared" si="9"/>
        <v>144</v>
      </c>
      <c r="R24" s="88">
        <f t="shared" si="9"/>
        <v>0</v>
      </c>
      <c r="S24" s="88">
        <f t="shared" si="9"/>
        <v>0</v>
      </c>
      <c r="T24" s="88">
        <f t="shared" si="9"/>
        <v>0</v>
      </c>
      <c r="U24" s="88">
        <f t="shared" si="9"/>
        <v>0</v>
      </c>
      <c r="V24" s="88">
        <f t="shared" si="9"/>
        <v>0</v>
      </c>
      <c r="W24" s="88">
        <f t="shared" si="9"/>
        <v>0</v>
      </c>
      <c r="X24" s="88">
        <f t="shared" si="9"/>
        <v>0</v>
      </c>
      <c r="Y24" s="88">
        <f t="shared" si="9"/>
        <v>0</v>
      </c>
      <c r="Z24" s="88">
        <f t="shared" si="9"/>
        <v>72</v>
      </c>
      <c r="AA24" s="88">
        <f t="shared" si="9"/>
        <v>0</v>
      </c>
      <c r="AB24" s="88">
        <f t="shared" si="9"/>
        <v>0</v>
      </c>
      <c r="AC24" s="88">
        <f t="shared" si="9"/>
        <v>0</v>
      </c>
      <c r="AD24" s="53" t="e">
        <f>#REF!*D24</f>
        <v>#REF!</v>
      </c>
      <c r="AE24" s="53" t="e">
        <f>AD24-#REF!</f>
        <v>#REF!</v>
      </c>
      <c r="AF24" s="9"/>
      <c r="AG24" s="33" t="e">
        <f>#REF!-D24</f>
        <v>#REF!</v>
      </c>
      <c r="AH24" s="9"/>
      <c r="AI24" s="9"/>
      <c r="AJ24" s="9"/>
      <c r="AK24" s="9"/>
    </row>
    <row r="25" spans="1:37" s="17" customFormat="1" ht="20.399999999999999" outlineLevel="1" x14ac:dyDescent="0.2">
      <c r="A25" s="61" t="s">
        <v>653</v>
      </c>
      <c r="B25" s="14" t="s">
        <v>1033</v>
      </c>
      <c r="C25" s="8" t="s">
        <v>48</v>
      </c>
      <c r="D25" s="25">
        <f t="shared" si="0"/>
        <v>168</v>
      </c>
      <c r="E25" s="54"/>
      <c r="F25" s="9"/>
      <c r="G25" s="88">
        <f t="shared" ref="G25:AC25" si="10">MROUND(G20*0.55,3)</f>
        <v>0</v>
      </c>
      <c r="H25" s="88">
        <f t="shared" si="10"/>
        <v>33</v>
      </c>
      <c r="I25" s="88">
        <f t="shared" si="10"/>
        <v>33</v>
      </c>
      <c r="J25" s="88">
        <f t="shared" si="10"/>
        <v>30</v>
      </c>
      <c r="K25" s="88">
        <f t="shared" si="10"/>
        <v>27</v>
      </c>
      <c r="L25" s="88">
        <f t="shared" si="10"/>
        <v>15</v>
      </c>
      <c r="M25" s="88">
        <f t="shared" si="10"/>
        <v>0</v>
      </c>
      <c r="N25" s="88">
        <f t="shared" si="10"/>
        <v>0</v>
      </c>
      <c r="O25" s="88">
        <f t="shared" si="10"/>
        <v>0</v>
      </c>
      <c r="P25" s="88">
        <f t="shared" si="10"/>
        <v>12</v>
      </c>
      <c r="Q25" s="88">
        <f t="shared" si="10"/>
        <v>12</v>
      </c>
      <c r="R25" s="88">
        <f t="shared" si="10"/>
        <v>0</v>
      </c>
      <c r="S25" s="88">
        <f t="shared" si="10"/>
        <v>0</v>
      </c>
      <c r="T25" s="88">
        <f t="shared" si="10"/>
        <v>0</v>
      </c>
      <c r="U25" s="88">
        <f t="shared" si="10"/>
        <v>0</v>
      </c>
      <c r="V25" s="88">
        <f t="shared" si="10"/>
        <v>0</v>
      </c>
      <c r="W25" s="88">
        <f t="shared" si="10"/>
        <v>0</v>
      </c>
      <c r="X25" s="88">
        <f t="shared" si="10"/>
        <v>0</v>
      </c>
      <c r="Y25" s="88">
        <f t="shared" si="10"/>
        <v>0</v>
      </c>
      <c r="Z25" s="88">
        <f t="shared" si="10"/>
        <v>6</v>
      </c>
      <c r="AA25" s="88">
        <f t="shared" si="10"/>
        <v>0</v>
      </c>
      <c r="AB25" s="88">
        <f t="shared" si="10"/>
        <v>0</v>
      </c>
      <c r="AC25" s="88">
        <f t="shared" si="10"/>
        <v>0</v>
      </c>
      <c r="AD25" s="53" t="e">
        <f>#REF!*D25</f>
        <v>#REF!</v>
      </c>
      <c r="AE25" s="53" t="e">
        <f>AD25-#REF!</f>
        <v>#REF!</v>
      </c>
      <c r="AF25" s="8"/>
      <c r="AG25" s="33" t="e">
        <f>#REF!-D25</f>
        <v>#REF!</v>
      </c>
      <c r="AH25" s="8"/>
      <c r="AI25" s="8"/>
      <c r="AJ25" s="8"/>
      <c r="AK25" s="8"/>
    </row>
    <row r="26" spans="1:37" s="17" customFormat="1" ht="26.25" customHeight="1" outlineLevel="1" x14ac:dyDescent="0.2">
      <c r="A26" s="61" t="s">
        <v>654</v>
      </c>
      <c r="B26" s="47" t="s">
        <v>425</v>
      </c>
      <c r="C26" s="8" t="s">
        <v>47</v>
      </c>
      <c r="D26" s="25">
        <f t="shared" si="0"/>
        <v>2448</v>
      </c>
      <c r="E26" s="54"/>
      <c r="F26" s="9"/>
      <c r="G26" s="88">
        <f t="shared" ref="G26:AC26" si="11">G21*8</f>
        <v>0</v>
      </c>
      <c r="H26" s="88">
        <f t="shared" si="11"/>
        <v>480</v>
      </c>
      <c r="I26" s="88">
        <f t="shared" si="11"/>
        <v>480</v>
      </c>
      <c r="J26" s="88">
        <f t="shared" si="11"/>
        <v>416</v>
      </c>
      <c r="K26" s="88">
        <f t="shared" si="11"/>
        <v>384</v>
      </c>
      <c r="L26" s="88">
        <f t="shared" si="11"/>
        <v>208</v>
      </c>
      <c r="M26" s="88">
        <f t="shared" si="11"/>
        <v>0</v>
      </c>
      <c r="N26" s="88">
        <f t="shared" si="11"/>
        <v>0</v>
      </c>
      <c r="O26" s="88">
        <f t="shared" si="11"/>
        <v>0</v>
      </c>
      <c r="P26" s="88">
        <f t="shared" si="11"/>
        <v>192</v>
      </c>
      <c r="Q26" s="88">
        <f t="shared" si="11"/>
        <v>192</v>
      </c>
      <c r="R26" s="88">
        <f t="shared" si="11"/>
        <v>0</v>
      </c>
      <c r="S26" s="88">
        <f t="shared" si="11"/>
        <v>0</v>
      </c>
      <c r="T26" s="88">
        <f t="shared" si="11"/>
        <v>0</v>
      </c>
      <c r="U26" s="88">
        <f t="shared" si="11"/>
        <v>0</v>
      </c>
      <c r="V26" s="88">
        <f t="shared" si="11"/>
        <v>0</v>
      </c>
      <c r="W26" s="88">
        <f t="shared" si="11"/>
        <v>0</v>
      </c>
      <c r="X26" s="88">
        <f t="shared" si="11"/>
        <v>0</v>
      </c>
      <c r="Y26" s="88">
        <f t="shared" si="11"/>
        <v>0</v>
      </c>
      <c r="Z26" s="88">
        <f t="shared" si="11"/>
        <v>96</v>
      </c>
      <c r="AA26" s="88">
        <f t="shared" si="11"/>
        <v>0</v>
      </c>
      <c r="AB26" s="88">
        <f t="shared" si="11"/>
        <v>0</v>
      </c>
      <c r="AC26" s="88">
        <f t="shared" si="11"/>
        <v>0</v>
      </c>
      <c r="AD26" s="53" t="e">
        <f>#REF!*D26</f>
        <v>#REF!</v>
      </c>
      <c r="AE26" s="53" t="e">
        <f>AD26-#REF!</f>
        <v>#REF!</v>
      </c>
      <c r="AF26" s="8"/>
      <c r="AG26" s="33" t="e">
        <f>#REF!-D26</f>
        <v>#REF!</v>
      </c>
      <c r="AH26" s="8"/>
      <c r="AI26" s="8"/>
      <c r="AJ26" s="8"/>
      <c r="AK26" s="8"/>
    </row>
    <row r="27" spans="1:37" s="17" customFormat="1" ht="30.6" outlineLevel="1" x14ac:dyDescent="0.2">
      <c r="A27" s="61" t="s">
        <v>655</v>
      </c>
      <c r="B27" s="235" t="s">
        <v>2468</v>
      </c>
      <c r="C27" s="8" t="s">
        <v>48</v>
      </c>
      <c r="D27" s="25">
        <f t="shared" si="0"/>
        <v>11416</v>
      </c>
      <c r="E27" s="54"/>
      <c r="F27" s="9"/>
      <c r="G27" s="33">
        <v>0</v>
      </c>
      <c r="H27" s="33">
        <f>789+513+271+11</f>
        <v>1584</v>
      </c>
      <c r="I27" s="9">
        <f>630+192+333+135+6-231</f>
        <v>1065</v>
      </c>
      <c r="J27" s="9">
        <f>1029-309</f>
        <v>720</v>
      </c>
      <c r="K27" s="9">
        <f>12+220+229+185+7+2</f>
        <v>655</v>
      </c>
      <c r="L27" s="9">
        <f>247+196+250+13</f>
        <v>706</v>
      </c>
      <c r="M27" s="9">
        <f>224+77+227+9</f>
        <v>537</v>
      </c>
      <c r="N27" s="9">
        <v>537</v>
      </c>
      <c r="O27" s="9">
        <f>194+70+254+13</f>
        <v>531</v>
      </c>
      <c r="P27" s="9">
        <f>201+366+6</f>
        <v>573</v>
      </c>
      <c r="Q27" s="9">
        <f>201+366+6</f>
        <v>573</v>
      </c>
      <c r="R27" s="9">
        <v>147</v>
      </c>
      <c r="S27" s="9">
        <v>0</v>
      </c>
      <c r="T27" s="49">
        <v>0</v>
      </c>
      <c r="U27" s="33">
        <v>786</v>
      </c>
      <c r="V27" s="9">
        <v>555</v>
      </c>
      <c r="W27" s="9">
        <v>614</v>
      </c>
      <c r="X27" s="9">
        <v>486</v>
      </c>
      <c r="Y27" s="9">
        <v>480</v>
      </c>
      <c r="Z27" s="9">
        <v>393</v>
      </c>
      <c r="AA27" s="9">
        <v>474</v>
      </c>
      <c r="AB27" s="9">
        <v>0</v>
      </c>
      <c r="AC27" s="9">
        <v>0</v>
      </c>
      <c r="AD27" s="53" t="e">
        <f>#REF!*D27</f>
        <v>#REF!</v>
      </c>
      <c r="AE27" s="53" t="e">
        <f>AD27-#REF!</f>
        <v>#REF!</v>
      </c>
      <c r="AF27" s="8"/>
      <c r="AG27" s="33" t="e">
        <f>#REF!-D27</f>
        <v>#REF!</v>
      </c>
      <c r="AH27" s="8"/>
      <c r="AI27" s="8"/>
      <c r="AJ27" s="8"/>
      <c r="AK27" s="8"/>
    </row>
    <row r="28" spans="1:37" s="17" customFormat="1" ht="24.75" customHeight="1" outlineLevel="1" x14ac:dyDescent="0.2">
      <c r="A28" s="61" t="s">
        <v>656</v>
      </c>
      <c r="B28" s="47" t="s">
        <v>2499</v>
      </c>
      <c r="C28" s="9" t="s">
        <v>47</v>
      </c>
      <c r="D28" s="25">
        <f t="shared" si="0"/>
        <v>3805.333333333333</v>
      </c>
      <c r="E28" s="54"/>
      <c r="F28" s="9"/>
      <c r="G28" s="88">
        <f t="shared" ref="G28:AC28" si="12">G27/3</f>
        <v>0</v>
      </c>
      <c r="H28" s="88">
        <f t="shared" si="12"/>
        <v>528</v>
      </c>
      <c r="I28" s="88">
        <f t="shared" si="12"/>
        <v>355</v>
      </c>
      <c r="J28" s="88">
        <f t="shared" si="12"/>
        <v>240</v>
      </c>
      <c r="K28" s="88">
        <f t="shared" si="12"/>
        <v>218.33333333333334</v>
      </c>
      <c r="L28" s="88">
        <f t="shared" si="12"/>
        <v>235.33333333333334</v>
      </c>
      <c r="M28" s="88">
        <f t="shared" si="12"/>
        <v>179</v>
      </c>
      <c r="N28" s="88">
        <f t="shared" si="12"/>
        <v>179</v>
      </c>
      <c r="O28" s="88">
        <f t="shared" si="12"/>
        <v>177</v>
      </c>
      <c r="P28" s="88">
        <f t="shared" si="12"/>
        <v>191</v>
      </c>
      <c r="Q28" s="88">
        <f t="shared" si="12"/>
        <v>191</v>
      </c>
      <c r="R28" s="88">
        <f t="shared" si="12"/>
        <v>49</v>
      </c>
      <c r="S28" s="88">
        <f t="shared" si="12"/>
        <v>0</v>
      </c>
      <c r="T28" s="88">
        <f t="shared" si="12"/>
        <v>0</v>
      </c>
      <c r="U28" s="88">
        <f t="shared" si="12"/>
        <v>262</v>
      </c>
      <c r="V28" s="88">
        <f t="shared" si="12"/>
        <v>185</v>
      </c>
      <c r="W28" s="88">
        <f t="shared" si="12"/>
        <v>204.66666666666666</v>
      </c>
      <c r="X28" s="88">
        <f t="shared" si="12"/>
        <v>162</v>
      </c>
      <c r="Y28" s="88">
        <f t="shared" si="12"/>
        <v>160</v>
      </c>
      <c r="Z28" s="88">
        <f t="shared" si="12"/>
        <v>131</v>
      </c>
      <c r="AA28" s="88">
        <f t="shared" si="12"/>
        <v>158</v>
      </c>
      <c r="AB28" s="88">
        <f t="shared" si="12"/>
        <v>0</v>
      </c>
      <c r="AC28" s="88">
        <f t="shared" si="12"/>
        <v>0</v>
      </c>
      <c r="AD28" s="53" t="e">
        <f>#REF!*D28</f>
        <v>#REF!</v>
      </c>
      <c r="AE28" s="53" t="e">
        <f>AD28-#REF!</f>
        <v>#REF!</v>
      </c>
      <c r="AF28" s="8"/>
      <c r="AG28" s="33" t="e">
        <f>#REF!-D28</f>
        <v>#REF!</v>
      </c>
      <c r="AH28" s="8"/>
      <c r="AI28" s="8"/>
      <c r="AJ28" s="8"/>
      <c r="AK28" s="8"/>
    </row>
    <row r="29" spans="1:37" s="17" customFormat="1" ht="24.75" customHeight="1" outlineLevel="1" x14ac:dyDescent="0.2">
      <c r="A29" s="61" t="s">
        <v>657</v>
      </c>
      <c r="B29" s="47" t="s">
        <v>2470</v>
      </c>
      <c r="C29" s="9" t="s">
        <v>47</v>
      </c>
      <c r="D29" s="25">
        <f t="shared" si="0"/>
        <v>1715</v>
      </c>
      <c r="E29" s="54"/>
      <c r="F29" s="9"/>
      <c r="G29" s="33">
        <v>0</v>
      </c>
      <c r="H29" s="33">
        <f>134+105+41</f>
        <v>280</v>
      </c>
      <c r="I29" s="33">
        <f>110+37</f>
        <v>147</v>
      </c>
      <c r="J29" s="33">
        <f>145-43</f>
        <v>102</v>
      </c>
      <c r="K29" s="33">
        <f>36+40+36</f>
        <v>112</v>
      </c>
      <c r="L29" s="33">
        <f>36+35+27</f>
        <v>98</v>
      </c>
      <c r="M29" s="33">
        <f>28+7+25</f>
        <v>60</v>
      </c>
      <c r="N29" s="33">
        <v>60</v>
      </c>
      <c r="O29" s="33">
        <f>33+9+18</f>
        <v>60</v>
      </c>
      <c r="P29" s="33">
        <f>57+25</f>
        <v>82</v>
      </c>
      <c r="Q29" s="33">
        <f>57+25</f>
        <v>82</v>
      </c>
      <c r="R29" s="33">
        <v>4</v>
      </c>
      <c r="S29" s="33">
        <v>0</v>
      </c>
      <c r="T29" s="33">
        <v>0</v>
      </c>
      <c r="U29" s="33">
        <v>110</v>
      </c>
      <c r="V29" s="33">
        <v>100</v>
      </c>
      <c r="W29" s="33">
        <v>98</v>
      </c>
      <c r="X29" s="33">
        <v>76</v>
      </c>
      <c r="Y29" s="33">
        <v>112</v>
      </c>
      <c r="Z29" s="9">
        <v>58</v>
      </c>
      <c r="AA29" s="9">
        <v>74</v>
      </c>
      <c r="AB29" s="9">
        <v>0</v>
      </c>
      <c r="AC29" s="9">
        <v>0</v>
      </c>
      <c r="AD29" s="53" t="e">
        <f>#REF!*D29</f>
        <v>#REF!</v>
      </c>
      <c r="AE29" s="53" t="e">
        <f>AD29-#REF!</f>
        <v>#REF!</v>
      </c>
      <c r="AF29" s="8"/>
      <c r="AG29" s="33" t="e">
        <f>#REF!-D29</f>
        <v>#REF!</v>
      </c>
      <c r="AH29" s="8"/>
      <c r="AI29" s="8"/>
      <c r="AJ29" s="8"/>
      <c r="AK29" s="8"/>
    </row>
    <row r="30" spans="1:37" s="17" customFormat="1" ht="24.75" customHeight="1" outlineLevel="1" x14ac:dyDescent="0.2">
      <c r="A30" s="61" t="s">
        <v>658</v>
      </c>
      <c r="B30" s="47" t="s">
        <v>2471</v>
      </c>
      <c r="C30" s="9" t="s">
        <v>47</v>
      </c>
      <c r="D30" s="25">
        <f t="shared" si="0"/>
        <v>118</v>
      </c>
      <c r="E30" s="54"/>
      <c r="F30" s="9"/>
      <c r="G30" s="33">
        <v>0</v>
      </c>
      <c r="H30" s="33">
        <f>15+9+9</f>
        <v>33</v>
      </c>
      <c r="I30" s="33">
        <f>10+8</f>
        <v>18</v>
      </c>
      <c r="J30" s="33">
        <f>21-6</f>
        <v>15</v>
      </c>
      <c r="K30" s="33">
        <v>1</v>
      </c>
      <c r="L30" s="33">
        <f>3</f>
        <v>3</v>
      </c>
      <c r="M30" s="33">
        <f>4</f>
        <v>4</v>
      </c>
      <c r="N30" s="33">
        <v>4</v>
      </c>
      <c r="O30" s="33">
        <f>2+1</f>
        <v>3</v>
      </c>
      <c r="P30" s="33">
        <f>3+1</f>
        <v>4</v>
      </c>
      <c r="Q30" s="33">
        <f>3+1</f>
        <v>4</v>
      </c>
      <c r="R30" s="33">
        <v>5</v>
      </c>
      <c r="S30" s="33">
        <v>0</v>
      </c>
      <c r="T30" s="33">
        <v>0</v>
      </c>
      <c r="U30" s="33">
        <v>1</v>
      </c>
      <c r="V30" s="33">
        <f>4+3</f>
        <v>7</v>
      </c>
      <c r="W30" s="33">
        <v>2</v>
      </c>
      <c r="X30" s="33">
        <v>3</v>
      </c>
      <c r="Y30" s="33">
        <f>4+1+3</f>
        <v>8</v>
      </c>
      <c r="Z30" s="9">
        <v>1</v>
      </c>
      <c r="AA30" s="9">
        <v>2</v>
      </c>
      <c r="AB30" s="9">
        <v>0</v>
      </c>
      <c r="AC30" s="9">
        <v>0</v>
      </c>
      <c r="AD30" s="53" t="e">
        <f>#REF!*D30</f>
        <v>#REF!</v>
      </c>
      <c r="AE30" s="53" t="e">
        <f>AD30-#REF!</f>
        <v>#REF!</v>
      </c>
      <c r="AF30" s="8"/>
      <c r="AG30" s="33" t="e">
        <f>#REF!-D30</f>
        <v>#REF!</v>
      </c>
      <c r="AH30" s="8"/>
      <c r="AI30" s="8"/>
      <c r="AJ30" s="8"/>
      <c r="AK30" s="8"/>
    </row>
    <row r="31" spans="1:37" s="17" customFormat="1" ht="24.75" customHeight="1" outlineLevel="1" x14ac:dyDescent="0.2">
      <c r="A31" s="61" t="s">
        <v>659</v>
      </c>
      <c r="B31" s="47" t="s">
        <v>2472</v>
      </c>
      <c r="C31" s="9" t="s">
        <v>47</v>
      </c>
      <c r="D31" s="25">
        <f t="shared" si="0"/>
        <v>771</v>
      </c>
      <c r="E31" s="54"/>
      <c r="F31" s="9"/>
      <c r="G31" s="33">
        <v>0</v>
      </c>
      <c r="H31" s="33">
        <f>41+35+32</f>
        <v>108</v>
      </c>
      <c r="I31" s="33">
        <f>33+16</f>
        <v>49</v>
      </c>
      <c r="J31" s="33">
        <v>21</v>
      </c>
      <c r="K31" s="33">
        <f>4+7+6</f>
        <v>17</v>
      </c>
      <c r="L31" s="33">
        <f>18+4+47</f>
        <v>69</v>
      </c>
      <c r="M31" s="33">
        <f>24+10+40</f>
        <v>74</v>
      </c>
      <c r="N31" s="33">
        <v>74</v>
      </c>
      <c r="O31" s="33">
        <f>30+6+28</f>
        <v>64</v>
      </c>
      <c r="P31" s="33">
        <f>10+15</f>
        <v>25</v>
      </c>
      <c r="Q31" s="33">
        <f>10+15</f>
        <v>25</v>
      </c>
      <c r="R31" s="33">
        <v>12</v>
      </c>
      <c r="S31" s="33">
        <v>0</v>
      </c>
      <c r="T31" s="33">
        <v>0</v>
      </c>
      <c r="U31" s="33">
        <v>41</v>
      </c>
      <c r="V31" s="33">
        <v>43</v>
      </c>
      <c r="W31" s="33">
        <v>39</v>
      </c>
      <c r="X31" s="33">
        <v>42</v>
      </c>
      <c r="Y31" s="33">
        <v>16</v>
      </c>
      <c r="Z31" s="9">
        <v>13</v>
      </c>
      <c r="AA31" s="9">
        <v>39</v>
      </c>
      <c r="AB31" s="9">
        <v>0</v>
      </c>
      <c r="AC31" s="9">
        <v>0</v>
      </c>
      <c r="AD31" s="53" t="e">
        <f>#REF!*D31</f>
        <v>#REF!</v>
      </c>
      <c r="AE31" s="53" t="e">
        <f>AD31-#REF!</f>
        <v>#REF!</v>
      </c>
      <c r="AF31" s="8"/>
      <c r="AG31" s="33" t="e">
        <f>#REF!-D31</f>
        <v>#REF!</v>
      </c>
      <c r="AH31" s="8"/>
      <c r="AI31" s="8"/>
      <c r="AJ31" s="8"/>
      <c r="AK31" s="8"/>
    </row>
    <row r="32" spans="1:37" s="17" customFormat="1" ht="30.6" outlineLevel="1" x14ac:dyDescent="0.2">
      <c r="A32" s="61" t="s">
        <v>660</v>
      </c>
      <c r="B32" s="47" t="s">
        <v>2473</v>
      </c>
      <c r="C32" s="9" t="s">
        <v>47</v>
      </c>
      <c r="D32" s="25">
        <f t="shared" si="0"/>
        <v>3274</v>
      </c>
      <c r="E32" s="54"/>
      <c r="F32" s="9"/>
      <c r="G32" s="33">
        <v>0</v>
      </c>
      <c r="H32" s="33">
        <f>125+55+35</f>
        <v>215</v>
      </c>
      <c r="I32" s="33">
        <f>170+65</f>
        <v>235</v>
      </c>
      <c r="J32" s="33">
        <f>209-62</f>
        <v>147</v>
      </c>
      <c r="K32" s="33">
        <f>60+54+53</f>
        <v>167</v>
      </c>
      <c r="L32" s="33">
        <f>247+33</f>
        <v>280</v>
      </c>
      <c r="M32" s="33">
        <f>210+2+16+53</f>
        <v>281</v>
      </c>
      <c r="N32" s="33">
        <v>281</v>
      </c>
      <c r="O32" s="33">
        <f>198+18+63</f>
        <v>279</v>
      </c>
      <c r="P32" s="33">
        <f>118+80</f>
        <v>198</v>
      </c>
      <c r="Q32" s="33">
        <f>118+80</f>
        <v>198</v>
      </c>
      <c r="R32" s="33">
        <f>24+10+2</f>
        <v>36</v>
      </c>
      <c r="S32" s="33">
        <v>0</v>
      </c>
      <c r="T32" s="33">
        <v>0</v>
      </c>
      <c r="U32" s="33">
        <v>125</v>
      </c>
      <c r="V32" s="33">
        <v>108</v>
      </c>
      <c r="W32" s="33">
        <v>107</v>
      </c>
      <c r="X32" s="33">
        <v>142</v>
      </c>
      <c r="Y32" s="33">
        <v>152</v>
      </c>
      <c r="Z32" s="9">
        <v>136</v>
      </c>
      <c r="AA32" s="9">
        <v>187</v>
      </c>
      <c r="AB32" s="9">
        <v>0</v>
      </c>
      <c r="AC32" s="9">
        <v>0</v>
      </c>
      <c r="AD32" s="53" t="e">
        <f>#REF!*D32</f>
        <v>#REF!</v>
      </c>
      <c r="AE32" s="53" t="e">
        <f>AD32-#REF!</f>
        <v>#REF!</v>
      </c>
      <c r="AF32" s="8"/>
      <c r="AG32" s="33" t="e">
        <f>#REF!-D32</f>
        <v>#REF!</v>
      </c>
      <c r="AH32" s="8"/>
      <c r="AI32" s="8"/>
      <c r="AJ32" s="8"/>
      <c r="AK32" s="8"/>
    </row>
    <row r="33" spans="1:37" s="17" customFormat="1" ht="24.75" customHeight="1" outlineLevel="1" x14ac:dyDescent="0.2">
      <c r="A33" s="61" t="s">
        <v>661</v>
      </c>
      <c r="B33" s="47" t="s">
        <v>2474</v>
      </c>
      <c r="C33" s="9" t="s">
        <v>47</v>
      </c>
      <c r="D33" s="25">
        <f t="shared" si="0"/>
        <v>3456</v>
      </c>
      <c r="E33" s="54"/>
      <c r="F33" s="9"/>
      <c r="G33" s="88">
        <f t="shared" ref="G33:T33" si="13">SUM(G400:G415)</f>
        <v>22</v>
      </c>
      <c r="H33" s="88">
        <f t="shared" si="13"/>
        <v>302</v>
      </c>
      <c r="I33" s="88">
        <f t="shared" si="13"/>
        <v>209</v>
      </c>
      <c r="J33" s="88">
        <f t="shared" si="13"/>
        <v>208</v>
      </c>
      <c r="K33" s="88">
        <f t="shared" si="13"/>
        <v>205</v>
      </c>
      <c r="L33" s="88">
        <f t="shared" si="13"/>
        <v>173</v>
      </c>
      <c r="M33" s="88">
        <f t="shared" si="13"/>
        <v>170</v>
      </c>
      <c r="N33" s="88">
        <f t="shared" si="13"/>
        <v>165</v>
      </c>
      <c r="O33" s="88">
        <f t="shared" si="13"/>
        <v>168</v>
      </c>
      <c r="P33" s="88">
        <f t="shared" si="13"/>
        <v>163</v>
      </c>
      <c r="Q33" s="88">
        <f t="shared" si="13"/>
        <v>128</v>
      </c>
      <c r="R33" s="88">
        <f t="shared" si="13"/>
        <v>83</v>
      </c>
      <c r="S33" s="88">
        <f t="shared" si="13"/>
        <v>0</v>
      </c>
      <c r="T33" s="88">
        <f t="shared" si="13"/>
        <v>72</v>
      </c>
      <c r="U33" s="88">
        <f t="shared" ref="U33:AB33" si="14">SUM(U399:U408)</f>
        <v>292</v>
      </c>
      <c r="V33" s="88">
        <f t="shared" si="14"/>
        <v>237</v>
      </c>
      <c r="W33" s="88">
        <f t="shared" si="14"/>
        <v>215</v>
      </c>
      <c r="X33" s="88">
        <f t="shared" si="14"/>
        <v>150</v>
      </c>
      <c r="Y33" s="88">
        <f t="shared" si="14"/>
        <v>163</v>
      </c>
      <c r="Z33" s="88">
        <f t="shared" si="14"/>
        <v>147</v>
      </c>
      <c r="AA33" s="88">
        <f t="shared" si="14"/>
        <v>144</v>
      </c>
      <c r="AB33" s="88">
        <f t="shared" si="14"/>
        <v>40</v>
      </c>
      <c r="AC33" s="88">
        <f>SUM(AC400:AC415)</f>
        <v>0</v>
      </c>
      <c r="AD33" s="53" t="e">
        <f>#REF!*D33</f>
        <v>#REF!</v>
      </c>
      <c r="AE33" s="53" t="e">
        <f>AD33-#REF!</f>
        <v>#REF!</v>
      </c>
      <c r="AF33" s="8"/>
      <c r="AG33" s="33" t="e">
        <f>#REF!-D33</f>
        <v>#REF!</v>
      </c>
      <c r="AH33" s="8"/>
      <c r="AI33" s="8"/>
      <c r="AJ33" s="8"/>
      <c r="AK33" s="8"/>
    </row>
    <row r="34" spans="1:37" s="17" customFormat="1" ht="24.75" customHeight="1" outlineLevel="1" x14ac:dyDescent="0.2">
      <c r="A34" s="61" t="s">
        <v>662</v>
      </c>
      <c r="B34" s="47" t="s">
        <v>2475</v>
      </c>
      <c r="C34" s="9" t="s">
        <v>47</v>
      </c>
      <c r="D34" s="25">
        <f t="shared" si="0"/>
        <v>3456</v>
      </c>
      <c r="E34" s="54"/>
      <c r="F34" s="9"/>
      <c r="G34" s="88">
        <f t="shared" ref="G34:AC34" si="15">G33</f>
        <v>22</v>
      </c>
      <c r="H34" s="88">
        <f t="shared" si="15"/>
        <v>302</v>
      </c>
      <c r="I34" s="88">
        <f t="shared" si="15"/>
        <v>209</v>
      </c>
      <c r="J34" s="88">
        <f t="shared" si="15"/>
        <v>208</v>
      </c>
      <c r="K34" s="88">
        <f t="shared" si="15"/>
        <v>205</v>
      </c>
      <c r="L34" s="88">
        <f t="shared" si="15"/>
        <v>173</v>
      </c>
      <c r="M34" s="88">
        <f t="shared" si="15"/>
        <v>170</v>
      </c>
      <c r="N34" s="88">
        <f t="shared" si="15"/>
        <v>165</v>
      </c>
      <c r="O34" s="88">
        <f t="shared" si="15"/>
        <v>168</v>
      </c>
      <c r="P34" s="88">
        <f t="shared" si="15"/>
        <v>163</v>
      </c>
      <c r="Q34" s="88">
        <f t="shared" si="15"/>
        <v>128</v>
      </c>
      <c r="R34" s="88">
        <f t="shared" si="15"/>
        <v>83</v>
      </c>
      <c r="S34" s="88">
        <f t="shared" si="15"/>
        <v>0</v>
      </c>
      <c r="T34" s="88">
        <f t="shared" si="15"/>
        <v>72</v>
      </c>
      <c r="U34" s="88">
        <f t="shared" si="15"/>
        <v>292</v>
      </c>
      <c r="V34" s="88">
        <f t="shared" si="15"/>
        <v>237</v>
      </c>
      <c r="W34" s="88">
        <f t="shared" si="15"/>
        <v>215</v>
      </c>
      <c r="X34" s="88">
        <f t="shared" si="15"/>
        <v>150</v>
      </c>
      <c r="Y34" s="88">
        <f t="shared" si="15"/>
        <v>163</v>
      </c>
      <c r="Z34" s="88">
        <f t="shared" si="15"/>
        <v>147</v>
      </c>
      <c r="AA34" s="88">
        <f t="shared" si="15"/>
        <v>144</v>
      </c>
      <c r="AB34" s="88">
        <f t="shared" si="15"/>
        <v>40</v>
      </c>
      <c r="AC34" s="88">
        <f t="shared" si="15"/>
        <v>0</v>
      </c>
      <c r="AD34" s="53" t="e">
        <f>#REF!*D34</f>
        <v>#REF!</v>
      </c>
      <c r="AE34" s="53" t="e">
        <f>AD34-#REF!</f>
        <v>#REF!</v>
      </c>
      <c r="AF34" s="8"/>
      <c r="AG34" s="33" t="e">
        <f>#REF!-D34</f>
        <v>#REF!</v>
      </c>
      <c r="AH34" s="8"/>
      <c r="AI34" s="8"/>
      <c r="AJ34" s="8"/>
      <c r="AK34" s="8"/>
    </row>
    <row r="35" spans="1:37" s="17" customFormat="1" ht="24.75" customHeight="1" outlineLevel="1" x14ac:dyDescent="0.2">
      <c r="A35" s="61" t="s">
        <v>663</v>
      </c>
      <c r="B35" s="47" t="s">
        <v>2476</v>
      </c>
      <c r="C35" s="9" t="s">
        <v>47</v>
      </c>
      <c r="D35" s="25">
        <f t="shared" si="0"/>
        <v>6715.2941176470586</v>
      </c>
      <c r="E35" s="54"/>
      <c r="F35" s="9"/>
      <c r="G35" s="88">
        <f t="shared" ref="G35:AC35" si="16">G27/1.7</f>
        <v>0</v>
      </c>
      <c r="H35" s="88">
        <f t="shared" si="16"/>
        <v>931.76470588235293</v>
      </c>
      <c r="I35" s="88">
        <f t="shared" si="16"/>
        <v>626.47058823529414</v>
      </c>
      <c r="J35" s="88">
        <f t="shared" si="16"/>
        <v>423.52941176470591</v>
      </c>
      <c r="K35" s="88">
        <f t="shared" si="16"/>
        <v>385.29411764705884</v>
      </c>
      <c r="L35" s="88">
        <f t="shared" si="16"/>
        <v>415.29411764705884</v>
      </c>
      <c r="M35" s="88">
        <f t="shared" si="16"/>
        <v>315.88235294117646</v>
      </c>
      <c r="N35" s="88">
        <f t="shared" si="16"/>
        <v>315.88235294117646</v>
      </c>
      <c r="O35" s="88">
        <f t="shared" si="16"/>
        <v>312.35294117647061</v>
      </c>
      <c r="P35" s="88">
        <f t="shared" si="16"/>
        <v>337.05882352941177</v>
      </c>
      <c r="Q35" s="88">
        <f t="shared" si="16"/>
        <v>337.05882352941177</v>
      </c>
      <c r="R35" s="88">
        <f t="shared" si="16"/>
        <v>86.470588235294116</v>
      </c>
      <c r="S35" s="88">
        <f t="shared" si="16"/>
        <v>0</v>
      </c>
      <c r="T35" s="88">
        <f t="shared" si="16"/>
        <v>0</v>
      </c>
      <c r="U35" s="88">
        <f t="shared" si="16"/>
        <v>462.35294117647061</v>
      </c>
      <c r="V35" s="88">
        <f t="shared" si="16"/>
        <v>326.47058823529414</v>
      </c>
      <c r="W35" s="88">
        <f t="shared" si="16"/>
        <v>361.1764705882353</v>
      </c>
      <c r="X35" s="88">
        <f t="shared" si="16"/>
        <v>285.88235294117646</v>
      </c>
      <c r="Y35" s="88">
        <f t="shared" si="16"/>
        <v>282.35294117647061</v>
      </c>
      <c r="Z35" s="88">
        <f t="shared" si="16"/>
        <v>231.1764705882353</v>
      </c>
      <c r="AA35" s="88">
        <f t="shared" si="16"/>
        <v>278.8235294117647</v>
      </c>
      <c r="AB35" s="88">
        <f t="shared" si="16"/>
        <v>0</v>
      </c>
      <c r="AC35" s="88">
        <f t="shared" si="16"/>
        <v>0</v>
      </c>
      <c r="AD35" s="53" t="e">
        <f>#REF!*D35</f>
        <v>#REF!</v>
      </c>
      <c r="AE35" s="53" t="e">
        <f>AD35-#REF!</f>
        <v>#REF!</v>
      </c>
      <c r="AF35" s="8"/>
      <c r="AG35" s="33" t="e">
        <f>#REF!-D35</f>
        <v>#REF!</v>
      </c>
      <c r="AH35" s="8"/>
      <c r="AI35" s="8"/>
      <c r="AJ35" s="8"/>
      <c r="AK35" s="8"/>
    </row>
    <row r="36" spans="1:37" s="17" customFormat="1" ht="20.399999999999999" outlineLevel="1" x14ac:dyDescent="0.2">
      <c r="A36" s="61" t="s">
        <v>664</v>
      </c>
      <c r="B36" s="14" t="s">
        <v>424</v>
      </c>
      <c r="C36" s="8" t="s">
        <v>47</v>
      </c>
      <c r="D36" s="25">
        <f t="shared" si="0"/>
        <v>6522</v>
      </c>
      <c r="E36" s="54"/>
      <c r="F36" s="9"/>
      <c r="G36" s="88">
        <f t="shared" ref="G36:AC36" si="17">MROUND(G27/1.75,1)</f>
        <v>0</v>
      </c>
      <c r="H36" s="88">
        <f t="shared" si="17"/>
        <v>905</v>
      </c>
      <c r="I36" s="88">
        <f t="shared" si="17"/>
        <v>609</v>
      </c>
      <c r="J36" s="88">
        <f t="shared" si="17"/>
        <v>411</v>
      </c>
      <c r="K36" s="88">
        <f t="shared" si="17"/>
        <v>374</v>
      </c>
      <c r="L36" s="88">
        <f t="shared" si="17"/>
        <v>403</v>
      </c>
      <c r="M36" s="88">
        <f t="shared" si="17"/>
        <v>307</v>
      </c>
      <c r="N36" s="88">
        <f t="shared" si="17"/>
        <v>307</v>
      </c>
      <c r="O36" s="88">
        <f t="shared" si="17"/>
        <v>303</v>
      </c>
      <c r="P36" s="88">
        <f t="shared" si="17"/>
        <v>327</v>
      </c>
      <c r="Q36" s="88">
        <f t="shared" si="17"/>
        <v>327</v>
      </c>
      <c r="R36" s="88">
        <f t="shared" si="17"/>
        <v>84</v>
      </c>
      <c r="S36" s="88">
        <f t="shared" si="17"/>
        <v>0</v>
      </c>
      <c r="T36" s="88">
        <f t="shared" si="17"/>
        <v>0</v>
      </c>
      <c r="U36" s="88">
        <f t="shared" si="17"/>
        <v>449</v>
      </c>
      <c r="V36" s="88">
        <f t="shared" si="17"/>
        <v>317</v>
      </c>
      <c r="W36" s="88">
        <f t="shared" si="17"/>
        <v>351</v>
      </c>
      <c r="X36" s="88">
        <f t="shared" si="17"/>
        <v>278</v>
      </c>
      <c r="Y36" s="88">
        <f t="shared" si="17"/>
        <v>274</v>
      </c>
      <c r="Z36" s="88">
        <f t="shared" si="17"/>
        <v>225</v>
      </c>
      <c r="AA36" s="88">
        <f t="shared" si="17"/>
        <v>271</v>
      </c>
      <c r="AB36" s="88">
        <f t="shared" si="17"/>
        <v>0</v>
      </c>
      <c r="AC36" s="88">
        <f t="shared" si="17"/>
        <v>0</v>
      </c>
      <c r="AD36" s="53" t="e">
        <f>#REF!*D36</f>
        <v>#REF!</v>
      </c>
      <c r="AE36" s="53" t="e">
        <f>AD36-#REF!</f>
        <v>#REF!</v>
      </c>
      <c r="AF36" s="8"/>
      <c r="AG36" s="33" t="e">
        <f>#REF!-D36</f>
        <v>#REF!</v>
      </c>
      <c r="AH36" s="8"/>
      <c r="AI36" s="8"/>
      <c r="AJ36" s="8"/>
      <c r="AK36" s="8"/>
    </row>
    <row r="37" spans="1:37" s="12" customFormat="1" ht="20.399999999999999" outlineLevel="1" x14ac:dyDescent="0.2">
      <c r="A37" s="61" t="s">
        <v>665</v>
      </c>
      <c r="B37" s="14" t="s">
        <v>69</v>
      </c>
      <c r="C37" s="9" t="s">
        <v>47</v>
      </c>
      <c r="D37" s="25">
        <f t="shared" si="0"/>
        <v>13044</v>
      </c>
      <c r="E37" s="54"/>
      <c r="F37" s="78"/>
      <c r="G37" s="88">
        <f t="shared" ref="G37:AC37" si="18">G36*2</f>
        <v>0</v>
      </c>
      <c r="H37" s="88">
        <f t="shared" si="18"/>
        <v>1810</v>
      </c>
      <c r="I37" s="88">
        <f t="shared" si="18"/>
        <v>1218</v>
      </c>
      <c r="J37" s="88">
        <f t="shared" si="18"/>
        <v>822</v>
      </c>
      <c r="K37" s="88">
        <f t="shared" si="18"/>
        <v>748</v>
      </c>
      <c r="L37" s="88">
        <f t="shared" si="18"/>
        <v>806</v>
      </c>
      <c r="M37" s="88">
        <f t="shared" si="18"/>
        <v>614</v>
      </c>
      <c r="N37" s="88">
        <f t="shared" si="18"/>
        <v>614</v>
      </c>
      <c r="O37" s="88">
        <f t="shared" si="18"/>
        <v>606</v>
      </c>
      <c r="P37" s="88">
        <f t="shared" si="18"/>
        <v>654</v>
      </c>
      <c r="Q37" s="88">
        <f t="shared" si="18"/>
        <v>654</v>
      </c>
      <c r="R37" s="88">
        <f t="shared" si="18"/>
        <v>168</v>
      </c>
      <c r="S37" s="88">
        <f t="shared" si="18"/>
        <v>0</v>
      </c>
      <c r="T37" s="88">
        <f t="shared" si="18"/>
        <v>0</v>
      </c>
      <c r="U37" s="88">
        <f t="shared" si="18"/>
        <v>898</v>
      </c>
      <c r="V37" s="88">
        <f t="shared" si="18"/>
        <v>634</v>
      </c>
      <c r="W37" s="88">
        <f t="shared" si="18"/>
        <v>702</v>
      </c>
      <c r="X37" s="88">
        <f t="shared" si="18"/>
        <v>556</v>
      </c>
      <c r="Y37" s="88">
        <f t="shared" si="18"/>
        <v>548</v>
      </c>
      <c r="Z37" s="88">
        <f t="shared" si="18"/>
        <v>450</v>
      </c>
      <c r="AA37" s="88">
        <f t="shared" si="18"/>
        <v>542</v>
      </c>
      <c r="AB37" s="88">
        <f t="shared" si="18"/>
        <v>0</v>
      </c>
      <c r="AC37" s="88">
        <f t="shared" si="18"/>
        <v>0</v>
      </c>
      <c r="AD37" s="53" t="e">
        <f>#REF!*D37</f>
        <v>#REF!</v>
      </c>
      <c r="AE37" s="53" t="e">
        <f>AD37-#REF!</f>
        <v>#REF!</v>
      </c>
      <c r="AF37" s="9"/>
      <c r="AG37" s="33" t="e">
        <f>#REF!-D37</f>
        <v>#REF!</v>
      </c>
      <c r="AH37" s="9"/>
      <c r="AI37" s="9"/>
      <c r="AJ37" s="9"/>
      <c r="AK37" s="9"/>
    </row>
    <row r="38" spans="1:37" s="12" customFormat="1" ht="20.399999999999999" outlineLevel="1" x14ac:dyDescent="0.2">
      <c r="A38" s="61" t="s">
        <v>666</v>
      </c>
      <c r="B38" s="14" t="s">
        <v>1032</v>
      </c>
      <c r="C38" s="9" t="s">
        <v>47</v>
      </c>
      <c r="D38" s="25">
        <f t="shared" si="0"/>
        <v>39132</v>
      </c>
      <c r="E38" s="54"/>
      <c r="F38" s="78"/>
      <c r="G38" s="88">
        <f t="shared" ref="G38:AC38" si="19">G36*6</f>
        <v>0</v>
      </c>
      <c r="H38" s="88">
        <f t="shared" si="19"/>
        <v>5430</v>
      </c>
      <c r="I38" s="88">
        <f t="shared" si="19"/>
        <v>3654</v>
      </c>
      <c r="J38" s="88">
        <f t="shared" si="19"/>
        <v>2466</v>
      </c>
      <c r="K38" s="88">
        <f t="shared" si="19"/>
        <v>2244</v>
      </c>
      <c r="L38" s="88">
        <f t="shared" si="19"/>
        <v>2418</v>
      </c>
      <c r="M38" s="88">
        <f t="shared" si="19"/>
        <v>1842</v>
      </c>
      <c r="N38" s="88">
        <f t="shared" si="19"/>
        <v>1842</v>
      </c>
      <c r="O38" s="88">
        <f t="shared" si="19"/>
        <v>1818</v>
      </c>
      <c r="P38" s="88">
        <f t="shared" si="19"/>
        <v>1962</v>
      </c>
      <c r="Q38" s="88">
        <f t="shared" si="19"/>
        <v>1962</v>
      </c>
      <c r="R38" s="88">
        <f t="shared" si="19"/>
        <v>504</v>
      </c>
      <c r="S38" s="88">
        <f t="shared" si="19"/>
        <v>0</v>
      </c>
      <c r="T38" s="88">
        <f t="shared" si="19"/>
        <v>0</v>
      </c>
      <c r="U38" s="88">
        <f t="shared" si="19"/>
        <v>2694</v>
      </c>
      <c r="V38" s="88">
        <f t="shared" si="19"/>
        <v>1902</v>
      </c>
      <c r="W38" s="88">
        <f t="shared" si="19"/>
        <v>2106</v>
      </c>
      <c r="X38" s="88">
        <f t="shared" si="19"/>
        <v>1668</v>
      </c>
      <c r="Y38" s="88">
        <f t="shared" si="19"/>
        <v>1644</v>
      </c>
      <c r="Z38" s="88">
        <f t="shared" si="19"/>
        <v>1350</v>
      </c>
      <c r="AA38" s="88">
        <f t="shared" si="19"/>
        <v>1626</v>
      </c>
      <c r="AB38" s="88">
        <f t="shared" si="19"/>
        <v>0</v>
      </c>
      <c r="AC38" s="88">
        <f t="shared" si="19"/>
        <v>0</v>
      </c>
      <c r="AD38" s="53" t="e">
        <f>#REF!*D38</f>
        <v>#REF!</v>
      </c>
      <c r="AE38" s="53" t="e">
        <f>AD38-#REF!</f>
        <v>#REF!</v>
      </c>
      <c r="AF38" s="9"/>
      <c r="AG38" s="33" t="e">
        <f>#REF!-D38</f>
        <v>#REF!</v>
      </c>
      <c r="AH38" s="9"/>
      <c r="AI38" s="9"/>
      <c r="AJ38" s="9"/>
      <c r="AK38" s="9"/>
    </row>
    <row r="39" spans="1:37" s="17" customFormat="1" ht="20.399999999999999" outlineLevel="1" x14ac:dyDescent="0.2">
      <c r="A39" s="61" t="s">
        <v>667</v>
      </c>
      <c r="B39" s="14" t="s">
        <v>1033</v>
      </c>
      <c r="C39" s="8" t="s">
        <v>48</v>
      </c>
      <c r="D39" s="25">
        <f t="shared" si="0"/>
        <v>3585</v>
      </c>
      <c r="E39" s="54"/>
      <c r="F39" s="9"/>
      <c r="G39" s="88">
        <f t="shared" ref="G39:AC39" si="20">MROUND(G36*0.55,3)</f>
        <v>0</v>
      </c>
      <c r="H39" s="88">
        <f t="shared" si="20"/>
        <v>498</v>
      </c>
      <c r="I39" s="88">
        <f t="shared" si="20"/>
        <v>336</v>
      </c>
      <c r="J39" s="88">
        <f t="shared" si="20"/>
        <v>225</v>
      </c>
      <c r="K39" s="88">
        <f t="shared" si="20"/>
        <v>207</v>
      </c>
      <c r="L39" s="88">
        <f t="shared" si="20"/>
        <v>222</v>
      </c>
      <c r="M39" s="88">
        <f t="shared" si="20"/>
        <v>168</v>
      </c>
      <c r="N39" s="88">
        <f t="shared" si="20"/>
        <v>168</v>
      </c>
      <c r="O39" s="88">
        <f t="shared" si="20"/>
        <v>168</v>
      </c>
      <c r="P39" s="88">
        <f t="shared" si="20"/>
        <v>180</v>
      </c>
      <c r="Q39" s="88">
        <f t="shared" si="20"/>
        <v>180</v>
      </c>
      <c r="R39" s="88">
        <f t="shared" si="20"/>
        <v>45</v>
      </c>
      <c r="S39" s="88">
        <f t="shared" si="20"/>
        <v>0</v>
      </c>
      <c r="T39" s="88">
        <f t="shared" si="20"/>
        <v>0</v>
      </c>
      <c r="U39" s="88">
        <f t="shared" si="20"/>
        <v>246</v>
      </c>
      <c r="V39" s="88">
        <f t="shared" si="20"/>
        <v>174</v>
      </c>
      <c r="W39" s="88">
        <f t="shared" si="20"/>
        <v>192</v>
      </c>
      <c r="X39" s="88">
        <f t="shared" si="20"/>
        <v>153</v>
      </c>
      <c r="Y39" s="88">
        <f t="shared" si="20"/>
        <v>150</v>
      </c>
      <c r="Z39" s="88">
        <f t="shared" si="20"/>
        <v>123</v>
      </c>
      <c r="AA39" s="88">
        <f t="shared" si="20"/>
        <v>150</v>
      </c>
      <c r="AB39" s="88">
        <f t="shared" si="20"/>
        <v>0</v>
      </c>
      <c r="AC39" s="88">
        <f t="shared" si="20"/>
        <v>0</v>
      </c>
      <c r="AD39" s="53" t="e">
        <f>#REF!*D39</f>
        <v>#REF!</v>
      </c>
      <c r="AE39" s="53" t="e">
        <f>AD39-#REF!</f>
        <v>#REF!</v>
      </c>
      <c r="AF39" s="8"/>
      <c r="AG39" s="33" t="e">
        <f>#REF!-D39</f>
        <v>#REF!</v>
      </c>
      <c r="AH39" s="8"/>
      <c r="AI39" s="8"/>
      <c r="AJ39" s="8"/>
      <c r="AK39" s="8"/>
    </row>
    <row r="40" spans="1:37" s="17" customFormat="1" ht="26.25" customHeight="1" outlineLevel="1" x14ac:dyDescent="0.2">
      <c r="A40" s="61" t="s">
        <v>668</v>
      </c>
      <c r="B40" s="47" t="s">
        <v>425</v>
      </c>
      <c r="C40" s="8" t="s">
        <v>47</v>
      </c>
      <c r="D40" s="25">
        <f t="shared" si="0"/>
        <v>26236</v>
      </c>
      <c r="E40" s="54"/>
      <c r="F40" s="9"/>
      <c r="G40" s="88">
        <f t="shared" ref="G40:AC40" si="21">G29*6+G30*8+G31*2+G32*2+G33*2</f>
        <v>44</v>
      </c>
      <c r="H40" s="88">
        <f t="shared" si="21"/>
        <v>3194</v>
      </c>
      <c r="I40" s="88">
        <f t="shared" si="21"/>
        <v>2012</v>
      </c>
      <c r="J40" s="88">
        <f t="shared" si="21"/>
        <v>1484</v>
      </c>
      <c r="K40" s="88">
        <f t="shared" si="21"/>
        <v>1458</v>
      </c>
      <c r="L40" s="88">
        <f t="shared" si="21"/>
        <v>1656</v>
      </c>
      <c r="M40" s="88">
        <f t="shared" si="21"/>
        <v>1442</v>
      </c>
      <c r="N40" s="88">
        <f t="shared" si="21"/>
        <v>1432</v>
      </c>
      <c r="O40" s="88">
        <f t="shared" si="21"/>
        <v>1406</v>
      </c>
      <c r="P40" s="88">
        <f t="shared" si="21"/>
        <v>1296</v>
      </c>
      <c r="Q40" s="88">
        <f t="shared" si="21"/>
        <v>1226</v>
      </c>
      <c r="R40" s="88">
        <f t="shared" si="21"/>
        <v>326</v>
      </c>
      <c r="S40" s="88">
        <f t="shared" si="21"/>
        <v>0</v>
      </c>
      <c r="T40" s="88">
        <f t="shared" si="21"/>
        <v>144</v>
      </c>
      <c r="U40" s="88">
        <f t="shared" si="21"/>
        <v>1584</v>
      </c>
      <c r="V40" s="88">
        <f t="shared" si="21"/>
        <v>1432</v>
      </c>
      <c r="W40" s="88">
        <f t="shared" si="21"/>
        <v>1326</v>
      </c>
      <c r="X40" s="88">
        <f t="shared" si="21"/>
        <v>1148</v>
      </c>
      <c r="Y40" s="88">
        <f t="shared" si="21"/>
        <v>1398</v>
      </c>
      <c r="Z40" s="88">
        <f t="shared" si="21"/>
        <v>948</v>
      </c>
      <c r="AA40" s="88">
        <f t="shared" si="21"/>
        <v>1200</v>
      </c>
      <c r="AB40" s="88">
        <f t="shared" si="21"/>
        <v>80</v>
      </c>
      <c r="AC40" s="88">
        <f t="shared" si="21"/>
        <v>0</v>
      </c>
      <c r="AD40" s="53" t="e">
        <f>#REF!*D40</f>
        <v>#REF!</v>
      </c>
      <c r="AE40" s="53" t="e">
        <f>AD40-#REF!</f>
        <v>#REF!</v>
      </c>
      <c r="AF40" s="8"/>
      <c r="AG40" s="33" t="e">
        <f>#REF!-D40</f>
        <v>#REF!</v>
      </c>
      <c r="AH40" s="8"/>
      <c r="AI40" s="8"/>
      <c r="AJ40" s="8"/>
      <c r="AK40" s="8"/>
    </row>
    <row r="41" spans="1:37" s="12" customFormat="1" ht="10.199999999999999" outlineLevel="1" x14ac:dyDescent="0.2">
      <c r="A41" s="61" t="s">
        <v>669</v>
      </c>
      <c r="B41" s="11" t="s">
        <v>56</v>
      </c>
      <c r="C41" s="9" t="s">
        <v>57</v>
      </c>
      <c r="D41" s="25">
        <f t="shared" si="0"/>
        <v>68</v>
      </c>
      <c r="E41" s="54"/>
      <c r="F41" s="78"/>
      <c r="G41" s="88">
        <f t="shared" ref="G41:AC41" si="22">MROUND(SUM(G7:G8)*3/100,1)</f>
        <v>9</v>
      </c>
      <c r="H41" s="88">
        <f t="shared" si="22"/>
        <v>5</v>
      </c>
      <c r="I41" s="88">
        <f t="shared" si="22"/>
        <v>4</v>
      </c>
      <c r="J41" s="88">
        <f t="shared" si="22"/>
        <v>2</v>
      </c>
      <c r="K41" s="88">
        <f t="shared" si="22"/>
        <v>2</v>
      </c>
      <c r="L41" s="88">
        <f t="shared" si="22"/>
        <v>3</v>
      </c>
      <c r="M41" s="88">
        <f t="shared" si="22"/>
        <v>5</v>
      </c>
      <c r="N41" s="88">
        <f t="shared" si="22"/>
        <v>4</v>
      </c>
      <c r="O41" s="88">
        <f t="shared" si="22"/>
        <v>4</v>
      </c>
      <c r="P41" s="88">
        <f t="shared" si="22"/>
        <v>3</v>
      </c>
      <c r="Q41" s="88">
        <f t="shared" si="22"/>
        <v>3</v>
      </c>
      <c r="R41" s="88">
        <f t="shared" si="22"/>
        <v>3</v>
      </c>
      <c r="S41" s="88">
        <f t="shared" si="22"/>
        <v>0</v>
      </c>
      <c r="T41" s="88">
        <f t="shared" si="22"/>
        <v>4</v>
      </c>
      <c r="U41" s="88">
        <f t="shared" si="22"/>
        <v>3</v>
      </c>
      <c r="V41" s="88">
        <f t="shared" si="22"/>
        <v>2</v>
      </c>
      <c r="W41" s="88">
        <f t="shared" si="22"/>
        <v>2</v>
      </c>
      <c r="X41" s="88">
        <f t="shared" si="22"/>
        <v>2</v>
      </c>
      <c r="Y41" s="88">
        <f t="shared" si="22"/>
        <v>3</v>
      </c>
      <c r="Z41" s="88">
        <f t="shared" si="22"/>
        <v>2</v>
      </c>
      <c r="AA41" s="88">
        <f t="shared" si="22"/>
        <v>3</v>
      </c>
      <c r="AB41" s="88">
        <f t="shared" si="22"/>
        <v>0</v>
      </c>
      <c r="AC41" s="88">
        <f t="shared" si="22"/>
        <v>0</v>
      </c>
      <c r="AD41" s="53" t="e">
        <f>#REF!*D41</f>
        <v>#REF!</v>
      </c>
      <c r="AE41" s="53" t="e">
        <f>AD41-#REF!</f>
        <v>#REF!</v>
      </c>
      <c r="AF41" s="9"/>
      <c r="AG41" s="33" t="e">
        <f>#REF!-D41</f>
        <v>#REF!</v>
      </c>
    </row>
    <row r="42" spans="1:37" s="12" customFormat="1" ht="20.399999999999999" outlineLevel="1" x14ac:dyDescent="0.2">
      <c r="A42" s="61" t="s">
        <v>670</v>
      </c>
      <c r="B42" s="14" t="s">
        <v>70</v>
      </c>
      <c r="C42" s="9" t="s">
        <v>47</v>
      </c>
      <c r="D42" s="25">
        <f t="shared" si="0"/>
        <v>4679</v>
      </c>
      <c r="E42" s="54"/>
      <c r="F42" s="78"/>
      <c r="G42" s="88">
        <f t="shared" ref="G42:S42" si="23">SUM(G53:G67)</f>
        <v>0</v>
      </c>
      <c r="H42" s="88">
        <f t="shared" si="23"/>
        <v>354</v>
      </c>
      <c r="I42" s="88">
        <f t="shared" si="23"/>
        <v>326</v>
      </c>
      <c r="J42" s="88">
        <f t="shared" si="23"/>
        <v>283</v>
      </c>
      <c r="K42" s="88">
        <f t="shared" si="23"/>
        <v>261</v>
      </c>
      <c r="L42" s="88">
        <f t="shared" si="23"/>
        <v>440</v>
      </c>
      <c r="M42" s="88">
        <f t="shared" si="23"/>
        <v>522</v>
      </c>
      <c r="N42" s="88">
        <f t="shared" si="23"/>
        <v>526</v>
      </c>
      <c r="O42" s="88">
        <f t="shared" si="23"/>
        <v>453</v>
      </c>
      <c r="P42" s="88">
        <f t="shared" si="23"/>
        <v>295</v>
      </c>
      <c r="Q42" s="88">
        <f t="shared" si="23"/>
        <v>293</v>
      </c>
      <c r="R42" s="88">
        <f t="shared" si="23"/>
        <v>18</v>
      </c>
      <c r="S42" s="88">
        <f t="shared" si="23"/>
        <v>0</v>
      </c>
      <c r="T42" s="9">
        <v>1</v>
      </c>
      <c r="U42" s="88">
        <f>SUM(U53:U67)</f>
        <v>151</v>
      </c>
      <c r="V42" s="88">
        <f>SUM(V53:V67)</f>
        <v>124</v>
      </c>
      <c r="W42" s="88">
        <f>SUM(W53:W67)</f>
        <v>140</v>
      </c>
      <c r="X42" s="88">
        <f>SUM(X53:X67)</f>
        <v>263</v>
      </c>
      <c r="Y42" s="88">
        <f>SUM(Y53:Y67)</f>
        <v>229</v>
      </c>
      <c r="Z42" s="88">
        <v>0</v>
      </c>
      <c r="AA42" s="88">
        <v>0</v>
      </c>
      <c r="AB42" s="88">
        <v>0</v>
      </c>
      <c r="AC42" s="9">
        <v>0</v>
      </c>
      <c r="AD42" s="53" t="e">
        <f>#REF!*D42</f>
        <v>#REF!</v>
      </c>
      <c r="AE42" s="53" t="e">
        <f>AD42-#REF!</f>
        <v>#REF!</v>
      </c>
      <c r="AF42" s="9"/>
      <c r="AG42" s="33" t="e">
        <f>#REF!-D42</f>
        <v>#REF!</v>
      </c>
      <c r="AH42" s="9"/>
      <c r="AI42" s="9"/>
      <c r="AJ42" s="9"/>
      <c r="AK42" s="9"/>
    </row>
    <row r="43" spans="1:37" s="17" customFormat="1" ht="22.5" customHeight="1" outlineLevel="1" x14ac:dyDescent="0.2">
      <c r="A43" s="61" t="s">
        <v>671</v>
      </c>
      <c r="B43" s="14" t="s">
        <v>432</v>
      </c>
      <c r="C43" s="8" t="s">
        <v>47</v>
      </c>
      <c r="D43" s="25">
        <f t="shared" si="0"/>
        <v>7</v>
      </c>
      <c r="E43" s="54"/>
      <c r="F43" s="9"/>
      <c r="G43" s="33">
        <v>0</v>
      </c>
      <c r="H43" s="33">
        <v>3</v>
      </c>
      <c r="I43" s="9">
        <v>0</v>
      </c>
      <c r="J43" s="9">
        <v>0</v>
      </c>
      <c r="K43" s="9">
        <v>0</v>
      </c>
      <c r="L43" s="9">
        <v>0</v>
      </c>
      <c r="M43" s="9">
        <v>0</v>
      </c>
      <c r="N43" s="9">
        <v>0</v>
      </c>
      <c r="O43" s="9">
        <v>0</v>
      </c>
      <c r="P43" s="9">
        <v>0</v>
      </c>
      <c r="Q43" s="9">
        <v>0</v>
      </c>
      <c r="R43" s="9">
        <v>0</v>
      </c>
      <c r="S43" s="9">
        <v>0</v>
      </c>
      <c r="T43" s="9">
        <v>0</v>
      </c>
      <c r="U43" s="33">
        <v>4</v>
      </c>
      <c r="V43" s="9">
        <v>0</v>
      </c>
      <c r="W43" s="9">
        <v>0</v>
      </c>
      <c r="X43" s="9">
        <v>0</v>
      </c>
      <c r="Y43" s="9">
        <v>0</v>
      </c>
      <c r="Z43" s="9">
        <v>0</v>
      </c>
      <c r="AA43" s="9">
        <v>0</v>
      </c>
      <c r="AB43" s="9">
        <v>0</v>
      </c>
      <c r="AC43" s="9">
        <v>0</v>
      </c>
      <c r="AD43" s="53" t="e">
        <f>#REF!*D43</f>
        <v>#REF!</v>
      </c>
      <c r="AE43" s="53" t="e">
        <f>AD43-#REF!</f>
        <v>#REF!</v>
      </c>
      <c r="AF43" s="8"/>
      <c r="AG43" s="33" t="e">
        <f>#REF!-D43</f>
        <v>#REF!</v>
      </c>
      <c r="AH43" s="8"/>
      <c r="AI43" s="8"/>
      <c r="AJ43" s="8"/>
      <c r="AK43" s="8"/>
    </row>
    <row r="44" spans="1:37" s="17" customFormat="1" ht="22.5" customHeight="1" outlineLevel="1" x14ac:dyDescent="0.2">
      <c r="A44" s="61" t="s">
        <v>672</v>
      </c>
      <c r="B44" s="14" t="s">
        <v>71</v>
      </c>
      <c r="C44" s="8" t="s">
        <v>47</v>
      </c>
      <c r="D44" s="25">
        <f t="shared" si="0"/>
        <v>42</v>
      </c>
      <c r="E44" s="54"/>
      <c r="F44" s="9"/>
      <c r="G44" s="88">
        <f t="shared" ref="G44:AC44" si="24">G68</f>
        <v>0</v>
      </c>
      <c r="H44" s="88">
        <f t="shared" si="24"/>
        <v>4</v>
      </c>
      <c r="I44" s="88">
        <f t="shared" si="24"/>
        <v>11</v>
      </c>
      <c r="J44" s="88">
        <f t="shared" si="24"/>
        <v>0</v>
      </c>
      <c r="K44" s="88">
        <f t="shared" si="24"/>
        <v>0</v>
      </c>
      <c r="L44" s="88">
        <f t="shared" si="24"/>
        <v>0</v>
      </c>
      <c r="M44" s="88">
        <f t="shared" si="24"/>
        <v>1</v>
      </c>
      <c r="N44" s="88">
        <f t="shared" si="24"/>
        <v>1</v>
      </c>
      <c r="O44" s="88">
        <f t="shared" si="24"/>
        <v>3</v>
      </c>
      <c r="P44" s="88">
        <f t="shared" si="24"/>
        <v>2</v>
      </c>
      <c r="Q44" s="88">
        <f t="shared" si="24"/>
        <v>2</v>
      </c>
      <c r="R44" s="88">
        <f t="shared" si="24"/>
        <v>4</v>
      </c>
      <c r="S44" s="88">
        <f t="shared" si="24"/>
        <v>0</v>
      </c>
      <c r="T44" s="88">
        <f t="shared" si="24"/>
        <v>0</v>
      </c>
      <c r="U44" s="88">
        <f t="shared" si="24"/>
        <v>2</v>
      </c>
      <c r="V44" s="88">
        <f t="shared" si="24"/>
        <v>2</v>
      </c>
      <c r="W44" s="88">
        <f t="shared" si="24"/>
        <v>2</v>
      </c>
      <c r="X44" s="88">
        <f t="shared" si="24"/>
        <v>2</v>
      </c>
      <c r="Y44" s="88">
        <f t="shared" si="24"/>
        <v>2</v>
      </c>
      <c r="Z44" s="88">
        <f t="shared" si="24"/>
        <v>2</v>
      </c>
      <c r="AA44" s="88">
        <f t="shared" si="24"/>
        <v>2</v>
      </c>
      <c r="AB44" s="88">
        <f t="shared" si="24"/>
        <v>0</v>
      </c>
      <c r="AC44" s="88">
        <f t="shared" si="24"/>
        <v>0</v>
      </c>
      <c r="AD44" s="53" t="e">
        <f>#REF!*D44</f>
        <v>#REF!</v>
      </c>
      <c r="AE44" s="53" t="e">
        <f>AD44-#REF!</f>
        <v>#REF!</v>
      </c>
      <c r="AF44" s="8"/>
      <c r="AG44" s="33" t="e">
        <f>#REF!-D44</f>
        <v>#REF!</v>
      </c>
      <c r="AH44" s="8"/>
      <c r="AI44" s="8"/>
      <c r="AJ44" s="8"/>
      <c r="AK44" s="8"/>
    </row>
    <row r="45" spans="1:37" s="17" customFormat="1" ht="30.6" outlineLevel="1" x14ac:dyDescent="0.2">
      <c r="A45" s="61" t="s">
        <v>673</v>
      </c>
      <c r="B45" s="14" t="s">
        <v>2651</v>
      </c>
      <c r="C45" s="8" t="s">
        <v>47</v>
      </c>
      <c r="D45" s="25">
        <f t="shared" si="0"/>
        <v>5</v>
      </c>
      <c r="E45" s="54"/>
      <c r="F45" s="9"/>
      <c r="G45" s="33">
        <v>0</v>
      </c>
      <c r="H45" s="33">
        <v>0</v>
      </c>
      <c r="I45" s="9">
        <v>0</v>
      </c>
      <c r="J45" s="9">
        <v>0</v>
      </c>
      <c r="K45" s="9">
        <v>0</v>
      </c>
      <c r="L45" s="9">
        <v>0</v>
      </c>
      <c r="M45" s="9">
        <v>0</v>
      </c>
      <c r="N45" s="9">
        <v>0</v>
      </c>
      <c r="O45" s="9">
        <v>0</v>
      </c>
      <c r="P45" s="9">
        <v>0</v>
      </c>
      <c r="Q45" s="9">
        <v>5</v>
      </c>
      <c r="R45" s="9">
        <v>0</v>
      </c>
      <c r="S45" s="9">
        <v>0</v>
      </c>
      <c r="T45" s="9">
        <v>0</v>
      </c>
      <c r="U45" s="33">
        <v>0</v>
      </c>
      <c r="V45" s="9">
        <v>0</v>
      </c>
      <c r="W45" s="9">
        <v>0</v>
      </c>
      <c r="X45" s="9">
        <v>0</v>
      </c>
      <c r="Y45" s="9">
        <v>0</v>
      </c>
      <c r="Z45" s="9">
        <v>0</v>
      </c>
      <c r="AA45" s="9">
        <v>0</v>
      </c>
      <c r="AB45" s="9">
        <v>0</v>
      </c>
      <c r="AC45" s="9">
        <v>0</v>
      </c>
      <c r="AD45" s="53" t="e">
        <f>#REF!*D45</f>
        <v>#REF!</v>
      </c>
      <c r="AE45" s="53" t="e">
        <f>AD45-#REF!</f>
        <v>#REF!</v>
      </c>
      <c r="AF45" s="8"/>
      <c r="AG45" s="33" t="e">
        <f>#REF!-D45</f>
        <v>#REF!</v>
      </c>
      <c r="AH45" s="8"/>
      <c r="AI45" s="8"/>
      <c r="AJ45" s="8"/>
      <c r="AK45" s="8"/>
    </row>
    <row r="46" spans="1:37" s="17" customFormat="1" ht="30.6" outlineLevel="1" x14ac:dyDescent="0.2">
      <c r="A46" s="61" t="s">
        <v>674</v>
      </c>
      <c r="B46" s="14" t="s">
        <v>490</v>
      </c>
      <c r="C46" s="8" t="s">
        <v>47</v>
      </c>
      <c r="D46" s="25">
        <f t="shared" si="0"/>
        <v>5</v>
      </c>
      <c r="E46" s="54"/>
      <c r="F46" s="9"/>
      <c r="G46" s="33">
        <v>0</v>
      </c>
      <c r="H46" s="33">
        <v>0</v>
      </c>
      <c r="I46" s="9">
        <v>0</v>
      </c>
      <c r="J46" s="9">
        <v>0</v>
      </c>
      <c r="K46" s="9">
        <v>0</v>
      </c>
      <c r="L46" s="9">
        <v>0</v>
      </c>
      <c r="M46" s="9">
        <v>0</v>
      </c>
      <c r="N46" s="9">
        <v>0</v>
      </c>
      <c r="O46" s="9">
        <v>0</v>
      </c>
      <c r="P46" s="9">
        <v>0</v>
      </c>
      <c r="Q46" s="9">
        <v>5</v>
      </c>
      <c r="R46" s="9">
        <v>0</v>
      </c>
      <c r="S46" s="9">
        <v>0</v>
      </c>
      <c r="T46" s="9">
        <v>0</v>
      </c>
      <c r="U46" s="33">
        <v>0</v>
      </c>
      <c r="V46" s="9">
        <v>0</v>
      </c>
      <c r="W46" s="9">
        <v>0</v>
      </c>
      <c r="X46" s="9">
        <v>0</v>
      </c>
      <c r="Y46" s="9">
        <v>0</v>
      </c>
      <c r="Z46" s="9">
        <v>0</v>
      </c>
      <c r="AA46" s="9">
        <v>0</v>
      </c>
      <c r="AB46" s="9">
        <v>0</v>
      </c>
      <c r="AC46" s="9">
        <v>0</v>
      </c>
      <c r="AD46" s="53" t="e">
        <f>#REF!*D46</f>
        <v>#REF!</v>
      </c>
      <c r="AE46" s="53" t="e">
        <f>AD46-#REF!</f>
        <v>#REF!</v>
      </c>
      <c r="AF46" s="8"/>
      <c r="AG46" s="33" t="e">
        <f>#REF!-D46</f>
        <v>#REF!</v>
      </c>
      <c r="AH46" s="8"/>
      <c r="AI46" s="8"/>
      <c r="AJ46" s="8"/>
      <c r="AK46" s="8"/>
    </row>
    <row r="47" spans="1:37" s="12" customFormat="1" ht="20.399999999999999" outlineLevel="1" x14ac:dyDescent="0.2">
      <c r="A47" s="61" t="s">
        <v>675</v>
      </c>
      <c r="B47" s="14" t="s">
        <v>2477</v>
      </c>
      <c r="C47" s="9" t="s">
        <v>47</v>
      </c>
      <c r="D47" s="25">
        <f t="shared" si="0"/>
        <v>1079</v>
      </c>
      <c r="E47" s="54"/>
      <c r="F47" s="78"/>
      <c r="G47" s="33">
        <v>2</v>
      </c>
      <c r="H47" s="33">
        <f>25+90+6</f>
        <v>121</v>
      </c>
      <c r="I47" s="9">
        <f>164-14</f>
        <v>150</v>
      </c>
      <c r="J47" s="9">
        <f>45-13</f>
        <v>32</v>
      </c>
      <c r="K47" s="9">
        <f>58-21</f>
        <v>37</v>
      </c>
      <c r="L47" s="9">
        <f>57-21</f>
        <v>36</v>
      </c>
      <c r="M47" s="9">
        <v>57</v>
      </c>
      <c r="N47" s="9">
        <v>57</v>
      </c>
      <c r="O47" s="9">
        <v>52</v>
      </c>
      <c r="P47" s="9">
        <v>44</v>
      </c>
      <c r="Q47" s="9">
        <v>44</v>
      </c>
      <c r="R47" s="9">
        <v>125</v>
      </c>
      <c r="S47" s="9">
        <v>0</v>
      </c>
      <c r="T47" s="9">
        <f>440/2</f>
        <v>220</v>
      </c>
      <c r="U47" s="33">
        <f>33</f>
        <v>33</v>
      </c>
      <c r="V47" s="9">
        <v>14</v>
      </c>
      <c r="W47" s="9">
        <v>13</v>
      </c>
      <c r="X47" s="9">
        <v>21</v>
      </c>
      <c r="Y47" s="9">
        <v>21</v>
      </c>
      <c r="Z47" s="9">
        <v>0</v>
      </c>
      <c r="AA47" s="9">
        <v>0</v>
      </c>
      <c r="AB47" s="9">
        <v>0</v>
      </c>
      <c r="AC47" s="9">
        <v>0</v>
      </c>
      <c r="AD47" s="53" t="e">
        <f>#REF!*D47</f>
        <v>#REF!</v>
      </c>
      <c r="AE47" s="53" t="e">
        <f>AD47-#REF!</f>
        <v>#REF!</v>
      </c>
      <c r="AF47" s="9"/>
      <c r="AG47" s="33" t="e">
        <f>#REF!-D47</f>
        <v>#REF!</v>
      </c>
      <c r="AH47" s="9"/>
      <c r="AI47" s="9"/>
      <c r="AJ47" s="9"/>
      <c r="AK47" s="9"/>
    </row>
    <row r="48" spans="1:37" s="17" customFormat="1" ht="30.6" outlineLevel="1" x14ac:dyDescent="0.2">
      <c r="A48" s="61" t="s">
        <v>676</v>
      </c>
      <c r="B48" s="14" t="s">
        <v>158</v>
      </c>
      <c r="C48" s="8" t="s">
        <v>47</v>
      </c>
      <c r="D48" s="25">
        <f t="shared" si="0"/>
        <v>626</v>
      </c>
      <c r="E48" s="54"/>
      <c r="F48" s="78"/>
      <c r="G48" s="33">
        <v>0</v>
      </c>
      <c r="H48" s="33">
        <f>37+27+4</f>
        <v>68</v>
      </c>
      <c r="I48" s="9">
        <f>39+4+50-20</f>
        <v>73</v>
      </c>
      <c r="J48" s="9">
        <f>32-9</f>
        <v>23</v>
      </c>
      <c r="K48" s="9">
        <f>29</f>
        <v>29</v>
      </c>
      <c r="L48" s="9">
        <f>16</f>
        <v>16</v>
      </c>
      <c r="M48" s="9">
        <f>15+10+29+1</f>
        <v>55</v>
      </c>
      <c r="N48" s="9">
        <v>32</v>
      </c>
      <c r="O48" s="9">
        <f>20</f>
        <v>20</v>
      </c>
      <c r="P48" s="9">
        <v>32</v>
      </c>
      <c r="Q48" s="9">
        <v>32</v>
      </c>
      <c r="R48" s="9">
        <v>52</v>
      </c>
      <c r="S48" s="9">
        <v>0</v>
      </c>
      <c r="T48" s="9">
        <f>72+24+6</f>
        <v>102</v>
      </c>
      <c r="U48" s="33">
        <f>32</f>
        <v>32</v>
      </c>
      <c r="V48" s="9">
        <v>20</v>
      </c>
      <c r="W48" s="9">
        <v>9</v>
      </c>
      <c r="X48" s="9">
        <f>9+5+1</f>
        <v>15</v>
      </c>
      <c r="Y48" s="9">
        <f>10+5+1</f>
        <v>16</v>
      </c>
      <c r="Z48" s="9">
        <v>0</v>
      </c>
      <c r="AA48" s="9">
        <v>0</v>
      </c>
      <c r="AB48" s="9">
        <v>0</v>
      </c>
      <c r="AC48" s="9">
        <v>0</v>
      </c>
      <c r="AD48" s="53" t="e">
        <f>#REF!*D48</f>
        <v>#REF!</v>
      </c>
      <c r="AE48" s="53" t="e">
        <f>AD48-#REF!</f>
        <v>#REF!</v>
      </c>
      <c r="AF48" s="8"/>
      <c r="AG48" s="33" t="e">
        <f>#REF!-D48</f>
        <v>#REF!</v>
      </c>
      <c r="AH48" s="8"/>
      <c r="AI48" s="8"/>
      <c r="AJ48" s="8"/>
      <c r="AK48" s="8"/>
    </row>
    <row r="49" spans="1:37" s="17" customFormat="1" ht="25.5" customHeight="1" outlineLevel="1" x14ac:dyDescent="0.2">
      <c r="A49" s="61" t="s">
        <v>2652</v>
      </c>
      <c r="B49" s="47" t="s">
        <v>159</v>
      </c>
      <c r="C49" s="8" t="s">
        <v>47</v>
      </c>
      <c r="D49" s="25">
        <f t="shared" si="0"/>
        <v>1878</v>
      </c>
      <c r="E49" s="54"/>
      <c r="F49" s="78"/>
      <c r="G49" s="33">
        <v>0</v>
      </c>
      <c r="H49" s="88">
        <f t="shared" ref="H49:AC49" si="25">H48*3</f>
        <v>204</v>
      </c>
      <c r="I49" s="88">
        <f t="shared" si="25"/>
        <v>219</v>
      </c>
      <c r="J49" s="88">
        <f t="shared" si="25"/>
        <v>69</v>
      </c>
      <c r="K49" s="88">
        <f t="shared" si="25"/>
        <v>87</v>
      </c>
      <c r="L49" s="88">
        <f t="shared" si="25"/>
        <v>48</v>
      </c>
      <c r="M49" s="88">
        <f t="shared" si="25"/>
        <v>165</v>
      </c>
      <c r="N49" s="88">
        <f t="shared" si="25"/>
        <v>96</v>
      </c>
      <c r="O49" s="88">
        <f t="shared" si="25"/>
        <v>60</v>
      </c>
      <c r="P49" s="88">
        <f t="shared" si="25"/>
        <v>96</v>
      </c>
      <c r="Q49" s="88">
        <f t="shared" si="25"/>
        <v>96</v>
      </c>
      <c r="R49" s="88">
        <f t="shared" si="25"/>
        <v>156</v>
      </c>
      <c r="S49" s="88">
        <f t="shared" si="25"/>
        <v>0</v>
      </c>
      <c r="T49" s="88">
        <f t="shared" si="25"/>
        <v>306</v>
      </c>
      <c r="U49" s="88">
        <f t="shared" si="25"/>
        <v>96</v>
      </c>
      <c r="V49" s="88">
        <f t="shared" si="25"/>
        <v>60</v>
      </c>
      <c r="W49" s="88">
        <f t="shared" si="25"/>
        <v>27</v>
      </c>
      <c r="X49" s="88">
        <f t="shared" si="25"/>
        <v>45</v>
      </c>
      <c r="Y49" s="88">
        <f t="shared" si="25"/>
        <v>48</v>
      </c>
      <c r="Z49" s="88">
        <f t="shared" si="25"/>
        <v>0</v>
      </c>
      <c r="AA49" s="88">
        <f t="shared" si="25"/>
        <v>0</v>
      </c>
      <c r="AB49" s="88">
        <f t="shared" si="25"/>
        <v>0</v>
      </c>
      <c r="AC49" s="88">
        <f t="shared" si="25"/>
        <v>0</v>
      </c>
      <c r="AD49" s="53" t="e">
        <f>#REF!*D49</f>
        <v>#REF!</v>
      </c>
      <c r="AE49" s="53" t="e">
        <f>AD49-#REF!</f>
        <v>#REF!</v>
      </c>
      <c r="AF49" s="8"/>
      <c r="AG49" s="33" t="e">
        <f>#REF!-D49</f>
        <v>#REF!</v>
      </c>
      <c r="AH49" s="8"/>
      <c r="AI49" s="8"/>
      <c r="AJ49" s="8"/>
      <c r="AK49" s="8"/>
    </row>
    <row r="50" spans="1:37" s="17" customFormat="1" ht="24" customHeight="1" outlineLevel="1" x14ac:dyDescent="0.2">
      <c r="A50" s="61" t="s">
        <v>2653</v>
      </c>
      <c r="B50" s="47" t="s">
        <v>433</v>
      </c>
      <c r="C50" s="8" t="s">
        <v>47</v>
      </c>
      <c r="D50" s="25">
        <f t="shared" si="0"/>
        <v>23</v>
      </c>
      <c r="E50" s="54"/>
      <c r="F50" s="78"/>
      <c r="G50" s="33">
        <v>0</v>
      </c>
      <c r="H50" s="33">
        <f>3</f>
        <v>3</v>
      </c>
      <c r="I50" s="9">
        <f>16</f>
        <v>16</v>
      </c>
      <c r="J50" s="9">
        <v>0</v>
      </c>
      <c r="K50" s="9">
        <v>0</v>
      </c>
      <c r="L50" s="9">
        <v>0</v>
      </c>
      <c r="M50" s="9">
        <v>0</v>
      </c>
      <c r="N50" s="9">
        <v>0</v>
      </c>
      <c r="O50" s="9">
        <v>0</v>
      </c>
      <c r="P50" s="9">
        <v>0</v>
      </c>
      <c r="Q50" s="9">
        <v>0</v>
      </c>
      <c r="R50" s="9">
        <v>4</v>
      </c>
      <c r="S50" s="9">
        <v>0</v>
      </c>
      <c r="T50" s="9">
        <v>0</v>
      </c>
      <c r="U50" s="33">
        <v>0</v>
      </c>
      <c r="V50" s="9">
        <v>0</v>
      </c>
      <c r="W50" s="9">
        <v>0</v>
      </c>
      <c r="X50" s="9">
        <v>0</v>
      </c>
      <c r="Y50" s="9">
        <v>0</v>
      </c>
      <c r="Z50" s="9">
        <v>0</v>
      </c>
      <c r="AA50" s="9">
        <v>0</v>
      </c>
      <c r="AB50" s="9">
        <v>0</v>
      </c>
      <c r="AC50" s="9">
        <v>0</v>
      </c>
      <c r="AD50" s="53" t="e">
        <f>#REF!*D50</f>
        <v>#REF!</v>
      </c>
      <c r="AE50" s="53" t="e">
        <f>AD50-#REF!</f>
        <v>#REF!</v>
      </c>
      <c r="AF50" s="8"/>
      <c r="AG50" s="33" t="e">
        <f>#REF!-D50</f>
        <v>#REF!</v>
      </c>
      <c r="AH50" s="8"/>
      <c r="AI50" s="8"/>
      <c r="AJ50" s="8"/>
      <c r="AK50" s="8"/>
    </row>
    <row r="51" spans="1:37" outlineLevel="1" x14ac:dyDescent="0.25">
      <c r="A51" s="61"/>
      <c r="E51" s="54"/>
      <c r="H51" s="8"/>
      <c r="I51" s="8"/>
      <c r="J51" s="8"/>
      <c r="K51" s="8"/>
      <c r="L51" s="8"/>
      <c r="M51" s="8"/>
      <c r="N51" s="8"/>
      <c r="O51" s="8"/>
      <c r="P51" s="8"/>
      <c r="Q51" s="8"/>
      <c r="R51" s="8"/>
      <c r="S51" s="8"/>
      <c r="T51" s="8"/>
      <c r="U51" s="8"/>
      <c r="V51" s="8"/>
      <c r="W51" s="8"/>
      <c r="X51" s="8"/>
      <c r="Y51" s="8"/>
      <c r="Z51" s="8"/>
      <c r="AA51" s="8"/>
      <c r="AB51" s="8"/>
      <c r="AC51" s="8"/>
      <c r="AD51" s="53" t="e">
        <f>#REF!*D51</f>
        <v>#REF!</v>
      </c>
      <c r="AE51" s="53" t="e">
        <f>AD51-#REF!</f>
        <v>#REF!</v>
      </c>
      <c r="AG51" s="33" t="e">
        <f>#REF!-D51</f>
        <v>#REF!</v>
      </c>
    </row>
    <row r="52" spans="1:37" x14ac:dyDescent="0.25">
      <c r="A52" s="18" t="s">
        <v>7</v>
      </c>
      <c r="B52" s="35" t="s">
        <v>480</v>
      </c>
      <c r="C52" s="18" t="s">
        <v>41</v>
      </c>
      <c r="D52" s="52" t="e">
        <f>#REF!/#REF!*100</f>
        <v>#REF!</v>
      </c>
      <c r="E52" s="54"/>
      <c r="G52" s="49"/>
      <c r="H52" s="49"/>
      <c r="I52" s="49"/>
      <c r="J52" s="49"/>
      <c r="K52" s="49"/>
      <c r="L52" s="49"/>
      <c r="M52" s="49"/>
      <c r="N52" s="49"/>
      <c r="O52" s="49"/>
      <c r="P52" s="49"/>
      <c r="Q52" s="49"/>
      <c r="R52" s="49"/>
      <c r="S52" s="49"/>
      <c r="T52" s="49"/>
      <c r="U52" s="49"/>
      <c r="V52" s="49"/>
      <c r="W52" s="49"/>
      <c r="X52" s="49"/>
      <c r="Y52" s="49"/>
      <c r="Z52" s="49"/>
      <c r="AA52" s="49"/>
      <c r="AB52" s="49"/>
      <c r="AC52" s="49"/>
      <c r="AD52" s="53" t="e">
        <f>#REF!*D52</f>
        <v>#REF!</v>
      </c>
      <c r="AE52" s="53" t="e">
        <f>AD52-#REF!</f>
        <v>#REF!</v>
      </c>
      <c r="AG52" s="33" t="e">
        <f>#REF!-D52</f>
        <v>#REF!</v>
      </c>
    </row>
    <row r="53" spans="1:37" s="12" customFormat="1" ht="20.399999999999999" outlineLevel="1" x14ac:dyDescent="0.2">
      <c r="A53" s="61" t="s">
        <v>678</v>
      </c>
      <c r="B53" s="14" t="s">
        <v>312</v>
      </c>
      <c r="C53" s="9" t="s">
        <v>47</v>
      </c>
      <c r="D53" s="25">
        <f t="shared" ref="D53:D89" si="26">SUM(G53:AC53)</f>
        <v>610</v>
      </c>
      <c r="E53" s="54"/>
      <c r="F53" s="78"/>
      <c r="G53" s="33">
        <v>0</v>
      </c>
      <c r="H53" s="33">
        <f>34+21-H64</f>
        <v>55</v>
      </c>
      <c r="I53" s="9">
        <v>15</v>
      </c>
      <c r="J53" s="9">
        <f>34-13</f>
        <v>21</v>
      </c>
      <c r="K53" s="9">
        <f>67-20</f>
        <v>47</v>
      </c>
      <c r="L53" s="9">
        <f>16+30</f>
        <v>46</v>
      </c>
      <c r="M53" s="9">
        <f>13+27-1</f>
        <v>39</v>
      </c>
      <c r="N53" s="9">
        <f>16+27-1</f>
        <v>42</v>
      </c>
      <c r="O53" s="9">
        <f>15+28</f>
        <v>43</v>
      </c>
      <c r="P53" s="9">
        <f>36+23-P64</f>
        <v>39</v>
      </c>
      <c r="Q53" s="9">
        <f>36+23-Q64</f>
        <v>53</v>
      </c>
      <c r="R53" s="9">
        <v>2</v>
      </c>
      <c r="S53" s="9">
        <v>0</v>
      </c>
      <c r="T53" s="9">
        <v>0</v>
      </c>
      <c r="U53" s="33">
        <v>25</v>
      </c>
      <c r="V53" s="9">
        <v>22</v>
      </c>
      <c r="W53" s="9">
        <v>13</v>
      </c>
      <c r="X53" s="9">
        <v>46</v>
      </c>
      <c r="Y53" s="9">
        <v>39</v>
      </c>
      <c r="Z53" s="9">
        <v>31</v>
      </c>
      <c r="AA53" s="9">
        <v>32</v>
      </c>
      <c r="AB53" s="9">
        <v>0</v>
      </c>
      <c r="AC53" s="9">
        <v>0</v>
      </c>
      <c r="AD53" s="53" t="e">
        <f>#REF!*D53</f>
        <v>#REF!</v>
      </c>
      <c r="AE53" s="53" t="e">
        <f>AD53-#REF!</f>
        <v>#REF!</v>
      </c>
      <c r="AF53" s="9"/>
      <c r="AG53" s="33" t="e">
        <f>#REF!-D53</f>
        <v>#REF!</v>
      </c>
      <c r="AH53" s="9"/>
      <c r="AI53" s="9"/>
      <c r="AJ53" s="9"/>
      <c r="AK53" s="9"/>
    </row>
    <row r="54" spans="1:37" s="12" customFormat="1" ht="20.399999999999999" outlineLevel="1" x14ac:dyDescent="0.2">
      <c r="A54" s="61" t="s">
        <v>679</v>
      </c>
      <c r="B54" s="14" t="s">
        <v>313</v>
      </c>
      <c r="C54" s="9" t="s">
        <v>47</v>
      </c>
      <c r="D54" s="25">
        <f t="shared" si="26"/>
        <v>594</v>
      </c>
      <c r="E54" s="54"/>
      <c r="F54" s="78"/>
      <c r="G54" s="33">
        <v>0</v>
      </c>
      <c r="H54" s="33">
        <f>27+12</f>
        <v>39</v>
      </c>
      <c r="I54" s="9">
        <f>19+2</f>
        <v>21</v>
      </c>
      <c r="J54" s="9">
        <f>15-4</f>
        <v>11</v>
      </c>
      <c r="K54" s="9">
        <f>31-9</f>
        <v>22</v>
      </c>
      <c r="L54" s="9">
        <f>78</f>
        <v>78</v>
      </c>
      <c r="M54" s="9">
        <v>47</v>
      </c>
      <c r="N54" s="9">
        <v>50</v>
      </c>
      <c r="O54" s="9">
        <f>8+49</f>
        <v>57</v>
      </c>
      <c r="P54" s="9">
        <v>9</v>
      </c>
      <c r="Q54" s="9">
        <v>9</v>
      </c>
      <c r="R54" s="9">
        <v>2</v>
      </c>
      <c r="S54" s="9">
        <v>0</v>
      </c>
      <c r="T54" s="9">
        <v>0</v>
      </c>
      <c r="U54" s="33">
        <v>15</v>
      </c>
      <c r="V54" s="9">
        <v>14</v>
      </c>
      <c r="W54" s="9">
        <v>26</v>
      </c>
      <c r="X54" s="9">
        <v>59</v>
      </c>
      <c r="Y54" s="9">
        <v>37</v>
      </c>
      <c r="Z54" s="9">
        <v>20</v>
      </c>
      <c r="AA54" s="9">
        <v>78</v>
      </c>
      <c r="AB54" s="9">
        <v>0</v>
      </c>
      <c r="AC54" s="9">
        <v>0</v>
      </c>
      <c r="AD54" s="53" t="e">
        <f>#REF!*D54</f>
        <v>#REF!</v>
      </c>
      <c r="AE54" s="53" t="e">
        <f>AD54-#REF!</f>
        <v>#REF!</v>
      </c>
      <c r="AF54" s="9"/>
      <c r="AG54" s="33" t="e">
        <f>#REF!-D54</f>
        <v>#REF!</v>
      </c>
      <c r="AH54" s="9"/>
      <c r="AI54" s="9"/>
      <c r="AJ54" s="9"/>
      <c r="AK54" s="9"/>
    </row>
    <row r="55" spans="1:37" s="12" customFormat="1" ht="20.399999999999999" outlineLevel="1" x14ac:dyDescent="0.2">
      <c r="A55" s="61" t="s">
        <v>680</v>
      </c>
      <c r="B55" s="14" t="s">
        <v>314</v>
      </c>
      <c r="C55" s="9" t="s">
        <v>47</v>
      </c>
      <c r="D55" s="25">
        <f t="shared" si="26"/>
        <v>331</v>
      </c>
      <c r="E55" s="54"/>
      <c r="F55" s="78"/>
      <c r="G55" s="33">
        <v>0</v>
      </c>
      <c r="H55" s="33">
        <f>16+13</f>
        <v>29</v>
      </c>
      <c r="I55" s="9">
        <f>13+2+4</f>
        <v>19</v>
      </c>
      <c r="J55" s="9">
        <f>11-5</f>
        <v>6</v>
      </c>
      <c r="K55" s="9">
        <v>1</v>
      </c>
      <c r="L55" s="9">
        <v>4</v>
      </c>
      <c r="M55" s="9">
        <v>96</v>
      </c>
      <c r="N55" s="9">
        <v>96</v>
      </c>
      <c r="O55" s="9">
        <v>8</v>
      </c>
      <c r="P55" s="9">
        <v>0</v>
      </c>
      <c r="Q55" s="9">
        <v>0</v>
      </c>
      <c r="R55" s="9">
        <v>2</v>
      </c>
      <c r="S55" s="9">
        <v>0</v>
      </c>
      <c r="T55" s="9">
        <v>0</v>
      </c>
      <c r="U55" s="33">
        <v>6</v>
      </c>
      <c r="V55" s="9">
        <v>12</v>
      </c>
      <c r="W55" s="9">
        <v>6</v>
      </c>
      <c r="X55" s="9">
        <v>9</v>
      </c>
      <c r="Y55" s="9">
        <v>13</v>
      </c>
      <c r="Z55" s="9">
        <v>15</v>
      </c>
      <c r="AA55" s="9">
        <v>9</v>
      </c>
      <c r="AB55" s="9">
        <v>0</v>
      </c>
      <c r="AC55" s="9">
        <v>0</v>
      </c>
      <c r="AD55" s="53" t="e">
        <f>#REF!*D55</f>
        <v>#REF!</v>
      </c>
      <c r="AE55" s="53" t="e">
        <f>AD55-#REF!</f>
        <v>#REF!</v>
      </c>
      <c r="AF55" s="9"/>
      <c r="AG55" s="33" t="e">
        <f>#REF!-D55</f>
        <v>#REF!</v>
      </c>
      <c r="AH55" s="9"/>
      <c r="AI55" s="9"/>
      <c r="AJ55" s="9"/>
      <c r="AK55" s="9"/>
    </row>
    <row r="56" spans="1:37" s="12" customFormat="1" ht="20.399999999999999" outlineLevel="1" x14ac:dyDescent="0.2">
      <c r="A56" s="61" t="s">
        <v>681</v>
      </c>
      <c r="B56" s="14" t="s">
        <v>315</v>
      </c>
      <c r="C56" s="9" t="s">
        <v>47</v>
      </c>
      <c r="D56" s="25">
        <f t="shared" si="26"/>
        <v>133</v>
      </c>
      <c r="E56" s="54"/>
      <c r="F56" s="78"/>
      <c r="G56" s="33">
        <v>0</v>
      </c>
      <c r="H56" s="33">
        <v>0</v>
      </c>
      <c r="I56" s="9">
        <v>0</v>
      </c>
      <c r="J56" s="9">
        <v>14</v>
      </c>
      <c r="K56" s="9">
        <v>6</v>
      </c>
      <c r="L56" s="9">
        <v>0</v>
      </c>
      <c r="M56" s="9">
        <v>2</v>
      </c>
      <c r="N56" s="9">
        <v>3</v>
      </c>
      <c r="O56" s="9">
        <v>2</v>
      </c>
      <c r="P56" s="9">
        <v>51</v>
      </c>
      <c r="Q56" s="9">
        <v>51</v>
      </c>
      <c r="R56" s="9">
        <v>0</v>
      </c>
      <c r="S56" s="9">
        <v>0</v>
      </c>
      <c r="T56" s="9">
        <v>0</v>
      </c>
      <c r="U56" s="33">
        <v>4</v>
      </c>
      <c r="V56" s="9">
        <v>0</v>
      </c>
      <c r="W56" s="9">
        <v>0</v>
      </c>
      <c r="X56" s="9">
        <v>0</v>
      </c>
      <c r="Y56" s="9">
        <v>0</v>
      </c>
      <c r="Z56" s="9">
        <v>0</v>
      </c>
      <c r="AA56" s="9">
        <v>0</v>
      </c>
      <c r="AB56" s="9">
        <v>0</v>
      </c>
      <c r="AC56" s="9">
        <v>0</v>
      </c>
      <c r="AD56" s="53" t="e">
        <f>#REF!*D56</f>
        <v>#REF!</v>
      </c>
      <c r="AE56" s="53" t="e">
        <f>AD56-#REF!</f>
        <v>#REF!</v>
      </c>
      <c r="AF56" s="9"/>
      <c r="AG56" s="33" t="e">
        <f>#REF!-D56</f>
        <v>#REF!</v>
      </c>
      <c r="AH56" s="9"/>
      <c r="AI56" s="9"/>
      <c r="AJ56" s="9"/>
      <c r="AK56" s="9"/>
    </row>
    <row r="57" spans="1:37" s="12" customFormat="1" ht="20.399999999999999" outlineLevel="1" x14ac:dyDescent="0.2">
      <c r="A57" s="61" t="s">
        <v>682</v>
      </c>
      <c r="B57" s="14" t="s">
        <v>434</v>
      </c>
      <c r="C57" s="9" t="s">
        <v>47</v>
      </c>
      <c r="D57" s="25">
        <f t="shared" si="26"/>
        <v>4</v>
      </c>
      <c r="E57" s="54"/>
      <c r="F57" s="78"/>
      <c r="G57" s="33">
        <v>0</v>
      </c>
      <c r="H57" s="33">
        <v>0</v>
      </c>
      <c r="I57" s="9">
        <f>4</f>
        <v>4</v>
      </c>
      <c r="J57" s="9">
        <v>0</v>
      </c>
      <c r="K57" s="9">
        <v>0</v>
      </c>
      <c r="L57" s="9">
        <v>0</v>
      </c>
      <c r="M57" s="9">
        <v>0</v>
      </c>
      <c r="N57" s="9">
        <v>0</v>
      </c>
      <c r="O57" s="9">
        <v>0</v>
      </c>
      <c r="P57" s="9">
        <v>0</v>
      </c>
      <c r="Q57" s="9">
        <v>0</v>
      </c>
      <c r="R57" s="9">
        <v>0</v>
      </c>
      <c r="S57" s="9">
        <v>0</v>
      </c>
      <c r="T57" s="9">
        <v>0</v>
      </c>
      <c r="U57" s="33">
        <v>0</v>
      </c>
      <c r="V57" s="9">
        <v>0</v>
      </c>
      <c r="W57" s="9">
        <v>0</v>
      </c>
      <c r="X57" s="9">
        <v>0</v>
      </c>
      <c r="Y57" s="9">
        <v>0</v>
      </c>
      <c r="Z57" s="9">
        <v>0</v>
      </c>
      <c r="AA57" s="9">
        <v>0</v>
      </c>
      <c r="AB57" s="9">
        <v>0</v>
      </c>
      <c r="AC57" s="9">
        <v>0</v>
      </c>
      <c r="AD57" s="53" t="e">
        <f>#REF!*D57</f>
        <v>#REF!</v>
      </c>
      <c r="AE57" s="53" t="e">
        <f>AD57-#REF!</f>
        <v>#REF!</v>
      </c>
      <c r="AF57" s="9"/>
      <c r="AG57" s="33" t="e">
        <f>#REF!-D57</f>
        <v>#REF!</v>
      </c>
      <c r="AH57" s="9"/>
      <c r="AI57" s="9"/>
      <c r="AJ57" s="9"/>
      <c r="AK57" s="9"/>
    </row>
    <row r="58" spans="1:37" s="12" customFormat="1" ht="20.399999999999999" outlineLevel="1" x14ac:dyDescent="0.2">
      <c r="A58" s="61" t="s">
        <v>683</v>
      </c>
      <c r="B58" s="14" t="s">
        <v>328</v>
      </c>
      <c r="C58" s="9" t="s">
        <v>47</v>
      </c>
      <c r="D58" s="25">
        <f t="shared" si="26"/>
        <v>2300</v>
      </c>
      <c r="E58" s="54"/>
      <c r="F58" s="78"/>
      <c r="G58" s="33">
        <v>0</v>
      </c>
      <c r="H58" s="33">
        <f>7+2+32+51+4+43+28</f>
        <v>167</v>
      </c>
      <c r="I58" s="9">
        <f>28+17+78+5+8+6+4+8+18+12+5+6+4-18</f>
        <v>181</v>
      </c>
      <c r="J58" s="9">
        <f>209-44</f>
        <v>165</v>
      </c>
      <c r="K58" s="9">
        <f>22+14+11+5+69+29</f>
        <v>150</v>
      </c>
      <c r="L58" s="9">
        <f>10+8+7+5+21+43+29+12+43</f>
        <v>178</v>
      </c>
      <c r="M58" s="9">
        <f>11+43+19+1+120+17+17-4</f>
        <v>224</v>
      </c>
      <c r="N58" s="9">
        <f>10+44+19+120+34-4</f>
        <v>223</v>
      </c>
      <c r="O58" s="9">
        <f>15+32+10+12+8+16+16+123</f>
        <v>232</v>
      </c>
      <c r="P58" s="9">
        <f>49+54+32+17</f>
        <v>152</v>
      </c>
      <c r="Q58" s="9">
        <f>49+54+32+17</f>
        <v>152</v>
      </c>
      <c r="R58" s="9">
        <v>4</v>
      </c>
      <c r="S58" s="9">
        <v>0</v>
      </c>
      <c r="T58" s="9">
        <v>0</v>
      </c>
      <c r="U58" s="33">
        <v>54</v>
      </c>
      <c r="V58" s="9">
        <v>42</v>
      </c>
      <c r="W58" s="9">
        <v>42</v>
      </c>
      <c r="X58" s="9">
        <v>84</v>
      </c>
      <c r="Y58" s="9">
        <f>66+8</f>
        <v>74</v>
      </c>
      <c r="Z58" s="9">
        <v>85</v>
      </c>
      <c r="AA58" s="9">
        <v>91</v>
      </c>
      <c r="AB58" s="9">
        <v>0</v>
      </c>
      <c r="AC58" s="9">
        <v>0</v>
      </c>
      <c r="AD58" s="53" t="e">
        <f>#REF!*D58</f>
        <v>#REF!</v>
      </c>
      <c r="AE58" s="53" t="e">
        <f>AD58-#REF!</f>
        <v>#REF!</v>
      </c>
      <c r="AF58" s="9"/>
      <c r="AG58" s="33" t="e">
        <f>#REF!-D58</f>
        <v>#REF!</v>
      </c>
      <c r="AH58" s="9"/>
      <c r="AI58" s="9"/>
      <c r="AJ58" s="9"/>
      <c r="AK58" s="9"/>
    </row>
    <row r="59" spans="1:37" s="12" customFormat="1" ht="20.399999999999999" outlineLevel="1" x14ac:dyDescent="0.2">
      <c r="A59" s="61" t="s">
        <v>684</v>
      </c>
      <c r="B59" s="14" t="s">
        <v>2801</v>
      </c>
      <c r="C59" s="9" t="s">
        <v>47</v>
      </c>
      <c r="D59" s="25">
        <f t="shared" si="26"/>
        <v>20</v>
      </c>
      <c r="E59" s="54"/>
      <c r="F59" s="78"/>
      <c r="G59" s="33">
        <v>0</v>
      </c>
      <c r="H59" s="33">
        <f>1</f>
        <v>1</v>
      </c>
      <c r="I59" s="9">
        <v>2</v>
      </c>
      <c r="J59" s="9">
        <v>1</v>
      </c>
      <c r="K59" s="9">
        <v>1</v>
      </c>
      <c r="L59" s="9">
        <v>2</v>
      </c>
      <c r="M59" s="9">
        <v>1</v>
      </c>
      <c r="N59" s="9">
        <v>1</v>
      </c>
      <c r="O59" s="9">
        <v>1</v>
      </c>
      <c r="P59" s="9">
        <v>4</v>
      </c>
      <c r="Q59" s="9">
        <v>4</v>
      </c>
      <c r="R59" s="9">
        <v>0</v>
      </c>
      <c r="S59" s="9">
        <v>0</v>
      </c>
      <c r="T59" s="9">
        <v>2</v>
      </c>
      <c r="U59" s="33">
        <v>0</v>
      </c>
      <c r="V59" s="9">
        <v>0</v>
      </c>
      <c r="W59" s="9">
        <v>0</v>
      </c>
      <c r="X59" s="9">
        <v>0</v>
      </c>
      <c r="Y59" s="9">
        <v>0</v>
      </c>
      <c r="Z59" s="9">
        <v>0</v>
      </c>
      <c r="AA59" s="9">
        <v>0</v>
      </c>
      <c r="AB59" s="9">
        <v>0</v>
      </c>
      <c r="AC59" s="9">
        <v>0</v>
      </c>
      <c r="AD59" s="53" t="e">
        <f>#REF!*D59</f>
        <v>#REF!</v>
      </c>
      <c r="AE59" s="53" t="e">
        <f>AD59-#REF!</f>
        <v>#REF!</v>
      </c>
      <c r="AF59" s="9"/>
      <c r="AG59" s="33" t="e">
        <f>#REF!-D59</f>
        <v>#REF!</v>
      </c>
      <c r="AH59" s="9"/>
      <c r="AI59" s="9"/>
      <c r="AJ59" s="9"/>
      <c r="AK59" s="9"/>
    </row>
    <row r="60" spans="1:37" s="12" customFormat="1" ht="20.399999999999999" outlineLevel="1" x14ac:dyDescent="0.2">
      <c r="A60" s="61" t="s">
        <v>685</v>
      </c>
      <c r="B60" s="14" t="s">
        <v>467</v>
      </c>
      <c r="C60" s="9" t="s">
        <v>47</v>
      </c>
      <c r="D60" s="25">
        <f t="shared" si="26"/>
        <v>92</v>
      </c>
      <c r="E60" s="54"/>
      <c r="F60" s="78"/>
      <c r="G60" s="33">
        <v>0</v>
      </c>
      <c r="H60" s="33">
        <v>0</v>
      </c>
      <c r="I60" s="9">
        <v>4</v>
      </c>
      <c r="J60" s="9">
        <v>0</v>
      </c>
      <c r="K60" s="9">
        <v>0</v>
      </c>
      <c r="L60" s="49">
        <v>11</v>
      </c>
      <c r="M60" s="49">
        <v>8</v>
      </c>
      <c r="N60" s="49">
        <v>8</v>
      </c>
      <c r="O60" s="49">
        <v>14</v>
      </c>
      <c r="P60" s="49">
        <v>12</v>
      </c>
      <c r="Q60" s="49">
        <v>10</v>
      </c>
      <c r="R60" s="9">
        <v>0</v>
      </c>
      <c r="S60" s="9">
        <v>0</v>
      </c>
      <c r="T60" s="9">
        <v>0</v>
      </c>
      <c r="U60" s="33">
        <v>0</v>
      </c>
      <c r="V60" s="9">
        <v>0</v>
      </c>
      <c r="W60" s="9">
        <v>0</v>
      </c>
      <c r="X60" s="9">
        <v>6</v>
      </c>
      <c r="Y60" s="49">
        <v>7</v>
      </c>
      <c r="Z60" s="49">
        <v>6</v>
      </c>
      <c r="AA60" s="49">
        <v>6</v>
      </c>
      <c r="AB60" s="9">
        <v>0</v>
      </c>
      <c r="AC60" s="9">
        <v>0</v>
      </c>
      <c r="AD60" s="53" t="e">
        <f>#REF!*D60</f>
        <v>#REF!</v>
      </c>
      <c r="AE60" s="53" t="e">
        <f>AD60-#REF!</f>
        <v>#REF!</v>
      </c>
      <c r="AF60" s="9"/>
      <c r="AG60" s="33" t="e">
        <f>#REF!-D60</f>
        <v>#REF!</v>
      </c>
      <c r="AH60" s="9"/>
      <c r="AI60" s="9"/>
      <c r="AJ60" s="9"/>
      <c r="AK60" s="9"/>
    </row>
    <row r="61" spans="1:37" s="12" customFormat="1" ht="20.399999999999999" outlineLevel="1" x14ac:dyDescent="0.2">
      <c r="A61" s="61" t="s">
        <v>686</v>
      </c>
      <c r="B61" s="14" t="s">
        <v>468</v>
      </c>
      <c r="C61" s="9" t="s">
        <v>47</v>
      </c>
      <c r="D61" s="25">
        <f t="shared" si="26"/>
        <v>44</v>
      </c>
      <c r="E61" s="54"/>
      <c r="F61" s="78"/>
      <c r="G61" s="33">
        <v>0</v>
      </c>
      <c r="H61" s="33">
        <v>44</v>
      </c>
      <c r="I61" s="9">
        <v>0</v>
      </c>
      <c r="J61" s="9">
        <v>0</v>
      </c>
      <c r="K61" s="9">
        <v>0</v>
      </c>
      <c r="L61" s="9">
        <v>0</v>
      </c>
      <c r="M61" s="9">
        <v>0</v>
      </c>
      <c r="N61" s="9">
        <v>0</v>
      </c>
      <c r="O61" s="9">
        <v>0</v>
      </c>
      <c r="P61" s="9">
        <v>0</v>
      </c>
      <c r="Q61" s="9">
        <v>0</v>
      </c>
      <c r="R61" s="9">
        <v>0</v>
      </c>
      <c r="S61" s="9">
        <v>0</v>
      </c>
      <c r="T61" s="9">
        <v>0</v>
      </c>
      <c r="U61" s="33">
        <v>0</v>
      </c>
      <c r="V61" s="9">
        <v>0</v>
      </c>
      <c r="W61" s="9">
        <v>0</v>
      </c>
      <c r="X61" s="9">
        <v>0</v>
      </c>
      <c r="Y61" s="9">
        <v>0</v>
      </c>
      <c r="Z61" s="9">
        <v>0</v>
      </c>
      <c r="AA61" s="9">
        <v>0</v>
      </c>
      <c r="AB61" s="9">
        <v>0</v>
      </c>
      <c r="AC61" s="9">
        <v>0</v>
      </c>
      <c r="AD61" s="53" t="e">
        <f>#REF!*D61</f>
        <v>#REF!</v>
      </c>
      <c r="AE61" s="53" t="e">
        <f>AD61-#REF!</f>
        <v>#REF!</v>
      </c>
      <c r="AF61" s="9"/>
      <c r="AG61" s="33" t="e">
        <f>#REF!-D61</f>
        <v>#REF!</v>
      </c>
      <c r="AH61" s="9"/>
      <c r="AI61" s="9"/>
      <c r="AJ61" s="9"/>
      <c r="AK61" s="9"/>
    </row>
    <row r="62" spans="1:37" s="12" customFormat="1" ht="20.399999999999999" outlineLevel="1" collapsed="1" x14ac:dyDescent="0.2">
      <c r="A62" s="61" t="s">
        <v>687</v>
      </c>
      <c r="B62" s="14" t="s">
        <v>426</v>
      </c>
      <c r="C62" s="9" t="s">
        <v>47</v>
      </c>
      <c r="D62" s="25">
        <f t="shared" si="26"/>
        <v>341</v>
      </c>
      <c r="E62" s="54"/>
      <c r="F62" s="78"/>
      <c r="G62" s="33">
        <v>0</v>
      </c>
      <c r="H62" s="33">
        <v>0</v>
      </c>
      <c r="I62" s="9">
        <v>0</v>
      </c>
      <c r="J62" s="9">
        <v>0</v>
      </c>
      <c r="K62" s="9">
        <v>5</v>
      </c>
      <c r="L62" s="9">
        <v>7</v>
      </c>
      <c r="M62" s="9">
        <v>4</v>
      </c>
      <c r="N62" s="9">
        <v>4</v>
      </c>
      <c r="O62" s="9">
        <v>6</v>
      </c>
      <c r="P62" s="9">
        <v>0</v>
      </c>
      <c r="Q62" s="9">
        <v>0</v>
      </c>
      <c r="R62" s="9">
        <v>0</v>
      </c>
      <c r="S62" s="9">
        <v>0</v>
      </c>
      <c r="T62" s="9">
        <v>0</v>
      </c>
      <c r="U62" s="33">
        <v>41</v>
      </c>
      <c r="V62" s="9">
        <v>28</v>
      </c>
      <c r="W62" s="9">
        <v>48</v>
      </c>
      <c r="X62" s="9">
        <v>49</v>
      </c>
      <c r="Y62" s="9">
        <v>49</v>
      </c>
      <c r="Z62" s="9">
        <f>13+38</f>
        <v>51</v>
      </c>
      <c r="AA62" s="9">
        <v>49</v>
      </c>
      <c r="AB62" s="9">
        <v>0</v>
      </c>
      <c r="AC62" s="9">
        <v>0</v>
      </c>
      <c r="AD62" s="53" t="e">
        <f>#REF!*D62</f>
        <v>#REF!</v>
      </c>
      <c r="AE62" s="53" t="e">
        <f>AD62-#REF!</f>
        <v>#REF!</v>
      </c>
      <c r="AF62" s="9"/>
      <c r="AG62" s="33" t="e">
        <f>#REF!-D62</f>
        <v>#REF!</v>
      </c>
      <c r="AH62" s="9"/>
      <c r="AI62" s="9"/>
      <c r="AJ62" s="9"/>
      <c r="AK62" s="9"/>
    </row>
    <row r="63" spans="1:37" s="12" customFormat="1" ht="20.399999999999999" outlineLevel="1" x14ac:dyDescent="0.2">
      <c r="A63" s="61" t="s">
        <v>688</v>
      </c>
      <c r="B63" s="14" t="s">
        <v>2802</v>
      </c>
      <c r="C63" s="9" t="s">
        <v>47</v>
      </c>
      <c r="D63" s="25">
        <f t="shared" si="26"/>
        <v>61</v>
      </c>
      <c r="E63" s="54"/>
      <c r="F63" s="78"/>
      <c r="G63" s="33">
        <v>0</v>
      </c>
      <c r="H63" s="33">
        <f>8</f>
        <v>8</v>
      </c>
      <c r="I63" s="9">
        <f>15+1+4+3-4</f>
        <v>19</v>
      </c>
      <c r="J63" s="9">
        <f>25-6</f>
        <v>19</v>
      </c>
      <c r="K63" s="9">
        <v>13</v>
      </c>
      <c r="L63" s="9">
        <v>2</v>
      </c>
      <c r="M63" s="9">
        <v>0</v>
      </c>
      <c r="N63" s="9">
        <v>0</v>
      </c>
      <c r="O63" s="9">
        <v>0</v>
      </c>
      <c r="P63" s="9">
        <v>0</v>
      </c>
      <c r="Q63" s="9">
        <v>0</v>
      </c>
      <c r="R63" s="9">
        <v>0</v>
      </c>
      <c r="S63" s="9">
        <v>0</v>
      </c>
      <c r="T63" s="9">
        <v>0</v>
      </c>
      <c r="U63" s="33">
        <v>0</v>
      </c>
      <c r="V63" s="9">
        <v>0</v>
      </c>
      <c r="W63" s="9">
        <v>0</v>
      </c>
      <c r="X63" s="9">
        <v>0</v>
      </c>
      <c r="Y63" s="9">
        <v>0</v>
      </c>
      <c r="Z63" s="9">
        <v>0</v>
      </c>
      <c r="AA63" s="9">
        <v>0</v>
      </c>
      <c r="AB63" s="9">
        <v>0</v>
      </c>
      <c r="AC63" s="9">
        <v>0</v>
      </c>
      <c r="AD63" s="53" t="e">
        <f>#REF!*D63</f>
        <v>#REF!</v>
      </c>
      <c r="AE63" s="53" t="e">
        <f>AD63-#REF!</f>
        <v>#REF!</v>
      </c>
      <c r="AF63" s="9"/>
      <c r="AG63" s="33" t="e">
        <f>#REF!-D63</f>
        <v>#REF!</v>
      </c>
      <c r="AH63" s="9"/>
      <c r="AI63" s="9"/>
      <c r="AJ63" s="9"/>
      <c r="AK63" s="9"/>
    </row>
    <row r="64" spans="1:37" s="12" customFormat="1" ht="20.399999999999999" outlineLevel="1" x14ac:dyDescent="0.2">
      <c r="A64" s="61" t="s">
        <v>689</v>
      </c>
      <c r="B64" s="14" t="s">
        <v>435</v>
      </c>
      <c r="C64" s="9" t="s">
        <v>47</v>
      </c>
      <c r="D64" s="25">
        <f t="shared" si="26"/>
        <v>101</v>
      </c>
      <c r="E64" s="54"/>
      <c r="F64" s="78"/>
      <c r="G64" s="33">
        <v>0</v>
      </c>
      <c r="H64" s="33">
        <v>0</v>
      </c>
      <c r="I64" s="9">
        <v>37</v>
      </c>
      <c r="J64" s="9">
        <v>18</v>
      </c>
      <c r="K64" s="9">
        <v>0</v>
      </c>
      <c r="L64" s="9">
        <v>0</v>
      </c>
      <c r="M64" s="9">
        <v>0</v>
      </c>
      <c r="N64" s="9">
        <v>0</v>
      </c>
      <c r="O64" s="9">
        <v>20</v>
      </c>
      <c r="P64" s="9">
        <v>20</v>
      </c>
      <c r="Q64" s="9">
        <v>6</v>
      </c>
      <c r="R64" s="9">
        <v>0</v>
      </c>
      <c r="S64" s="9">
        <v>0</v>
      </c>
      <c r="T64" s="9">
        <v>0</v>
      </c>
      <c r="U64" s="33">
        <v>0</v>
      </c>
      <c r="V64" s="9">
        <v>0</v>
      </c>
      <c r="W64" s="9">
        <v>0</v>
      </c>
      <c r="X64" s="9">
        <v>0</v>
      </c>
      <c r="Y64" s="9">
        <v>0</v>
      </c>
      <c r="Z64" s="9">
        <v>0</v>
      </c>
      <c r="AA64" s="9">
        <v>0</v>
      </c>
      <c r="AB64" s="9">
        <v>0</v>
      </c>
      <c r="AC64" s="9">
        <v>0</v>
      </c>
      <c r="AD64" s="53" t="e">
        <f>#REF!*D64</f>
        <v>#REF!</v>
      </c>
      <c r="AE64" s="53" t="e">
        <f>AD64-#REF!</f>
        <v>#REF!</v>
      </c>
      <c r="AF64" s="9"/>
      <c r="AG64" s="33" t="e">
        <f>#REF!-D64</f>
        <v>#REF!</v>
      </c>
      <c r="AH64" s="9"/>
      <c r="AI64" s="9"/>
      <c r="AJ64" s="9"/>
      <c r="AK64" s="9"/>
    </row>
    <row r="65" spans="1:37" s="12" customFormat="1" ht="21.75" customHeight="1" outlineLevel="1" x14ac:dyDescent="0.2">
      <c r="A65" s="61" t="s">
        <v>690</v>
      </c>
      <c r="B65" s="14" t="s">
        <v>436</v>
      </c>
      <c r="C65" s="9" t="s">
        <v>47</v>
      </c>
      <c r="D65" s="25">
        <f t="shared" si="26"/>
        <v>1</v>
      </c>
      <c r="E65" s="54"/>
      <c r="F65" s="78"/>
      <c r="G65" s="33">
        <v>0</v>
      </c>
      <c r="H65" s="33">
        <v>0</v>
      </c>
      <c r="I65" s="9">
        <v>1</v>
      </c>
      <c r="J65" s="9">
        <v>0</v>
      </c>
      <c r="K65" s="9">
        <v>0</v>
      </c>
      <c r="L65" s="9">
        <v>0</v>
      </c>
      <c r="M65" s="9">
        <v>0</v>
      </c>
      <c r="N65" s="9">
        <v>0</v>
      </c>
      <c r="O65" s="9">
        <v>0</v>
      </c>
      <c r="P65" s="9">
        <v>0</v>
      </c>
      <c r="Q65" s="9">
        <v>0</v>
      </c>
      <c r="R65" s="9">
        <v>0</v>
      </c>
      <c r="S65" s="9">
        <v>0</v>
      </c>
      <c r="T65" s="9">
        <v>0</v>
      </c>
      <c r="U65" s="33">
        <v>0</v>
      </c>
      <c r="V65" s="9">
        <v>0</v>
      </c>
      <c r="W65" s="9">
        <v>0</v>
      </c>
      <c r="X65" s="9">
        <v>0</v>
      </c>
      <c r="Y65" s="9">
        <v>0</v>
      </c>
      <c r="Z65" s="9">
        <v>0</v>
      </c>
      <c r="AA65" s="9">
        <v>0</v>
      </c>
      <c r="AB65" s="9">
        <v>0</v>
      </c>
      <c r="AC65" s="9">
        <v>0</v>
      </c>
      <c r="AD65" s="53" t="e">
        <f>#REF!*D65</f>
        <v>#REF!</v>
      </c>
      <c r="AE65" s="53" t="e">
        <f>AD65-#REF!</f>
        <v>#REF!</v>
      </c>
      <c r="AF65" s="9"/>
      <c r="AG65" s="33" t="e">
        <f>#REF!-D65</f>
        <v>#REF!</v>
      </c>
      <c r="AH65" s="9"/>
      <c r="AI65" s="9"/>
      <c r="AJ65" s="9"/>
      <c r="AK65" s="9"/>
    </row>
    <row r="66" spans="1:37" s="12" customFormat="1" ht="24.75" customHeight="1" outlineLevel="1" x14ac:dyDescent="0.2">
      <c r="A66" s="61" t="s">
        <v>691</v>
      </c>
      <c r="B66" s="100" t="s">
        <v>427</v>
      </c>
      <c r="C66" s="9" t="s">
        <v>47</v>
      </c>
      <c r="D66" s="25">
        <f t="shared" si="26"/>
        <v>88</v>
      </c>
      <c r="E66" s="54"/>
      <c r="F66" s="78"/>
      <c r="G66" s="33">
        <v>0</v>
      </c>
      <c r="H66" s="33">
        <f>4+1</f>
        <v>5</v>
      </c>
      <c r="I66" s="9">
        <f>3+1+3</f>
        <v>7</v>
      </c>
      <c r="J66" s="9">
        <v>4</v>
      </c>
      <c r="K66" s="9">
        <v>4</v>
      </c>
      <c r="L66" s="9">
        <v>5</v>
      </c>
      <c r="M66" s="9">
        <v>6</v>
      </c>
      <c r="N66" s="9">
        <v>6</v>
      </c>
      <c r="O66" s="9">
        <v>8</v>
      </c>
      <c r="P66" s="9">
        <v>8</v>
      </c>
      <c r="Q66" s="9">
        <v>8</v>
      </c>
      <c r="R66" s="9">
        <v>8</v>
      </c>
      <c r="S66" s="9">
        <v>0</v>
      </c>
      <c r="T66" s="9">
        <v>0</v>
      </c>
      <c r="U66" s="33">
        <v>3</v>
      </c>
      <c r="V66" s="9">
        <v>4</v>
      </c>
      <c r="W66" s="9">
        <v>3</v>
      </c>
      <c r="X66" s="9">
        <v>3</v>
      </c>
      <c r="Y66" s="9">
        <v>2</v>
      </c>
      <c r="Z66" s="9">
        <v>2</v>
      </c>
      <c r="AA66" s="9">
        <v>2</v>
      </c>
      <c r="AB66" s="9">
        <v>0</v>
      </c>
      <c r="AC66" s="9">
        <v>0</v>
      </c>
      <c r="AD66" s="53" t="e">
        <f>#REF!*D66</f>
        <v>#REF!</v>
      </c>
      <c r="AE66" s="53" t="e">
        <f>AD66-#REF!</f>
        <v>#REF!</v>
      </c>
      <c r="AF66" s="9"/>
      <c r="AG66" s="33" t="e">
        <f>#REF!-D66</f>
        <v>#REF!</v>
      </c>
      <c r="AH66" s="9"/>
      <c r="AI66" s="9"/>
      <c r="AJ66" s="9"/>
      <c r="AK66" s="9"/>
    </row>
    <row r="67" spans="1:37" s="17" customFormat="1" ht="20.399999999999999" outlineLevel="1" x14ac:dyDescent="0.2">
      <c r="A67" s="61" t="s">
        <v>692</v>
      </c>
      <c r="B67" s="14" t="s">
        <v>450</v>
      </c>
      <c r="C67" s="8" t="s">
        <v>47</v>
      </c>
      <c r="D67" s="25">
        <f t="shared" si="26"/>
        <v>441</v>
      </c>
      <c r="E67" s="54"/>
      <c r="F67" s="9"/>
      <c r="G67" s="33">
        <v>0</v>
      </c>
      <c r="H67" s="33">
        <f>6</f>
        <v>6</v>
      </c>
      <c r="I67" s="9">
        <f>11+5</f>
        <v>16</v>
      </c>
      <c r="J67" s="9">
        <v>24</v>
      </c>
      <c r="K67" s="9">
        <f>19-7</f>
        <v>12</v>
      </c>
      <c r="L67" s="9">
        <f>107</f>
        <v>107</v>
      </c>
      <c r="M67" s="9">
        <v>95</v>
      </c>
      <c r="N67" s="9">
        <v>93</v>
      </c>
      <c r="O67" s="9">
        <v>62</v>
      </c>
      <c r="P67" s="9">
        <v>0</v>
      </c>
      <c r="Q67" s="9">
        <v>0</v>
      </c>
      <c r="R67" s="9">
        <v>0</v>
      </c>
      <c r="S67" s="9">
        <v>0</v>
      </c>
      <c r="T67" s="9">
        <v>0</v>
      </c>
      <c r="U67" s="33">
        <f>3</f>
        <v>3</v>
      </c>
      <c r="V67" s="9">
        <v>2</v>
      </c>
      <c r="W67" s="9">
        <v>2</v>
      </c>
      <c r="X67" s="9">
        <v>7</v>
      </c>
      <c r="Y67" s="9">
        <v>8</v>
      </c>
      <c r="Z67" s="9">
        <v>2</v>
      </c>
      <c r="AA67" s="9">
        <v>2</v>
      </c>
      <c r="AB67" s="9">
        <v>0</v>
      </c>
      <c r="AC67" s="9">
        <v>0</v>
      </c>
      <c r="AD67" s="53" t="e">
        <f>#REF!*D67</f>
        <v>#REF!</v>
      </c>
      <c r="AE67" s="53" t="e">
        <f>AD67-#REF!</f>
        <v>#REF!</v>
      </c>
      <c r="AF67" s="8"/>
      <c r="AG67" s="33" t="e">
        <f>#REF!-D67</f>
        <v>#REF!</v>
      </c>
      <c r="AH67" s="8"/>
      <c r="AI67" s="8"/>
      <c r="AJ67" s="8"/>
      <c r="AK67" s="8"/>
    </row>
    <row r="68" spans="1:37" s="17" customFormat="1" ht="20.399999999999999" outlineLevel="1" x14ac:dyDescent="0.2">
      <c r="A68" s="61" t="s">
        <v>693</v>
      </c>
      <c r="B68" s="14" t="s">
        <v>317</v>
      </c>
      <c r="C68" s="8" t="s">
        <v>47</v>
      </c>
      <c r="D68" s="25">
        <f t="shared" si="26"/>
        <v>42</v>
      </c>
      <c r="E68" s="54"/>
      <c r="F68" s="9"/>
      <c r="G68" s="33">
        <v>0</v>
      </c>
      <c r="H68" s="33">
        <f>3+1</f>
        <v>4</v>
      </c>
      <c r="I68" s="9">
        <f>4+7</f>
        <v>11</v>
      </c>
      <c r="J68" s="9">
        <v>0</v>
      </c>
      <c r="K68" s="9">
        <v>0</v>
      </c>
      <c r="L68" s="9">
        <v>0</v>
      </c>
      <c r="M68" s="9">
        <v>1</v>
      </c>
      <c r="N68" s="9">
        <v>1</v>
      </c>
      <c r="O68" s="9">
        <f>2+1</f>
        <v>3</v>
      </c>
      <c r="P68" s="9">
        <v>2</v>
      </c>
      <c r="Q68" s="9">
        <v>2</v>
      </c>
      <c r="R68" s="9">
        <v>4</v>
      </c>
      <c r="S68" s="9">
        <v>0</v>
      </c>
      <c r="T68" s="9">
        <v>0</v>
      </c>
      <c r="U68" s="33">
        <v>2</v>
      </c>
      <c r="V68" s="9">
        <v>2</v>
      </c>
      <c r="W68" s="9">
        <v>2</v>
      </c>
      <c r="X68" s="9">
        <v>2</v>
      </c>
      <c r="Y68" s="9">
        <v>2</v>
      </c>
      <c r="Z68" s="9">
        <v>2</v>
      </c>
      <c r="AA68" s="9">
        <v>2</v>
      </c>
      <c r="AB68" s="9">
        <v>0</v>
      </c>
      <c r="AC68" s="9">
        <v>0</v>
      </c>
      <c r="AD68" s="53" t="e">
        <f>#REF!*D68</f>
        <v>#REF!</v>
      </c>
      <c r="AE68" s="53" t="e">
        <f>AD68-#REF!</f>
        <v>#REF!</v>
      </c>
      <c r="AF68" s="8"/>
      <c r="AG68" s="33" t="e">
        <f>#REF!-D68</f>
        <v>#REF!</v>
      </c>
      <c r="AH68" s="8"/>
      <c r="AI68" s="8"/>
      <c r="AJ68" s="8"/>
      <c r="AK68" s="8"/>
    </row>
    <row r="69" spans="1:37" s="12" customFormat="1" ht="20.399999999999999" outlineLevel="1" x14ac:dyDescent="0.2">
      <c r="A69" s="61" t="s">
        <v>694</v>
      </c>
      <c r="B69" s="14" t="s">
        <v>439</v>
      </c>
      <c r="C69" s="9" t="s">
        <v>47</v>
      </c>
      <c r="D69" s="25">
        <f t="shared" si="26"/>
        <v>3</v>
      </c>
      <c r="E69" s="54"/>
      <c r="F69" s="78"/>
      <c r="G69" s="33">
        <v>0</v>
      </c>
      <c r="H69" s="33">
        <v>0</v>
      </c>
      <c r="I69" s="9">
        <f>2+1</f>
        <v>3</v>
      </c>
      <c r="J69" s="9">
        <v>0</v>
      </c>
      <c r="K69" s="9">
        <v>0</v>
      </c>
      <c r="L69" s="9">
        <v>0</v>
      </c>
      <c r="M69" s="9">
        <v>0</v>
      </c>
      <c r="N69" s="9">
        <v>0</v>
      </c>
      <c r="O69" s="9">
        <v>0</v>
      </c>
      <c r="P69" s="9">
        <v>0</v>
      </c>
      <c r="Q69" s="9">
        <v>0</v>
      </c>
      <c r="R69" s="9">
        <v>0</v>
      </c>
      <c r="S69" s="9">
        <v>0</v>
      </c>
      <c r="T69" s="9">
        <v>0</v>
      </c>
      <c r="U69" s="33">
        <v>0</v>
      </c>
      <c r="V69" s="9">
        <v>0</v>
      </c>
      <c r="W69" s="9">
        <v>0</v>
      </c>
      <c r="X69" s="9">
        <v>0</v>
      </c>
      <c r="Y69" s="9">
        <v>0</v>
      </c>
      <c r="Z69" s="9">
        <v>0</v>
      </c>
      <c r="AA69" s="9">
        <v>0</v>
      </c>
      <c r="AB69" s="9">
        <v>0</v>
      </c>
      <c r="AC69" s="9">
        <v>0</v>
      </c>
      <c r="AD69" s="53" t="e">
        <f>#REF!*D69</f>
        <v>#REF!</v>
      </c>
      <c r="AE69" s="53" t="e">
        <f>AD69-#REF!</f>
        <v>#REF!</v>
      </c>
      <c r="AF69" s="9"/>
      <c r="AG69" s="33" t="e">
        <f>#REF!-D69</f>
        <v>#REF!</v>
      </c>
      <c r="AH69" s="9"/>
      <c r="AI69" s="9"/>
      <c r="AJ69" s="9"/>
      <c r="AK69" s="9"/>
    </row>
    <row r="70" spans="1:37" s="12" customFormat="1" ht="20.399999999999999" outlineLevel="1" x14ac:dyDescent="0.2">
      <c r="A70" s="61" t="s">
        <v>695</v>
      </c>
      <c r="B70" s="14" t="s">
        <v>437</v>
      </c>
      <c r="C70" s="9" t="s">
        <v>47</v>
      </c>
      <c r="D70" s="25">
        <f t="shared" si="26"/>
        <v>4</v>
      </c>
      <c r="E70" s="54"/>
      <c r="F70" s="78"/>
      <c r="G70" s="33">
        <v>0</v>
      </c>
      <c r="H70" s="33">
        <v>0</v>
      </c>
      <c r="I70" s="9">
        <f>3+1</f>
        <v>4</v>
      </c>
      <c r="J70" s="9">
        <v>0</v>
      </c>
      <c r="K70" s="9">
        <v>0</v>
      </c>
      <c r="L70" s="9">
        <v>0</v>
      </c>
      <c r="M70" s="9">
        <v>0</v>
      </c>
      <c r="N70" s="9">
        <v>0</v>
      </c>
      <c r="O70" s="9">
        <v>0</v>
      </c>
      <c r="P70" s="9">
        <v>0</v>
      </c>
      <c r="Q70" s="9">
        <v>0</v>
      </c>
      <c r="R70" s="9">
        <v>0</v>
      </c>
      <c r="S70" s="9">
        <v>0</v>
      </c>
      <c r="T70" s="9">
        <v>0</v>
      </c>
      <c r="U70" s="33">
        <v>0</v>
      </c>
      <c r="V70" s="9">
        <v>0</v>
      </c>
      <c r="W70" s="9">
        <v>0</v>
      </c>
      <c r="X70" s="9">
        <v>0</v>
      </c>
      <c r="Y70" s="9">
        <v>0</v>
      </c>
      <c r="Z70" s="9">
        <v>0</v>
      </c>
      <c r="AA70" s="9">
        <v>0</v>
      </c>
      <c r="AB70" s="9">
        <v>0</v>
      </c>
      <c r="AC70" s="9">
        <v>0</v>
      </c>
      <c r="AD70" s="53" t="e">
        <f>#REF!*D70</f>
        <v>#REF!</v>
      </c>
      <c r="AE70" s="53" t="e">
        <f>AD70-#REF!</f>
        <v>#REF!</v>
      </c>
      <c r="AF70" s="9"/>
      <c r="AG70" s="33" t="e">
        <f>#REF!-D70</f>
        <v>#REF!</v>
      </c>
      <c r="AH70" s="9"/>
      <c r="AI70" s="9"/>
      <c r="AJ70" s="9"/>
      <c r="AK70" s="9"/>
    </row>
    <row r="71" spans="1:37" s="12" customFormat="1" ht="20.399999999999999" outlineLevel="1" x14ac:dyDescent="0.2">
      <c r="A71" s="61" t="s">
        <v>696</v>
      </c>
      <c r="B71" s="14" t="s">
        <v>438</v>
      </c>
      <c r="C71" s="9" t="s">
        <v>47</v>
      </c>
      <c r="D71" s="25">
        <f t="shared" si="26"/>
        <v>7</v>
      </c>
      <c r="E71" s="54"/>
      <c r="F71" s="78"/>
      <c r="G71" s="33">
        <v>0</v>
      </c>
      <c r="H71" s="33">
        <v>0</v>
      </c>
      <c r="I71" s="9">
        <f>5+2</f>
        <v>7</v>
      </c>
      <c r="J71" s="9">
        <v>0</v>
      </c>
      <c r="K71" s="9">
        <v>0</v>
      </c>
      <c r="L71" s="9">
        <v>0</v>
      </c>
      <c r="M71" s="9">
        <v>0</v>
      </c>
      <c r="N71" s="9">
        <v>0</v>
      </c>
      <c r="O71" s="9">
        <v>0</v>
      </c>
      <c r="P71" s="9">
        <v>0</v>
      </c>
      <c r="Q71" s="9">
        <v>0</v>
      </c>
      <c r="R71" s="9">
        <v>0</v>
      </c>
      <c r="S71" s="9">
        <v>0</v>
      </c>
      <c r="T71" s="9">
        <v>0</v>
      </c>
      <c r="U71" s="33">
        <v>0</v>
      </c>
      <c r="V71" s="9">
        <v>0</v>
      </c>
      <c r="W71" s="9">
        <v>0</v>
      </c>
      <c r="X71" s="9">
        <v>0</v>
      </c>
      <c r="Y71" s="9">
        <v>0</v>
      </c>
      <c r="Z71" s="9">
        <v>0</v>
      </c>
      <c r="AA71" s="9">
        <v>0</v>
      </c>
      <c r="AB71" s="9">
        <v>0</v>
      </c>
      <c r="AC71" s="9">
        <v>0</v>
      </c>
      <c r="AD71" s="53" t="e">
        <f>#REF!*D71</f>
        <v>#REF!</v>
      </c>
      <c r="AE71" s="53" t="e">
        <f>AD71-#REF!</f>
        <v>#REF!</v>
      </c>
      <c r="AF71" s="9"/>
      <c r="AG71" s="33" t="e">
        <f>#REF!-D71</f>
        <v>#REF!</v>
      </c>
      <c r="AH71" s="9"/>
      <c r="AI71" s="9"/>
      <c r="AJ71" s="9"/>
      <c r="AK71" s="9"/>
    </row>
    <row r="72" spans="1:37" s="12" customFormat="1" ht="21.75" customHeight="1" outlineLevel="1" x14ac:dyDescent="0.2">
      <c r="A72" s="61" t="s">
        <v>697</v>
      </c>
      <c r="B72" s="14" t="s">
        <v>2654</v>
      </c>
      <c r="C72" s="9" t="s">
        <v>47</v>
      </c>
      <c r="D72" s="25">
        <f t="shared" si="26"/>
        <v>6</v>
      </c>
      <c r="E72" s="54"/>
      <c r="F72" s="78"/>
      <c r="G72" s="33">
        <v>0</v>
      </c>
      <c r="H72" s="33">
        <v>0</v>
      </c>
      <c r="I72" s="9">
        <v>0</v>
      </c>
      <c r="J72" s="9">
        <v>0</v>
      </c>
      <c r="K72" s="9">
        <v>0</v>
      </c>
      <c r="L72" s="9">
        <v>0</v>
      </c>
      <c r="M72" s="9">
        <v>0</v>
      </c>
      <c r="N72" s="9">
        <v>0</v>
      </c>
      <c r="O72" s="9">
        <v>0</v>
      </c>
      <c r="P72" s="9">
        <v>0</v>
      </c>
      <c r="Q72" s="9">
        <v>6</v>
      </c>
      <c r="R72" s="9">
        <v>0</v>
      </c>
      <c r="S72" s="9">
        <v>0</v>
      </c>
      <c r="T72" s="9">
        <v>0</v>
      </c>
      <c r="U72" s="33">
        <v>0</v>
      </c>
      <c r="V72" s="9">
        <v>0</v>
      </c>
      <c r="W72" s="9">
        <v>0</v>
      </c>
      <c r="X72" s="9">
        <v>0</v>
      </c>
      <c r="Y72" s="9">
        <v>0</v>
      </c>
      <c r="Z72" s="9">
        <v>0</v>
      </c>
      <c r="AA72" s="9">
        <v>0</v>
      </c>
      <c r="AB72" s="9">
        <v>0</v>
      </c>
      <c r="AC72" s="9">
        <v>0</v>
      </c>
      <c r="AD72" s="53" t="e">
        <f>#REF!*D72</f>
        <v>#REF!</v>
      </c>
      <c r="AE72" s="53" t="e">
        <f>AD72-#REF!</f>
        <v>#REF!</v>
      </c>
      <c r="AF72" s="9"/>
      <c r="AG72" s="33" t="e">
        <f>#REF!-D72</f>
        <v>#REF!</v>
      </c>
      <c r="AH72" s="9"/>
      <c r="AI72" s="9"/>
      <c r="AJ72" s="9"/>
      <c r="AK72" s="9"/>
    </row>
    <row r="73" spans="1:37" s="12" customFormat="1" ht="20.399999999999999" outlineLevel="1" x14ac:dyDescent="0.2">
      <c r="A73" s="61" t="s">
        <v>698</v>
      </c>
      <c r="B73" s="14" t="s">
        <v>316</v>
      </c>
      <c r="C73" s="9" t="s">
        <v>47</v>
      </c>
      <c r="D73" s="25">
        <f t="shared" si="26"/>
        <v>161</v>
      </c>
      <c r="E73" s="54"/>
      <c r="F73" s="78"/>
      <c r="G73" s="33">
        <v>0</v>
      </c>
      <c r="H73" s="33">
        <f>24</f>
        <v>24</v>
      </c>
      <c r="I73" s="9">
        <f>7+1+13+3</f>
        <v>24</v>
      </c>
      <c r="J73" s="9">
        <v>6</v>
      </c>
      <c r="K73" s="9">
        <v>6</v>
      </c>
      <c r="L73" s="9">
        <v>6</v>
      </c>
      <c r="M73" s="9">
        <v>6</v>
      </c>
      <c r="N73" s="9">
        <v>6</v>
      </c>
      <c r="O73" s="9">
        <v>6</v>
      </c>
      <c r="P73" s="9">
        <v>8</v>
      </c>
      <c r="Q73" s="9">
        <v>8</v>
      </c>
      <c r="R73" s="9">
        <v>36</v>
      </c>
      <c r="S73" s="9">
        <v>0</v>
      </c>
      <c r="T73" s="9">
        <v>0</v>
      </c>
      <c r="U73" s="33">
        <v>4</v>
      </c>
      <c r="V73" s="9">
        <v>4</v>
      </c>
      <c r="W73" s="9">
        <v>4</v>
      </c>
      <c r="X73" s="9">
        <v>7</v>
      </c>
      <c r="Y73" s="9">
        <v>2</v>
      </c>
      <c r="Z73" s="9">
        <v>2</v>
      </c>
      <c r="AA73" s="9">
        <v>2</v>
      </c>
      <c r="AB73" s="9">
        <v>0</v>
      </c>
      <c r="AC73" s="9">
        <v>0</v>
      </c>
      <c r="AD73" s="53" t="e">
        <f>#REF!*D73</f>
        <v>#REF!</v>
      </c>
      <c r="AE73" s="53" t="e">
        <f>AD73-#REF!</f>
        <v>#REF!</v>
      </c>
      <c r="AF73" s="9"/>
      <c r="AG73" s="33" t="e">
        <f>#REF!-D73</f>
        <v>#REF!</v>
      </c>
      <c r="AH73" s="9"/>
      <c r="AI73" s="9"/>
      <c r="AJ73" s="9"/>
      <c r="AK73" s="9"/>
    </row>
    <row r="74" spans="1:37" s="12" customFormat="1" ht="25.5" customHeight="1" outlineLevel="1" x14ac:dyDescent="0.2">
      <c r="A74" s="61" t="s">
        <v>699</v>
      </c>
      <c r="B74" s="47" t="s">
        <v>448</v>
      </c>
      <c r="C74" s="9" t="s">
        <v>47</v>
      </c>
      <c r="D74" s="25">
        <f t="shared" si="26"/>
        <v>283</v>
      </c>
      <c r="E74" s="54"/>
      <c r="F74" s="78"/>
      <c r="G74" s="33">
        <v>0</v>
      </c>
      <c r="H74" s="33">
        <f>15</f>
        <v>15</v>
      </c>
      <c r="I74" s="9">
        <f>15+3+3</f>
        <v>21</v>
      </c>
      <c r="J74" s="9">
        <v>31</v>
      </c>
      <c r="K74" s="9">
        <v>16</v>
      </c>
      <c r="L74" s="9">
        <f>20</f>
        <v>20</v>
      </c>
      <c r="M74" s="9">
        <f>12+17</f>
        <v>29</v>
      </c>
      <c r="N74" s="9">
        <f>11+17</f>
        <v>28</v>
      </c>
      <c r="O74" s="9">
        <v>25</v>
      </c>
      <c r="P74" s="9">
        <v>25</v>
      </c>
      <c r="Q74" s="9">
        <v>25</v>
      </c>
      <c r="R74" s="9">
        <v>0</v>
      </c>
      <c r="S74" s="9">
        <v>0</v>
      </c>
      <c r="T74" s="9">
        <v>0</v>
      </c>
      <c r="U74" s="33">
        <f>11</f>
        <v>11</v>
      </c>
      <c r="V74" s="9">
        <v>4</v>
      </c>
      <c r="W74" s="9">
        <v>4</v>
      </c>
      <c r="X74" s="9">
        <v>4</v>
      </c>
      <c r="Y74" s="9">
        <f>17</f>
        <v>17</v>
      </c>
      <c r="Z74" s="9">
        <v>4</v>
      </c>
      <c r="AA74" s="9">
        <v>4</v>
      </c>
      <c r="AB74" s="9">
        <v>0</v>
      </c>
      <c r="AC74" s="9">
        <v>0</v>
      </c>
      <c r="AD74" s="53" t="e">
        <f>#REF!*D74</f>
        <v>#REF!</v>
      </c>
      <c r="AE74" s="53" t="e">
        <f>AD74-#REF!</f>
        <v>#REF!</v>
      </c>
      <c r="AF74" s="9"/>
      <c r="AG74" s="33" t="e">
        <f>#REF!-D74</f>
        <v>#REF!</v>
      </c>
      <c r="AH74" s="9"/>
      <c r="AI74" s="9"/>
      <c r="AJ74" s="9"/>
      <c r="AK74" s="9"/>
    </row>
    <row r="75" spans="1:37" s="12" customFormat="1" ht="20.399999999999999" outlineLevel="1" x14ac:dyDescent="0.2">
      <c r="A75" s="61" t="s">
        <v>700</v>
      </c>
      <c r="B75" s="14" t="s">
        <v>449</v>
      </c>
      <c r="C75" s="9" t="s">
        <v>47</v>
      </c>
      <c r="D75" s="25">
        <f t="shared" si="26"/>
        <v>7</v>
      </c>
      <c r="E75" s="54"/>
      <c r="F75" s="78"/>
      <c r="G75" s="33">
        <v>0</v>
      </c>
      <c r="H75" s="33">
        <v>1</v>
      </c>
      <c r="I75" s="9">
        <v>0</v>
      </c>
      <c r="J75" s="9">
        <v>1</v>
      </c>
      <c r="K75" s="9">
        <v>1</v>
      </c>
      <c r="L75" s="9">
        <v>3</v>
      </c>
      <c r="M75" s="9">
        <v>0</v>
      </c>
      <c r="N75" s="9">
        <v>0</v>
      </c>
      <c r="O75" s="9">
        <v>1</v>
      </c>
      <c r="P75" s="9">
        <v>0</v>
      </c>
      <c r="Q75" s="9">
        <v>0</v>
      </c>
      <c r="R75" s="9">
        <v>0</v>
      </c>
      <c r="S75" s="9">
        <v>0</v>
      </c>
      <c r="T75" s="9">
        <v>0</v>
      </c>
      <c r="U75" s="33">
        <v>0</v>
      </c>
      <c r="V75" s="9">
        <v>0</v>
      </c>
      <c r="W75" s="9">
        <v>0</v>
      </c>
      <c r="X75" s="9">
        <v>0</v>
      </c>
      <c r="Y75" s="9">
        <v>0</v>
      </c>
      <c r="Z75" s="9">
        <v>0</v>
      </c>
      <c r="AA75" s="9">
        <v>0</v>
      </c>
      <c r="AB75" s="9">
        <v>0</v>
      </c>
      <c r="AC75" s="9">
        <v>0</v>
      </c>
      <c r="AD75" s="53" t="e">
        <f>#REF!*D75</f>
        <v>#REF!</v>
      </c>
      <c r="AE75" s="53" t="e">
        <f>AD75-#REF!</f>
        <v>#REF!</v>
      </c>
      <c r="AF75" s="9"/>
      <c r="AG75" s="33" t="e">
        <f>#REF!-D75</f>
        <v>#REF!</v>
      </c>
      <c r="AH75" s="9"/>
      <c r="AI75" s="9"/>
      <c r="AJ75" s="9"/>
      <c r="AK75" s="9"/>
    </row>
    <row r="76" spans="1:37" s="12" customFormat="1" ht="24" customHeight="1" outlineLevel="1" x14ac:dyDescent="0.2">
      <c r="A76" s="61" t="s">
        <v>701</v>
      </c>
      <c r="B76" s="47" t="s">
        <v>463</v>
      </c>
      <c r="C76" s="9" t="s">
        <v>47</v>
      </c>
      <c r="D76" s="25">
        <f t="shared" si="26"/>
        <v>130</v>
      </c>
      <c r="E76" s="54"/>
      <c r="F76" s="78"/>
      <c r="G76" s="33">
        <v>0</v>
      </c>
      <c r="H76" s="33">
        <f>18</f>
        <v>18</v>
      </c>
      <c r="I76" s="9">
        <f>26+27-16</f>
        <v>37</v>
      </c>
      <c r="J76" s="9">
        <f>18-13</f>
        <v>5</v>
      </c>
      <c r="K76" s="9">
        <v>4</v>
      </c>
      <c r="L76" s="9">
        <v>4</v>
      </c>
      <c r="M76" s="9">
        <v>3</v>
      </c>
      <c r="N76" s="9">
        <v>3</v>
      </c>
      <c r="O76" s="9">
        <v>5</v>
      </c>
      <c r="P76" s="9">
        <v>4</v>
      </c>
      <c r="Q76" s="9">
        <v>4</v>
      </c>
      <c r="R76" s="9">
        <v>0</v>
      </c>
      <c r="S76" s="9">
        <v>0</v>
      </c>
      <c r="T76" s="9">
        <v>0</v>
      </c>
      <c r="U76" s="33">
        <v>0</v>
      </c>
      <c r="V76" s="33">
        <v>0</v>
      </c>
      <c r="W76" s="33">
        <v>0</v>
      </c>
      <c r="X76" s="33">
        <v>11</v>
      </c>
      <c r="Y76" s="33">
        <v>11</v>
      </c>
      <c r="Z76" s="9">
        <v>10</v>
      </c>
      <c r="AA76" s="9">
        <v>11</v>
      </c>
      <c r="AB76" s="9">
        <v>0</v>
      </c>
      <c r="AC76" s="9">
        <v>0</v>
      </c>
      <c r="AD76" s="53" t="e">
        <f>#REF!*D76</f>
        <v>#REF!</v>
      </c>
      <c r="AE76" s="53" t="e">
        <f>AD76-#REF!</f>
        <v>#REF!</v>
      </c>
      <c r="AF76" s="9"/>
      <c r="AG76" s="33" t="e">
        <f>#REF!-D76</f>
        <v>#REF!</v>
      </c>
      <c r="AH76" s="9"/>
      <c r="AI76" s="9"/>
      <c r="AJ76" s="9"/>
      <c r="AK76" s="9"/>
    </row>
    <row r="77" spans="1:37" s="12" customFormat="1" ht="20.399999999999999" outlineLevel="1" collapsed="1" x14ac:dyDescent="0.2">
      <c r="A77" s="61" t="s">
        <v>702</v>
      </c>
      <c r="B77" s="14" t="s">
        <v>431</v>
      </c>
      <c r="C77" s="9" t="s">
        <v>47</v>
      </c>
      <c r="D77" s="25">
        <f t="shared" si="26"/>
        <v>30</v>
      </c>
      <c r="E77" s="54"/>
      <c r="F77" s="78"/>
      <c r="G77" s="33">
        <v>0</v>
      </c>
      <c r="H77" s="33">
        <f>6</f>
        <v>6</v>
      </c>
      <c r="I77" s="9">
        <f>3</f>
        <v>3</v>
      </c>
      <c r="J77" s="9">
        <v>0</v>
      </c>
      <c r="K77" s="9">
        <v>0</v>
      </c>
      <c r="L77" s="9">
        <v>0</v>
      </c>
      <c r="M77" s="9">
        <v>0</v>
      </c>
      <c r="N77" s="9">
        <v>0</v>
      </c>
      <c r="O77" s="9">
        <v>4</v>
      </c>
      <c r="P77" s="9">
        <v>0</v>
      </c>
      <c r="Q77" s="9">
        <v>0</v>
      </c>
      <c r="R77" s="9">
        <v>7</v>
      </c>
      <c r="S77" s="9">
        <v>0</v>
      </c>
      <c r="T77" s="9">
        <v>0</v>
      </c>
      <c r="U77" s="33">
        <v>8</v>
      </c>
      <c r="V77" s="9">
        <v>0</v>
      </c>
      <c r="W77" s="9">
        <v>1</v>
      </c>
      <c r="X77" s="9">
        <v>1</v>
      </c>
      <c r="Y77" s="9">
        <v>0</v>
      </c>
      <c r="Z77" s="9">
        <v>0</v>
      </c>
      <c r="AA77" s="9">
        <v>0</v>
      </c>
      <c r="AB77" s="9">
        <v>0</v>
      </c>
      <c r="AC77" s="9">
        <v>0</v>
      </c>
      <c r="AD77" s="53" t="e">
        <f>#REF!*D77</f>
        <v>#REF!</v>
      </c>
      <c r="AE77" s="53" t="e">
        <f>AD77-#REF!</f>
        <v>#REF!</v>
      </c>
      <c r="AF77" s="9"/>
      <c r="AG77" s="33" t="e">
        <f>#REF!-D77</f>
        <v>#REF!</v>
      </c>
      <c r="AH77" s="9"/>
      <c r="AI77" s="9"/>
      <c r="AJ77" s="9"/>
      <c r="AK77" s="9"/>
    </row>
    <row r="78" spans="1:37" s="12" customFormat="1" ht="20.399999999999999" outlineLevel="1" x14ac:dyDescent="0.2">
      <c r="A78" s="61" t="s">
        <v>703</v>
      </c>
      <c r="B78" s="14" t="s">
        <v>430</v>
      </c>
      <c r="C78" s="9" t="s">
        <v>47</v>
      </c>
      <c r="D78" s="25">
        <f t="shared" si="26"/>
        <v>36</v>
      </c>
      <c r="E78" s="54"/>
      <c r="F78" s="78"/>
      <c r="G78" s="33">
        <v>0</v>
      </c>
      <c r="H78" s="33">
        <f>4</f>
        <v>4</v>
      </c>
      <c r="I78" s="9">
        <f>3</f>
        <v>3</v>
      </c>
      <c r="J78" s="9">
        <f>2+8</f>
        <v>10</v>
      </c>
      <c r="K78" s="9">
        <v>2</v>
      </c>
      <c r="L78" s="9">
        <v>2</v>
      </c>
      <c r="M78" s="9">
        <v>2</v>
      </c>
      <c r="N78" s="9">
        <v>2</v>
      </c>
      <c r="O78" s="9">
        <v>2</v>
      </c>
      <c r="P78" s="9">
        <v>2</v>
      </c>
      <c r="Q78" s="9">
        <v>2</v>
      </c>
      <c r="R78" s="9">
        <v>2</v>
      </c>
      <c r="S78" s="9">
        <v>0</v>
      </c>
      <c r="T78" s="9">
        <v>0</v>
      </c>
      <c r="U78" s="33">
        <f>2</f>
        <v>2</v>
      </c>
      <c r="V78" s="9">
        <v>0</v>
      </c>
      <c r="W78" s="9">
        <v>0</v>
      </c>
      <c r="X78" s="9">
        <v>1</v>
      </c>
      <c r="Y78" s="9">
        <v>0</v>
      </c>
      <c r="Z78" s="9">
        <v>0</v>
      </c>
      <c r="AA78" s="9">
        <v>0</v>
      </c>
      <c r="AB78" s="9">
        <v>0</v>
      </c>
      <c r="AC78" s="9">
        <v>0</v>
      </c>
      <c r="AD78" s="53" t="e">
        <f>#REF!*D78</f>
        <v>#REF!</v>
      </c>
      <c r="AE78" s="53" t="e">
        <f>AD78-#REF!</f>
        <v>#REF!</v>
      </c>
      <c r="AF78" s="9"/>
      <c r="AG78" s="33" t="e">
        <f>#REF!-D78</f>
        <v>#REF!</v>
      </c>
      <c r="AH78" s="9"/>
      <c r="AI78" s="9"/>
      <c r="AJ78" s="9"/>
      <c r="AK78" s="9"/>
    </row>
    <row r="79" spans="1:37" s="12" customFormat="1" ht="20.399999999999999" outlineLevel="1" x14ac:dyDescent="0.2">
      <c r="A79" s="61" t="s">
        <v>704</v>
      </c>
      <c r="B79" s="14" t="s">
        <v>429</v>
      </c>
      <c r="C79" s="9" t="s">
        <v>47</v>
      </c>
      <c r="D79" s="25">
        <f t="shared" si="26"/>
        <v>10</v>
      </c>
      <c r="E79" s="54"/>
      <c r="F79" s="78"/>
      <c r="G79" s="33">
        <v>0</v>
      </c>
      <c r="H79" s="33">
        <f>3</f>
        <v>3</v>
      </c>
      <c r="I79" s="9">
        <f>5</f>
        <v>5</v>
      </c>
      <c r="J79" s="9">
        <v>0</v>
      </c>
      <c r="K79" s="9">
        <v>0</v>
      </c>
      <c r="L79" s="9">
        <v>0</v>
      </c>
      <c r="M79" s="9">
        <v>0</v>
      </c>
      <c r="N79" s="9">
        <v>0</v>
      </c>
      <c r="O79" s="9">
        <v>0</v>
      </c>
      <c r="P79" s="9">
        <v>0</v>
      </c>
      <c r="Q79" s="9">
        <v>0</v>
      </c>
      <c r="R79" s="9">
        <v>2</v>
      </c>
      <c r="S79" s="9">
        <v>0</v>
      </c>
      <c r="T79" s="9">
        <v>0</v>
      </c>
      <c r="U79" s="33">
        <v>0</v>
      </c>
      <c r="V79" s="9">
        <v>0</v>
      </c>
      <c r="W79" s="9">
        <v>0</v>
      </c>
      <c r="X79" s="9">
        <v>0</v>
      </c>
      <c r="Y79" s="9">
        <v>0</v>
      </c>
      <c r="Z79" s="9">
        <v>0</v>
      </c>
      <c r="AA79" s="9">
        <v>0</v>
      </c>
      <c r="AB79" s="9">
        <v>0</v>
      </c>
      <c r="AC79" s="9">
        <v>0</v>
      </c>
      <c r="AD79" s="53" t="e">
        <f>#REF!*D79</f>
        <v>#REF!</v>
      </c>
      <c r="AE79" s="53" t="e">
        <f>AD79-#REF!</f>
        <v>#REF!</v>
      </c>
      <c r="AF79" s="9"/>
      <c r="AG79" s="33" t="e">
        <f>#REF!-D79</f>
        <v>#REF!</v>
      </c>
      <c r="AH79" s="9"/>
      <c r="AI79" s="9"/>
      <c r="AJ79" s="9"/>
      <c r="AK79" s="9"/>
    </row>
    <row r="80" spans="1:37" s="12" customFormat="1" ht="30.6" outlineLevel="1" x14ac:dyDescent="0.2">
      <c r="A80" s="61" t="s">
        <v>705</v>
      </c>
      <c r="B80" s="14" t="s">
        <v>428</v>
      </c>
      <c r="C80" s="9" t="s">
        <v>47</v>
      </c>
      <c r="D80" s="25">
        <f t="shared" si="26"/>
        <v>28</v>
      </c>
      <c r="E80" s="54"/>
      <c r="F80" s="78"/>
      <c r="G80" s="33">
        <v>0</v>
      </c>
      <c r="H80" s="33">
        <f>2</f>
        <v>2</v>
      </c>
      <c r="I80" s="9">
        <f>2</f>
        <v>2</v>
      </c>
      <c r="J80" s="9">
        <v>0</v>
      </c>
      <c r="K80" s="9">
        <v>0</v>
      </c>
      <c r="L80" s="9">
        <v>0</v>
      </c>
      <c r="M80" s="9">
        <v>0</v>
      </c>
      <c r="N80" s="9">
        <v>0</v>
      </c>
      <c r="O80" s="9">
        <v>0</v>
      </c>
      <c r="P80" s="9">
        <v>0</v>
      </c>
      <c r="Q80" s="9">
        <v>0</v>
      </c>
      <c r="R80" s="9">
        <v>4</v>
      </c>
      <c r="S80" s="9">
        <v>0</v>
      </c>
      <c r="T80" s="9">
        <v>20</v>
      </c>
      <c r="U80" s="33">
        <v>0</v>
      </c>
      <c r="V80" s="9">
        <v>0</v>
      </c>
      <c r="W80" s="9">
        <v>0</v>
      </c>
      <c r="X80" s="9">
        <v>0</v>
      </c>
      <c r="Y80" s="9">
        <v>0</v>
      </c>
      <c r="Z80" s="9">
        <v>0</v>
      </c>
      <c r="AA80" s="9">
        <v>0</v>
      </c>
      <c r="AB80" s="9">
        <v>0</v>
      </c>
      <c r="AC80" s="9">
        <v>0</v>
      </c>
      <c r="AD80" s="53" t="e">
        <f>#REF!*D80</f>
        <v>#REF!</v>
      </c>
      <c r="AE80" s="53" t="e">
        <f>AD80-#REF!</f>
        <v>#REF!</v>
      </c>
      <c r="AF80" s="9"/>
      <c r="AG80" s="33" t="e">
        <f>#REF!-D80</f>
        <v>#REF!</v>
      </c>
      <c r="AH80" s="9"/>
      <c r="AI80" s="9"/>
      <c r="AJ80" s="9"/>
      <c r="AK80" s="9"/>
    </row>
    <row r="81" spans="1:37" s="17" customFormat="1" ht="20.399999999999999" outlineLevel="1" x14ac:dyDescent="0.2">
      <c r="A81" s="61" t="s">
        <v>706</v>
      </c>
      <c r="B81" s="14" t="s">
        <v>2590</v>
      </c>
      <c r="C81" s="8" t="s">
        <v>47</v>
      </c>
      <c r="D81" s="25">
        <f t="shared" si="26"/>
        <v>3746</v>
      </c>
      <c r="E81" s="54"/>
      <c r="F81" s="9"/>
      <c r="G81" s="88">
        <f t="shared" ref="G81:AC81" si="27">G74+G75+G33</f>
        <v>22</v>
      </c>
      <c r="H81" s="88">
        <f t="shared" si="27"/>
        <v>318</v>
      </c>
      <c r="I81" s="88">
        <f t="shared" si="27"/>
        <v>230</v>
      </c>
      <c r="J81" s="88">
        <f t="shared" si="27"/>
        <v>240</v>
      </c>
      <c r="K81" s="88">
        <f t="shared" si="27"/>
        <v>222</v>
      </c>
      <c r="L81" s="88">
        <f t="shared" si="27"/>
        <v>196</v>
      </c>
      <c r="M81" s="88">
        <f t="shared" si="27"/>
        <v>199</v>
      </c>
      <c r="N81" s="88">
        <f t="shared" si="27"/>
        <v>193</v>
      </c>
      <c r="O81" s="88">
        <f t="shared" si="27"/>
        <v>194</v>
      </c>
      <c r="P81" s="88">
        <f t="shared" si="27"/>
        <v>188</v>
      </c>
      <c r="Q81" s="88">
        <f t="shared" si="27"/>
        <v>153</v>
      </c>
      <c r="R81" s="88">
        <f t="shared" si="27"/>
        <v>83</v>
      </c>
      <c r="S81" s="88">
        <f t="shared" si="27"/>
        <v>0</v>
      </c>
      <c r="T81" s="88">
        <f t="shared" si="27"/>
        <v>72</v>
      </c>
      <c r="U81" s="88">
        <f t="shared" si="27"/>
        <v>303</v>
      </c>
      <c r="V81" s="88">
        <f t="shared" si="27"/>
        <v>241</v>
      </c>
      <c r="W81" s="88">
        <f t="shared" si="27"/>
        <v>219</v>
      </c>
      <c r="X81" s="88">
        <f t="shared" si="27"/>
        <v>154</v>
      </c>
      <c r="Y81" s="88">
        <f t="shared" si="27"/>
        <v>180</v>
      </c>
      <c r="Z81" s="88">
        <f t="shared" si="27"/>
        <v>151</v>
      </c>
      <c r="AA81" s="88">
        <f t="shared" si="27"/>
        <v>148</v>
      </c>
      <c r="AB81" s="88">
        <f t="shared" si="27"/>
        <v>40</v>
      </c>
      <c r="AC81" s="88">
        <f t="shared" si="27"/>
        <v>0</v>
      </c>
      <c r="AD81" s="53" t="e">
        <f>#REF!*D81</f>
        <v>#REF!</v>
      </c>
      <c r="AE81" s="53" t="e">
        <f>AD81-#REF!</f>
        <v>#REF!</v>
      </c>
      <c r="AF81" s="8"/>
      <c r="AG81" s="33" t="e">
        <f>#REF!-D81</f>
        <v>#REF!</v>
      </c>
      <c r="AH81" s="8"/>
      <c r="AI81" s="8"/>
      <c r="AJ81" s="8"/>
      <c r="AK81" s="8"/>
    </row>
    <row r="82" spans="1:37" s="12" customFormat="1" ht="20.399999999999999" outlineLevel="1" x14ac:dyDescent="0.2">
      <c r="A82" s="61" t="s">
        <v>707</v>
      </c>
      <c r="B82" s="14" t="s">
        <v>441</v>
      </c>
      <c r="C82" s="9" t="s">
        <v>48</v>
      </c>
      <c r="D82" s="25">
        <f t="shared" si="26"/>
        <v>102</v>
      </c>
      <c r="E82" s="54"/>
      <c r="F82" s="78"/>
      <c r="G82" s="33">
        <v>0</v>
      </c>
      <c r="H82" s="33">
        <v>0</v>
      </c>
      <c r="I82" s="101">
        <v>96</v>
      </c>
      <c r="J82" s="9">
        <v>6</v>
      </c>
      <c r="K82" s="9">
        <v>0</v>
      </c>
      <c r="L82" s="9">
        <v>0</v>
      </c>
      <c r="M82" s="9">
        <v>0</v>
      </c>
      <c r="N82" s="9">
        <v>0</v>
      </c>
      <c r="O82" s="9">
        <v>0</v>
      </c>
      <c r="P82" s="9">
        <v>0</v>
      </c>
      <c r="Q82" s="9">
        <v>0</v>
      </c>
      <c r="R82" s="9">
        <v>0</v>
      </c>
      <c r="S82" s="9">
        <v>0</v>
      </c>
      <c r="T82" s="9">
        <v>0</v>
      </c>
      <c r="U82" s="33">
        <v>0</v>
      </c>
      <c r="V82" s="9">
        <v>0</v>
      </c>
      <c r="W82" s="9">
        <v>0</v>
      </c>
      <c r="X82" s="9">
        <v>0</v>
      </c>
      <c r="Y82" s="9">
        <v>0</v>
      </c>
      <c r="Z82" s="9">
        <v>0</v>
      </c>
      <c r="AA82" s="9">
        <v>0</v>
      </c>
      <c r="AB82" s="9">
        <v>0</v>
      </c>
      <c r="AC82" s="9">
        <v>0</v>
      </c>
      <c r="AD82" s="53" t="e">
        <f>#REF!*D82</f>
        <v>#REF!</v>
      </c>
      <c r="AE82" s="53" t="e">
        <f>AD82-#REF!</f>
        <v>#REF!</v>
      </c>
      <c r="AF82" s="9"/>
      <c r="AG82" s="33" t="e">
        <f>#REF!-D82</f>
        <v>#REF!</v>
      </c>
      <c r="AH82" s="9"/>
      <c r="AI82" s="9"/>
      <c r="AJ82" s="9"/>
      <c r="AK82" s="9"/>
    </row>
    <row r="83" spans="1:37" s="12" customFormat="1" ht="20.399999999999999" outlineLevel="1" x14ac:dyDescent="0.2">
      <c r="A83" s="61" t="s">
        <v>708</v>
      </c>
      <c r="B83" s="14" t="s">
        <v>442</v>
      </c>
      <c r="C83" s="9" t="s">
        <v>48</v>
      </c>
      <c r="D83" s="25">
        <f t="shared" si="26"/>
        <v>102</v>
      </c>
      <c r="E83" s="54"/>
      <c r="F83" s="78"/>
      <c r="G83" s="33">
        <v>0</v>
      </c>
      <c r="H83" s="33">
        <v>0</v>
      </c>
      <c r="I83" s="101">
        <v>96</v>
      </c>
      <c r="J83" s="9">
        <v>6</v>
      </c>
      <c r="K83" s="9">
        <v>0</v>
      </c>
      <c r="L83" s="9">
        <v>0</v>
      </c>
      <c r="M83" s="9">
        <v>0</v>
      </c>
      <c r="N83" s="9">
        <v>0</v>
      </c>
      <c r="O83" s="9">
        <v>0</v>
      </c>
      <c r="P83" s="9">
        <v>0</v>
      </c>
      <c r="Q83" s="9">
        <v>0</v>
      </c>
      <c r="R83" s="9">
        <v>0</v>
      </c>
      <c r="S83" s="9">
        <v>0</v>
      </c>
      <c r="T83" s="9">
        <v>0</v>
      </c>
      <c r="U83" s="33">
        <v>0</v>
      </c>
      <c r="V83" s="9">
        <v>0</v>
      </c>
      <c r="W83" s="9">
        <v>0</v>
      </c>
      <c r="X83" s="9">
        <v>0</v>
      </c>
      <c r="Y83" s="9">
        <v>0</v>
      </c>
      <c r="Z83" s="9">
        <v>0</v>
      </c>
      <c r="AA83" s="9">
        <v>0</v>
      </c>
      <c r="AB83" s="9">
        <v>0</v>
      </c>
      <c r="AC83" s="9">
        <v>0</v>
      </c>
      <c r="AD83" s="53" t="e">
        <f>#REF!*D83</f>
        <v>#REF!</v>
      </c>
      <c r="AE83" s="53" t="e">
        <f>AD83-#REF!</f>
        <v>#REF!</v>
      </c>
      <c r="AF83" s="9"/>
      <c r="AG83" s="33" t="e">
        <f>#REF!-D83</f>
        <v>#REF!</v>
      </c>
      <c r="AH83" s="9"/>
      <c r="AI83" s="9"/>
      <c r="AJ83" s="9"/>
      <c r="AK83" s="9"/>
    </row>
    <row r="84" spans="1:37" s="12" customFormat="1" ht="20.399999999999999" outlineLevel="1" x14ac:dyDescent="0.2">
      <c r="A84" s="61" t="s">
        <v>709</v>
      </c>
      <c r="B84" s="14" t="s">
        <v>443</v>
      </c>
      <c r="C84" s="9" t="s">
        <v>47</v>
      </c>
      <c r="D84" s="25">
        <f t="shared" si="26"/>
        <v>2</v>
      </c>
      <c r="E84" s="54"/>
      <c r="F84" s="78"/>
      <c r="G84" s="33">
        <v>0</v>
      </c>
      <c r="H84" s="33">
        <v>0</v>
      </c>
      <c r="I84" s="9">
        <v>1</v>
      </c>
      <c r="J84" s="9">
        <v>1</v>
      </c>
      <c r="K84" s="9">
        <v>0</v>
      </c>
      <c r="L84" s="9">
        <v>0</v>
      </c>
      <c r="M84" s="9">
        <v>0</v>
      </c>
      <c r="N84" s="9">
        <v>0</v>
      </c>
      <c r="O84" s="9">
        <v>0</v>
      </c>
      <c r="P84" s="9">
        <v>0</v>
      </c>
      <c r="Q84" s="9">
        <v>0</v>
      </c>
      <c r="R84" s="9">
        <v>0</v>
      </c>
      <c r="S84" s="9">
        <v>0</v>
      </c>
      <c r="T84" s="9">
        <v>0</v>
      </c>
      <c r="U84" s="33">
        <v>0</v>
      </c>
      <c r="V84" s="9">
        <v>0</v>
      </c>
      <c r="W84" s="9">
        <v>0</v>
      </c>
      <c r="X84" s="9">
        <v>0</v>
      </c>
      <c r="Y84" s="9">
        <v>0</v>
      </c>
      <c r="Z84" s="9">
        <v>0</v>
      </c>
      <c r="AA84" s="9">
        <v>0</v>
      </c>
      <c r="AB84" s="9">
        <v>0</v>
      </c>
      <c r="AC84" s="9">
        <v>0</v>
      </c>
      <c r="AD84" s="53" t="e">
        <f>#REF!*D84</f>
        <v>#REF!</v>
      </c>
      <c r="AE84" s="53" t="e">
        <f>AD84-#REF!</f>
        <v>#REF!</v>
      </c>
      <c r="AF84" s="9"/>
      <c r="AG84" s="33" t="e">
        <f>#REF!-D84</f>
        <v>#REF!</v>
      </c>
      <c r="AH84" s="9"/>
      <c r="AI84" s="9"/>
      <c r="AJ84" s="9"/>
      <c r="AK84" s="9"/>
    </row>
    <row r="85" spans="1:37" s="12" customFormat="1" ht="10.199999999999999" outlineLevel="1" x14ac:dyDescent="0.2">
      <c r="A85" s="61" t="s">
        <v>710</v>
      </c>
      <c r="B85" s="14" t="s">
        <v>447</v>
      </c>
      <c r="C85" s="9" t="s">
        <v>47</v>
      </c>
      <c r="D85" s="25">
        <f t="shared" si="26"/>
        <v>2</v>
      </c>
      <c r="E85" s="54"/>
      <c r="F85" s="78"/>
      <c r="G85" s="33">
        <v>0</v>
      </c>
      <c r="H85" s="33">
        <v>0</v>
      </c>
      <c r="I85" s="9">
        <v>1</v>
      </c>
      <c r="J85" s="9">
        <v>1</v>
      </c>
      <c r="K85" s="9">
        <v>0</v>
      </c>
      <c r="L85" s="9">
        <v>0</v>
      </c>
      <c r="M85" s="9">
        <v>0</v>
      </c>
      <c r="N85" s="9">
        <v>0</v>
      </c>
      <c r="O85" s="9">
        <v>0</v>
      </c>
      <c r="P85" s="9">
        <v>0</v>
      </c>
      <c r="Q85" s="9">
        <v>0</v>
      </c>
      <c r="R85" s="9">
        <v>0</v>
      </c>
      <c r="S85" s="9">
        <v>0</v>
      </c>
      <c r="T85" s="9">
        <v>0</v>
      </c>
      <c r="U85" s="33">
        <v>0</v>
      </c>
      <c r="V85" s="9">
        <v>0</v>
      </c>
      <c r="W85" s="9">
        <v>0</v>
      </c>
      <c r="X85" s="9">
        <v>0</v>
      </c>
      <c r="Y85" s="9">
        <v>0</v>
      </c>
      <c r="Z85" s="9">
        <v>0</v>
      </c>
      <c r="AA85" s="9">
        <v>0</v>
      </c>
      <c r="AB85" s="9">
        <v>0</v>
      </c>
      <c r="AC85" s="9">
        <v>0</v>
      </c>
      <c r="AD85" s="53" t="e">
        <f>#REF!*D85</f>
        <v>#REF!</v>
      </c>
      <c r="AE85" s="53" t="e">
        <f>AD85-#REF!</f>
        <v>#REF!</v>
      </c>
      <c r="AF85" s="9"/>
      <c r="AG85" s="33" t="e">
        <f>#REF!-D85</f>
        <v>#REF!</v>
      </c>
      <c r="AH85" s="9"/>
      <c r="AI85" s="9"/>
      <c r="AJ85" s="9"/>
      <c r="AK85" s="9"/>
    </row>
    <row r="86" spans="1:37" s="12" customFormat="1" ht="20.399999999999999" outlineLevel="1" x14ac:dyDescent="0.2">
      <c r="A86" s="61" t="s">
        <v>711</v>
      </c>
      <c r="B86" s="14" t="s">
        <v>444</v>
      </c>
      <c r="C86" s="9" t="s">
        <v>47</v>
      </c>
      <c r="D86" s="25">
        <f t="shared" si="26"/>
        <v>2</v>
      </c>
      <c r="E86" s="54"/>
      <c r="F86" s="78"/>
      <c r="G86" s="33">
        <v>0</v>
      </c>
      <c r="H86" s="33">
        <v>0</v>
      </c>
      <c r="I86" s="9">
        <v>1</v>
      </c>
      <c r="J86" s="9">
        <v>1</v>
      </c>
      <c r="K86" s="9">
        <v>0</v>
      </c>
      <c r="L86" s="9">
        <v>0</v>
      </c>
      <c r="M86" s="9">
        <v>0</v>
      </c>
      <c r="N86" s="9">
        <v>0</v>
      </c>
      <c r="O86" s="9">
        <v>0</v>
      </c>
      <c r="P86" s="9">
        <v>0</v>
      </c>
      <c r="Q86" s="9">
        <v>0</v>
      </c>
      <c r="R86" s="9">
        <v>0</v>
      </c>
      <c r="S86" s="9">
        <v>0</v>
      </c>
      <c r="T86" s="9">
        <v>0</v>
      </c>
      <c r="U86" s="33">
        <v>0</v>
      </c>
      <c r="V86" s="9">
        <v>0</v>
      </c>
      <c r="W86" s="9">
        <v>0</v>
      </c>
      <c r="X86" s="9">
        <v>0</v>
      </c>
      <c r="Y86" s="9">
        <v>0</v>
      </c>
      <c r="Z86" s="9">
        <v>0</v>
      </c>
      <c r="AA86" s="9">
        <v>0</v>
      </c>
      <c r="AB86" s="9">
        <v>0</v>
      </c>
      <c r="AC86" s="9">
        <v>0</v>
      </c>
      <c r="AD86" s="53" t="e">
        <f>#REF!*D86</f>
        <v>#REF!</v>
      </c>
      <c r="AE86" s="53" t="e">
        <f>AD86-#REF!</f>
        <v>#REF!</v>
      </c>
      <c r="AF86" s="9"/>
      <c r="AG86" s="33" t="e">
        <f>#REF!-D86</f>
        <v>#REF!</v>
      </c>
      <c r="AH86" s="9"/>
      <c r="AI86" s="9"/>
      <c r="AJ86" s="9"/>
      <c r="AK86" s="9"/>
    </row>
    <row r="87" spans="1:37" s="12" customFormat="1" ht="20.399999999999999" outlineLevel="1" x14ac:dyDescent="0.2">
      <c r="A87" s="61" t="s">
        <v>712</v>
      </c>
      <c r="B87" s="14" t="s">
        <v>445</v>
      </c>
      <c r="C87" s="9" t="s">
        <v>47</v>
      </c>
      <c r="D87" s="25">
        <f t="shared" si="26"/>
        <v>14</v>
      </c>
      <c r="E87" s="54"/>
      <c r="F87" s="78"/>
      <c r="G87" s="33">
        <v>0</v>
      </c>
      <c r="H87" s="33">
        <v>0</v>
      </c>
      <c r="I87" s="9">
        <v>2</v>
      </c>
      <c r="J87" s="9">
        <v>2</v>
      </c>
      <c r="K87" s="9">
        <v>0</v>
      </c>
      <c r="L87" s="9">
        <v>0</v>
      </c>
      <c r="M87" s="9">
        <v>0</v>
      </c>
      <c r="N87" s="9">
        <v>0</v>
      </c>
      <c r="O87" s="9">
        <v>0</v>
      </c>
      <c r="P87" s="9">
        <v>0</v>
      </c>
      <c r="Q87" s="9">
        <v>0</v>
      </c>
      <c r="R87" s="9">
        <v>0</v>
      </c>
      <c r="S87" s="9">
        <v>0</v>
      </c>
      <c r="T87" s="9">
        <v>0</v>
      </c>
      <c r="U87" s="33">
        <v>0</v>
      </c>
      <c r="V87" s="9">
        <v>10</v>
      </c>
      <c r="W87" s="9">
        <v>0</v>
      </c>
      <c r="X87" s="9">
        <v>0</v>
      </c>
      <c r="Y87" s="9">
        <v>0</v>
      </c>
      <c r="Z87" s="9">
        <v>0</v>
      </c>
      <c r="AA87" s="9">
        <v>0</v>
      </c>
      <c r="AB87" s="9">
        <v>0</v>
      </c>
      <c r="AC87" s="9">
        <v>0</v>
      </c>
      <c r="AD87" s="53" t="e">
        <f>#REF!*D87</f>
        <v>#REF!</v>
      </c>
      <c r="AE87" s="53" t="e">
        <f>AD87-#REF!</f>
        <v>#REF!</v>
      </c>
      <c r="AF87" s="9"/>
      <c r="AG87" s="33" t="e">
        <f>#REF!-D87</f>
        <v>#REF!</v>
      </c>
      <c r="AH87" s="9"/>
      <c r="AI87" s="9"/>
      <c r="AJ87" s="9"/>
      <c r="AK87" s="9"/>
    </row>
    <row r="88" spans="1:37" s="12" customFormat="1" ht="20.399999999999999" outlineLevel="1" x14ac:dyDescent="0.2">
      <c r="A88" s="61" t="s">
        <v>713</v>
      </c>
      <c r="B88" s="14" t="s">
        <v>446</v>
      </c>
      <c r="C88" s="9" t="s">
        <v>47</v>
      </c>
      <c r="D88" s="25">
        <f t="shared" si="26"/>
        <v>1</v>
      </c>
      <c r="E88" s="54"/>
      <c r="F88" s="78"/>
      <c r="G88" s="33">
        <v>0</v>
      </c>
      <c r="H88" s="33">
        <v>0</v>
      </c>
      <c r="I88" s="9">
        <v>0</v>
      </c>
      <c r="J88" s="9">
        <v>1</v>
      </c>
      <c r="K88" s="9">
        <v>0</v>
      </c>
      <c r="L88" s="9">
        <v>0</v>
      </c>
      <c r="M88" s="9">
        <v>0</v>
      </c>
      <c r="N88" s="9">
        <v>0</v>
      </c>
      <c r="O88" s="9">
        <v>0</v>
      </c>
      <c r="P88" s="9">
        <v>0</v>
      </c>
      <c r="Q88" s="9">
        <v>0</v>
      </c>
      <c r="R88" s="9">
        <v>0</v>
      </c>
      <c r="S88" s="9">
        <v>0</v>
      </c>
      <c r="T88" s="9">
        <v>0</v>
      </c>
      <c r="U88" s="33">
        <v>0</v>
      </c>
      <c r="V88" s="9">
        <v>0</v>
      </c>
      <c r="W88" s="9">
        <v>0</v>
      </c>
      <c r="X88" s="9">
        <v>0</v>
      </c>
      <c r="Y88" s="9">
        <v>0</v>
      </c>
      <c r="Z88" s="9">
        <v>0</v>
      </c>
      <c r="AA88" s="9">
        <v>0</v>
      </c>
      <c r="AB88" s="9">
        <v>0</v>
      </c>
      <c r="AC88" s="9">
        <v>0</v>
      </c>
      <c r="AD88" s="53" t="e">
        <f>#REF!*D88</f>
        <v>#REF!</v>
      </c>
      <c r="AE88" s="53" t="e">
        <f>AD88-#REF!</f>
        <v>#REF!</v>
      </c>
      <c r="AF88" s="9"/>
      <c r="AG88" s="33" t="e">
        <f>#REF!-D88</f>
        <v>#REF!</v>
      </c>
      <c r="AH88" s="9"/>
      <c r="AI88" s="9"/>
      <c r="AJ88" s="9"/>
      <c r="AK88" s="9"/>
    </row>
    <row r="89" spans="1:37" s="12" customFormat="1" ht="20.399999999999999" outlineLevel="1" x14ac:dyDescent="0.2">
      <c r="A89" s="61" t="s">
        <v>2655</v>
      </c>
      <c r="B89" s="14" t="s">
        <v>466</v>
      </c>
      <c r="C89" s="9" t="s">
        <v>47</v>
      </c>
      <c r="D89" s="25">
        <f t="shared" si="26"/>
        <v>6</v>
      </c>
      <c r="E89" s="54"/>
      <c r="F89" s="78"/>
      <c r="G89" s="33">
        <v>0</v>
      </c>
      <c r="H89" s="33">
        <v>6</v>
      </c>
      <c r="I89" s="9">
        <v>0</v>
      </c>
      <c r="J89" s="9">
        <v>0</v>
      </c>
      <c r="K89" s="9">
        <v>0</v>
      </c>
      <c r="L89" s="9">
        <v>0</v>
      </c>
      <c r="M89" s="9">
        <v>0</v>
      </c>
      <c r="N89" s="9">
        <v>0</v>
      </c>
      <c r="O89" s="9">
        <v>0</v>
      </c>
      <c r="P89" s="9">
        <v>0</v>
      </c>
      <c r="Q89" s="9">
        <v>0</v>
      </c>
      <c r="R89" s="9">
        <v>0</v>
      </c>
      <c r="S89" s="9">
        <v>0</v>
      </c>
      <c r="T89" s="9">
        <v>0</v>
      </c>
      <c r="U89" s="33">
        <v>0</v>
      </c>
      <c r="V89" s="9">
        <v>0</v>
      </c>
      <c r="W89" s="9">
        <v>0</v>
      </c>
      <c r="X89" s="9">
        <v>0</v>
      </c>
      <c r="Y89" s="9">
        <v>0</v>
      </c>
      <c r="Z89" s="9">
        <v>0</v>
      </c>
      <c r="AA89" s="9">
        <v>0</v>
      </c>
      <c r="AB89" s="9">
        <v>0</v>
      </c>
      <c r="AC89" s="9">
        <v>0</v>
      </c>
      <c r="AD89" s="53" t="e">
        <f>#REF!*D89</f>
        <v>#REF!</v>
      </c>
      <c r="AE89" s="53" t="e">
        <f>AD89-#REF!</f>
        <v>#REF!</v>
      </c>
      <c r="AF89" s="9"/>
      <c r="AG89" s="33" t="e">
        <f>#REF!-D89</f>
        <v>#REF!</v>
      </c>
      <c r="AH89" s="9"/>
      <c r="AI89" s="9"/>
      <c r="AJ89" s="9"/>
      <c r="AK89" s="9"/>
    </row>
    <row r="90" spans="1:37" outlineLevel="1" x14ac:dyDescent="0.25">
      <c r="E90" s="54"/>
      <c r="F90" s="9"/>
      <c r="G90" s="9"/>
      <c r="AD90" s="53" t="e">
        <f>#REF!*D90</f>
        <v>#REF!</v>
      </c>
      <c r="AE90" s="53" t="e">
        <f>AD90-#REF!</f>
        <v>#REF!</v>
      </c>
      <c r="AG90" s="33" t="e">
        <f>#REF!-D90</f>
        <v>#REF!</v>
      </c>
    </row>
    <row r="91" spans="1:37" x14ac:dyDescent="0.25">
      <c r="A91" s="18" t="s">
        <v>8</v>
      </c>
      <c r="B91" s="35" t="s">
        <v>392</v>
      </c>
      <c r="C91" s="18" t="s">
        <v>41</v>
      </c>
      <c r="D91" s="52" t="e">
        <f>#REF!/#REF!*100</f>
        <v>#REF!</v>
      </c>
      <c r="E91" s="54"/>
      <c r="H91" s="8"/>
      <c r="I91" s="8"/>
      <c r="J91" s="8"/>
      <c r="K91" s="8"/>
      <c r="L91" s="8"/>
      <c r="M91" s="8"/>
      <c r="N91" s="8"/>
      <c r="O91" s="8"/>
      <c r="P91" s="8"/>
      <c r="Q91" s="8"/>
      <c r="R91" s="8"/>
      <c r="S91" s="8"/>
      <c r="T91" s="8"/>
      <c r="U91" s="8"/>
      <c r="V91" s="8"/>
      <c r="W91" s="8"/>
      <c r="X91" s="8"/>
      <c r="Y91" s="8"/>
      <c r="Z91" s="8"/>
      <c r="AA91" s="8"/>
      <c r="AB91" s="8"/>
      <c r="AC91" s="8"/>
      <c r="AD91" s="53" t="e">
        <f>#REF!*D91</f>
        <v>#REF!</v>
      </c>
      <c r="AE91" s="53" t="e">
        <f>AD91-#REF!</f>
        <v>#REF!</v>
      </c>
      <c r="AG91" s="33" t="e">
        <f>#REF!-D91</f>
        <v>#REF!</v>
      </c>
    </row>
    <row r="92" spans="1:37" s="12" customFormat="1" ht="31.8" outlineLevel="1" x14ac:dyDescent="0.2">
      <c r="A92" s="61" t="s">
        <v>630</v>
      </c>
      <c r="B92" s="14" t="s">
        <v>1059</v>
      </c>
      <c r="C92" s="9" t="s">
        <v>48</v>
      </c>
      <c r="D92" s="25">
        <f>SUM(G92:AC92)</f>
        <v>133160</v>
      </c>
      <c r="E92" s="54"/>
      <c r="F92" s="9"/>
      <c r="G92" s="33">
        <v>0</v>
      </c>
      <c r="H92" s="33">
        <f>MROUND((6570+3630+2450)*1.15,5)</f>
        <v>14545</v>
      </c>
      <c r="I92" s="9">
        <f>MROUND((5400+1700+3200+590)*1.15,5)-2100</f>
        <v>10425</v>
      </c>
      <c r="J92" s="9">
        <f>8000</f>
        <v>8000</v>
      </c>
      <c r="K92" s="9">
        <f>MROUND((240+1860+50+2190+1070)*1.15,5)</f>
        <v>6220</v>
      </c>
      <c r="L92" s="9">
        <f>MROUND((2230+235+680+92+2390+1060)*1.15,5)</f>
        <v>7690</v>
      </c>
      <c r="M92" s="9">
        <f>MROUND((1360+152+620+285+5820)*1.15,5)</f>
        <v>9475</v>
      </c>
      <c r="N92" s="9">
        <f>MROUND((1515+620+5820)*1.15,5)</f>
        <v>9150</v>
      </c>
      <c r="O92" s="9">
        <f>MROUND((405+1510+450+5480)*1.15,5)</f>
        <v>9020</v>
      </c>
      <c r="P92" s="9">
        <f>MROUND((2050+95+2860+185)*1.15,5)</f>
        <v>5970</v>
      </c>
      <c r="Q92" s="9">
        <v>6215</v>
      </c>
      <c r="R92" s="9">
        <v>2900</v>
      </c>
      <c r="S92" s="9">
        <v>0</v>
      </c>
      <c r="T92" s="9">
        <v>2000</v>
      </c>
      <c r="U92" s="33">
        <v>6800</v>
      </c>
      <c r="V92" s="9">
        <v>5800</v>
      </c>
      <c r="W92" s="9">
        <v>6700</v>
      </c>
      <c r="X92" s="9">
        <v>5500</v>
      </c>
      <c r="Y92" s="9">
        <v>5750</v>
      </c>
      <c r="Z92" s="9">
        <v>4950</v>
      </c>
      <c r="AA92" s="9">
        <v>6050</v>
      </c>
      <c r="AB92" s="9">
        <v>0</v>
      </c>
      <c r="AC92" s="9">
        <v>0</v>
      </c>
      <c r="AD92" s="53" t="e">
        <f>#REF!*D92</f>
        <v>#REF!</v>
      </c>
      <c r="AE92" s="53" t="e">
        <f>AD92-#REF!</f>
        <v>#REF!</v>
      </c>
      <c r="AF92" s="9"/>
      <c r="AG92" s="33" t="e">
        <f>#REF!-D92</f>
        <v>#REF!</v>
      </c>
      <c r="AH92" s="9"/>
      <c r="AI92" s="9"/>
      <c r="AJ92" s="9"/>
      <c r="AK92" s="9"/>
    </row>
    <row r="93" spans="1:37" s="12" customFormat="1" ht="31.8" outlineLevel="1" x14ac:dyDescent="0.2">
      <c r="A93" s="61" t="s">
        <v>631</v>
      </c>
      <c r="B93" s="14" t="s">
        <v>1060</v>
      </c>
      <c r="C93" s="9" t="s">
        <v>48</v>
      </c>
      <c r="D93" s="25">
        <f>SUM(G93:AC93)</f>
        <v>3600</v>
      </c>
      <c r="E93" s="54"/>
      <c r="F93" s="9"/>
      <c r="G93" s="33">
        <v>0</v>
      </c>
      <c r="H93" s="33">
        <f>MROUND((325+35+245)*1.15,5)</f>
        <v>695</v>
      </c>
      <c r="I93" s="9">
        <v>650</v>
      </c>
      <c r="J93" s="9">
        <f>700-210</f>
        <v>490</v>
      </c>
      <c r="K93" s="9">
        <f>140</f>
        <v>140</v>
      </c>
      <c r="L93" s="9">
        <f>125+25</f>
        <v>150</v>
      </c>
      <c r="M93" s="9">
        <v>0</v>
      </c>
      <c r="N93" s="9">
        <v>0</v>
      </c>
      <c r="O93" s="9">
        <v>140</v>
      </c>
      <c r="P93" s="9">
        <v>315</v>
      </c>
      <c r="Q93" s="9">
        <v>345</v>
      </c>
      <c r="R93" s="9">
        <v>235</v>
      </c>
      <c r="S93" s="9">
        <v>0</v>
      </c>
      <c r="T93" s="9">
        <v>0</v>
      </c>
      <c r="U93" s="33">
        <f>MROUND((110)*1.15,5)</f>
        <v>125</v>
      </c>
      <c r="V93" s="9">
        <v>0</v>
      </c>
      <c r="W93" s="9">
        <v>210</v>
      </c>
      <c r="X93" s="9">
        <v>0</v>
      </c>
      <c r="Y93" s="9">
        <f>105</f>
        <v>105</v>
      </c>
      <c r="Z93" s="9">
        <v>0</v>
      </c>
      <c r="AA93" s="9">
        <v>0</v>
      </c>
      <c r="AB93" s="9">
        <v>0</v>
      </c>
      <c r="AC93" s="9">
        <v>0</v>
      </c>
      <c r="AD93" s="53" t="e">
        <f>#REF!*D93</f>
        <v>#REF!</v>
      </c>
      <c r="AE93" s="53" t="e">
        <f>AD93-#REF!</f>
        <v>#REF!</v>
      </c>
      <c r="AF93" s="9"/>
      <c r="AG93" s="33" t="e">
        <f>#REF!-D93</f>
        <v>#REF!</v>
      </c>
      <c r="AH93" s="9"/>
      <c r="AI93" s="9"/>
      <c r="AJ93" s="9"/>
      <c r="AK93" s="9"/>
    </row>
    <row r="94" spans="1:37" s="12" customFormat="1" ht="22.8" outlineLevel="1" x14ac:dyDescent="0.2">
      <c r="A94" s="61" t="s">
        <v>632</v>
      </c>
      <c r="B94" s="14" t="s">
        <v>1064</v>
      </c>
      <c r="C94" s="9" t="s">
        <v>48</v>
      </c>
      <c r="D94" s="25">
        <f>SUM(G94:AC94)</f>
        <v>6050</v>
      </c>
      <c r="E94" s="54"/>
      <c r="F94" s="9"/>
      <c r="G94" s="33">
        <f>MROUND((1450+1830+20)*1.15,5)+5</f>
        <v>3800</v>
      </c>
      <c r="H94" s="33">
        <v>0</v>
      </c>
      <c r="I94" s="9">
        <v>1850</v>
      </c>
      <c r="J94" s="9">
        <v>0</v>
      </c>
      <c r="K94" s="9">
        <v>0</v>
      </c>
      <c r="L94" s="9">
        <v>0</v>
      </c>
      <c r="M94" s="9">
        <v>400</v>
      </c>
      <c r="N94" s="9">
        <v>0</v>
      </c>
      <c r="O94" s="9">
        <v>0</v>
      </c>
      <c r="P94" s="9">
        <v>0</v>
      </c>
      <c r="Q94" s="9">
        <v>0</v>
      </c>
      <c r="R94" s="9">
        <v>0</v>
      </c>
      <c r="S94" s="9">
        <v>0</v>
      </c>
      <c r="T94" s="9">
        <v>0</v>
      </c>
      <c r="U94" s="33">
        <v>0</v>
      </c>
      <c r="V94" s="9">
        <v>0</v>
      </c>
      <c r="W94" s="9">
        <v>0</v>
      </c>
      <c r="X94" s="9">
        <v>0</v>
      </c>
      <c r="Y94" s="9">
        <v>0</v>
      </c>
      <c r="Z94" s="9">
        <v>0</v>
      </c>
      <c r="AA94" s="9">
        <v>0</v>
      </c>
      <c r="AB94" s="9">
        <v>0</v>
      </c>
      <c r="AC94" s="9">
        <v>0</v>
      </c>
      <c r="AD94" s="53" t="e">
        <f>#REF!*D94</f>
        <v>#REF!</v>
      </c>
      <c r="AE94" s="53" t="e">
        <f>AD94-#REF!</f>
        <v>#REF!</v>
      </c>
      <c r="AF94" s="9"/>
      <c r="AG94" s="33" t="e">
        <f>#REF!-D94</f>
        <v>#REF!</v>
      </c>
      <c r="AH94" s="9"/>
      <c r="AI94" s="9"/>
      <c r="AJ94" s="9"/>
      <c r="AK94" s="9"/>
    </row>
    <row r="95" spans="1:37" s="12" customFormat="1" ht="22.8" outlineLevel="1" x14ac:dyDescent="0.2">
      <c r="A95" s="61" t="s">
        <v>633</v>
      </c>
      <c r="B95" s="14" t="s">
        <v>1065</v>
      </c>
      <c r="C95" s="9" t="s">
        <v>48</v>
      </c>
      <c r="D95" s="25">
        <f>SUM(G95:AC95)</f>
        <v>2110</v>
      </c>
      <c r="E95" s="54"/>
      <c r="F95" s="9"/>
      <c r="G95" s="88">
        <v>0</v>
      </c>
      <c r="H95" s="88">
        <v>250</v>
      </c>
      <c r="I95" s="88">
        <f>220-20</f>
        <v>200</v>
      </c>
      <c r="J95" s="88">
        <f>230-70</f>
        <v>160</v>
      </c>
      <c r="K95" s="88">
        <f>230-85</f>
        <v>145</v>
      </c>
      <c r="L95" s="88">
        <v>220</v>
      </c>
      <c r="M95" s="88">
        <v>120</v>
      </c>
      <c r="N95" s="88">
        <v>120</v>
      </c>
      <c r="O95" s="88">
        <v>120</v>
      </c>
      <c r="P95" s="88">
        <v>120</v>
      </c>
      <c r="Q95" s="88">
        <v>120</v>
      </c>
      <c r="R95" s="88">
        <v>60</v>
      </c>
      <c r="S95" s="88">
        <v>0</v>
      </c>
      <c r="T95" s="88">
        <v>0</v>
      </c>
      <c r="U95" s="88">
        <v>80</v>
      </c>
      <c r="V95" s="88">
        <v>20</v>
      </c>
      <c r="W95" s="88">
        <v>70</v>
      </c>
      <c r="X95" s="88">
        <v>85</v>
      </c>
      <c r="Y95" s="88">
        <v>220</v>
      </c>
      <c r="Z95" s="9">
        <v>0</v>
      </c>
      <c r="AA95" s="9">
        <v>0</v>
      </c>
      <c r="AB95" s="9">
        <v>0</v>
      </c>
      <c r="AC95" s="9">
        <v>0</v>
      </c>
      <c r="AD95" s="53" t="e">
        <f>#REF!*D95</f>
        <v>#REF!</v>
      </c>
      <c r="AE95" s="53" t="e">
        <f>AD95-#REF!</f>
        <v>#REF!</v>
      </c>
      <c r="AF95" s="9"/>
      <c r="AG95" s="33" t="e">
        <f>#REF!-D95</f>
        <v>#REF!</v>
      </c>
      <c r="AH95" s="9"/>
      <c r="AI95" s="9"/>
      <c r="AJ95" s="9"/>
      <c r="AK95" s="9"/>
    </row>
    <row r="96" spans="1:37" s="12" customFormat="1" ht="22.8" outlineLevel="1" x14ac:dyDescent="0.2">
      <c r="A96" s="61" t="s">
        <v>634</v>
      </c>
      <c r="B96" s="14" t="s">
        <v>299</v>
      </c>
      <c r="C96" s="9" t="s">
        <v>48</v>
      </c>
      <c r="D96" s="25">
        <f>SUM(G96:AC96)</f>
        <v>750</v>
      </c>
      <c r="E96" s="54"/>
      <c r="F96" s="9"/>
      <c r="G96" s="33">
        <v>0</v>
      </c>
      <c r="H96" s="33">
        <v>70</v>
      </c>
      <c r="I96" s="9">
        <v>100</v>
      </c>
      <c r="J96" s="9">
        <v>70</v>
      </c>
      <c r="K96" s="9">
        <v>60</v>
      </c>
      <c r="L96" s="9">
        <v>50</v>
      </c>
      <c r="M96" s="9">
        <v>50</v>
      </c>
      <c r="N96" s="9">
        <v>50</v>
      </c>
      <c r="O96" s="9">
        <v>50</v>
      </c>
      <c r="P96" s="9">
        <v>50</v>
      </c>
      <c r="Q96" s="9">
        <v>50</v>
      </c>
      <c r="R96" s="9">
        <v>50</v>
      </c>
      <c r="S96" s="9">
        <v>0</v>
      </c>
      <c r="T96" s="9">
        <v>0</v>
      </c>
      <c r="U96" s="33">
        <v>30</v>
      </c>
      <c r="V96" s="9">
        <v>0</v>
      </c>
      <c r="W96" s="9">
        <v>30</v>
      </c>
      <c r="X96" s="9">
        <v>40</v>
      </c>
      <c r="Y96" s="9">
        <v>0</v>
      </c>
      <c r="Z96" s="9">
        <v>0</v>
      </c>
      <c r="AA96" s="9">
        <v>0</v>
      </c>
      <c r="AB96" s="9">
        <v>0</v>
      </c>
      <c r="AC96" s="9">
        <v>0</v>
      </c>
      <c r="AD96" s="53" t="e">
        <f>#REF!*D96</f>
        <v>#REF!</v>
      </c>
      <c r="AE96" s="53" t="e">
        <f>AD96-#REF!</f>
        <v>#REF!</v>
      </c>
      <c r="AF96" s="9"/>
      <c r="AG96" s="33" t="e">
        <f>#REF!-D96</f>
        <v>#REF!</v>
      </c>
      <c r="AH96" s="9"/>
      <c r="AI96" s="9"/>
      <c r="AJ96" s="9"/>
      <c r="AK96" s="9"/>
    </row>
    <row r="97" spans="1:37" s="12" customFormat="1" ht="10.199999999999999" outlineLevel="1" x14ac:dyDescent="0.2">
      <c r="A97" s="61"/>
      <c r="B97" s="14"/>
      <c r="C97" s="9"/>
      <c r="D97" s="25"/>
      <c r="E97" s="29"/>
      <c r="F97" s="9"/>
      <c r="G97" s="49"/>
      <c r="H97" s="49"/>
      <c r="I97" s="49"/>
      <c r="J97" s="49"/>
      <c r="K97" s="49"/>
      <c r="L97" s="49"/>
      <c r="M97" s="49"/>
      <c r="N97" s="49"/>
      <c r="O97" s="49"/>
      <c r="P97" s="49"/>
      <c r="Q97" s="49"/>
      <c r="R97" s="49"/>
      <c r="S97" s="49"/>
      <c r="T97" s="49"/>
      <c r="U97" s="49"/>
      <c r="V97" s="49"/>
      <c r="W97" s="49"/>
      <c r="X97" s="49"/>
      <c r="Y97" s="49"/>
      <c r="Z97" s="49"/>
      <c r="AA97" s="49"/>
      <c r="AB97" s="49"/>
      <c r="AC97" s="49"/>
      <c r="AD97" s="53" t="e">
        <f>#REF!*D97</f>
        <v>#REF!</v>
      </c>
      <c r="AE97" s="53" t="e">
        <f>AD97-#REF!</f>
        <v>#REF!</v>
      </c>
      <c r="AF97" s="9"/>
      <c r="AG97" s="33" t="e">
        <f>#REF!-D97</f>
        <v>#REF!</v>
      </c>
      <c r="AH97" s="9"/>
      <c r="AI97" s="9"/>
      <c r="AJ97" s="9"/>
      <c r="AK97" s="9"/>
    </row>
    <row r="98" spans="1:37" x14ac:dyDescent="0.25">
      <c r="A98" s="18" t="s">
        <v>9</v>
      </c>
      <c r="B98" s="35" t="s">
        <v>380</v>
      </c>
      <c r="C98" s="18" t="s">
        <v>41</v>
      </c>
      <c r="D98" s="52" t="e">
        <f>#REF!/#REF!*100</f>
        <v>#REF!</v>
      </c>
      <c r="E98" s="54"/>
      <c r="AB98" s="214" t="s">
        <v>375</v>
      </c>
      <c r="AD98" s="53" t="e">
        <f>#REF!*D98</f>
        <v>#REF!</v>
      </c>
      <c r="AE98" s="53" t="e">
        <f>AD98-#REF!</f>
        <v>#REF!</v>
      </c>
      <c r="AG98" s="33" t="e">
        <f>#REF!-D98</f>
        <v>#REF!</v>
      </c>
    </row>
    <row r="99" spans="1:37" s="72" customFormat="1" ht="20.399999999999999" outlineLevel="1" x14ac:dyDescent="0.25">
      <c r="A99" s="61" t="s">
        <v>714</v>
      </c>
      <c r="B99" s="47" t="s">
        <v>482</v>
      </c>
      <c r="C99" s="9" t="s">
        <v>48</v>
      </c>
      <c r="D99" s="25">
        <f>SUM(G99:AC99)*3</f>
        <v>1830</v>
      </c>
      <c r="E99" s="54"/>
      <c r="F99" s="78"/>
      <c r="G99" s="33">
        <v>0</v>
      </c>
      <c r="H99" s="33">
        <f>122</f>
        <v>122</v>
      </c>
      <c r="I99" s="9">
        <f>25-7</f>
        <v>18</v>
      </c>
      <c r="J99" s="9">
        <v>13</v>
      </c>
      <c r="K99" s="9">
        <f>21-7</f>
        <v>14</v>
      </c>
      <c r="L99" s="9">
        <f>51-19</f>
        <v>32</v>
      </c>
      <c r="M99" s="9">
        <v>31</v>
      </c>
      <c r="N99" s="9">
        <v>31</v>
      </c>
      <c r="O99" s="9">
        <v>35</v>
      </c>
      <c r="P99" s="9">
        <v>23</v>
      </c>
      <c r="Q99" s="9">
        <v>23</v>
      </c>
      <c r="R99" s="9">
        <v>12</v>
      </c>
      <c r="S99" s="9">
        <v>0</v>
      </c>
      <c r="T99" s="9">
        <v>0</v>
      </c>
      <c r="U99" s="33">
        <v>63</v>
      </c>
      <c r="V99" s="9">
        <v>37</v>
      </c>
      <c r="W99" s="9">
        <v>52</v>
      </c>
      <c r="X99" s="9">
        <v>25</v>
      </c>
      <c r="Y99" s="9">
        <v>22</v>
      </c>
      <c r="Z99" s="9">
        <v>17</v>
      </c>
      <c r="AA99" s="9">
        <v>21</v>
      </c>
      <c r="AB99" s="9">
        <v>19</v>
      </c>
      <c r="AC99" s="9">
        <v>0</v>
      </c>
      <c r="AD99" s="53" t="e">
        <f>#REF!*D99</f>
        <v>#REF!</v>
      </c>
      <c r="AE99" s="53" t="e">
        <f>AD99-#REF!</f>
        <v>#REF!</v>
      </c>
      <c r="AF99" s="9"/>
      <c r="AG99" s="33" t="e">
        <f>#REF!-D99</f>
        <v>#REF!</v>
      </c>
      <c r="AH99" s="9"/>
      <c r="AI99" s="9"/>
      <c r="AJ99" s="9"/>
      <c r="AK99" s="9"/>
    </row>
    <row r="100" spans="1:37" s="12" customFormat="1" ht="20.399999999999999" outlineLevel="1" x14ac:dyDescent="0.2">
      <c r="A100" s="61" t="s">
        <v>715</v>
      </c>
      <c r="B100" s="47" t="s">
        <v>407</v>
      </c>
      <c r="C100" s="9" t="s">
        <v>48</v>
      </c>
      <c r="D100" s="25">
        <f>SUM(G100:AC100)*3</f>
        <v>123</v>
      </c>
      <c r="E100" s="54"/>
      <c r="F100" s="78"/>
      <c r="G100" s="33">
        <v>0</v>
      </c>
      <c r="H100" s="33">
        <v>4</v>
      </c>
      <c r="I100" s="9">
        <v>0</v>
      </c>
      <c r="J100" s="9">
        <v>0</v>
      </c>
      <c r="K100" s="9">
        <v>4</v>
      </c>
      <c r="L100" s="9">
        <v>3</v>
      </c>
      <c r="M100" s="9">
        <v>4</v>
      </c>
      <c r="N100" s="9">
        <v>4</v>
      </c>
      <c r="O100" s="9">
        <v>0</v>
      </c>
      <c r="P100" s="9">
        <v>0</v>
      </c>
      <c r="Q100" s="9">
        <v>0</v>
      </c>
      <c r="R100" s="9">
        <v>0</v>
      </c>
      <c r="S100" s="9">
        <v>0</v>
      </c>
      <c r="T100" s="9">
        <v>0</v>
      </c>
      <c r="U100" s="33">
        <v>0</v>
      </c>
      <c r="V100" s="9">
        <f>24/3</f>
        <v>8</v>
      </c>
      <c r="W100" s="9">
        <f>15/3</f>
        <v>5</v>
      </c>
      <c r="X100" s="9">
        <v>3</v>
      </c>
      <c r="Y100" s="9">
        <v>3</v>
      </c>
      <c r="Z100" s="9">
        <v>0</v>
      </c>
      <c r="AA100" s="9">
        <v>3</v>
      </c>
      <c r="AB100" s="9">
        <v>0</v>
      </c>
      <c r="AC100" s="9">
        <v>0</v>
      </c>
      <c r="AD100" s="53" t="e">
        <f>#REF!*D100</f>
        <v>#REF!</v>
      </c>
      <c r="AE100" s="53" t="e">
        <f>AD100-#REF!</f>
        <v>#REF!</v>
      </c>
      <c r="AF100" s="9"/>
      <c r="AG100" s="33" t="e">
        <f>#REF!-D100</f>
        <v>#REF!</v>
      </c>
      <c r="AH100" s="9"/>
      <c r="AI100" s="9"/>
      <c r="AJ100" s="9"/>
      <c r="AK100" s="9"/>
    </row>
    <row r="101" spans="1:37" s="17" customFormat="1" ht="20.399999999999999" outlineLevel="1" x14ac:dyDescent="0.2">
      <c r="A101" s="61" t="s">
        <v>716</v>
      </c>
      <c r="B101" s="47" t="s">
        <v>483</v>
      </c>
      <c r="C101" s="9" t="s">
        <v>48</v>
      </c>
      <c r="D101" s="25">
        <f>SUM(G101:AC101)*3</f>
        <v>141</v>
      </c>
      <c r="E101" s="54"/>
      <c r="F101" s="9"/>
      <c r="G101" s="33">
        <v>0</v>
      </c>
      <c r="H101" s="33">
        <f>7</f>
        <v>7</v>
      </c>
      <c r="I101" s="9">
        <f>48/3</f>
        <v>16</v>
      </c>
      <c r="J101" s="9">
        <v>2</v>
      </c>
      <c r="K101" s="9">
        <v>2</v>
      </c>
      <c r="L101" s="9">
        <v>0</v>
      </c>
      <c r="M101" s="9">
        <v>0</v>
      </c>
      <c r="N101" s="9">
        <v>0</v>
      </c>
      <c r="O101" s="9">
        <v>0</v>
      </c>
      <c r="P101" s="9">
        <v>0</v>
      </c>
      <c r="Q101" s="9">
        <v>0</v>
      </c>
      <c r="R101" s="9">
        <v>0</v>
      </c>
      <c r="S101" s="9">
        <v>0</v>
      </c>
      <c r="T101" s="9">
        <v>0</v>
      </c>
      <c r="U101" s="33">
        <f>8</f>
        <v>8</v>
      </c>
      <c r="V101" s="9">
        <v>0</v>
      </c>
      <c r="W101" s="9">
        <v>0</v>
      </c>
      <c r="X101" s="9">
        <v>0</v>
      </c>
      <c r="Y101" s="9">
        <v>0</v>
      </c>
      <c r="Z101" s="9">
        <v>0</v>
      </c>
      <c r="AA101" s="9">
        <v>0</v>
      </c>
      <c r="AB101" s="9">
        <f>36/3</f>
        <v>12</v>
      </c>
      <c r="AC101" s="9">
        <v>0</v>
      </c>
      <c r="AD101" s="53" t="e">
        <f>#REF!*D101</f>
        <v>#REF!</v>
      </c>
      <c r="AE101" s="53" t="e">
        <f>AD101-#REF!</f>
        <v>#REF!</v>
      </c>
      <c r="AF101" s="9"/>
      <c r="AG101" s="33" t="e">
        <f>#REF!-D101</f>
        <v>#REF!</v>
      </c>
      <c r="AH101" s="9"/>
      <c r="AI101" s="9"/>
      <c r="AJ101" s="9"/>
      <c r="AK101" s="9"/>
    </row>
    <row r="102" spans="1:37" s="17" customFormat="1" ht="20.399999999999999" outlineLevel="1" x14ac:dyDescent="0.2">
      <c r="A102" s="61" t="s">
        <v>717</v>
      </c>
      <c r="B102" s="47" t="s">
        <v>484</v>
      </c>
      <c r="C102" s="9" t="s">
        <v>48</v>
      </c>
      <c r="D102" s="25">
        <f>SUM(G102:AC102)*3</f>
        <v>72</v>
      </c>
      <c r="E102" s="54"/>
      <c r="F102" s="9"/>
      <c r="G102" s="33">
        <v>0</v>
      </c>
      <c r="H102" s="33">
        <f>36/3/2</f>
        <v>6</v>
      </c>
      <c r="I102" s="9">
        <f>36/3</f>
        <v>12</v>
      </c>
      <c r="J102" s="9">
        <v>0</v>
      </c>
      <c r="K102" s="9">
        <v>0</v>
      </c>
      <c r="L102" s="9">
        <v>0</v>
      </c>
      <c r="M102" s="9">
        <v>0</v>
      </c>
      <c r="N102" s="9">
        <v>0</v>
      </c>
      <c r="O102" s="9">
        <v>0</v>
      </c>
      <c r="P102" s="9">
        <v>0</v>
      </c>
      <c r="Q102" s="9">
        <v>0</v>
      </c>
      <c r="R102" s="9">
        <v>0</v>
      </c>
      <c r="S102" s="9">
        <v>0</v>
      </c>
      <c r="T102" s="9">
        <v>0</v>
      </c>
      <c r="U102" s="33">
        <f>36/3/2</f>
        <v>6</v>
      </c>
      <c r="V102" s="9">
        <v>0</v>
      </c>
      <c r="W102" s="9">
        <v>0</v>
      </c>
      <c r="X102" s="9">
        <v>0</v>
      </c>
      <c r="Y102" s="9">
        <v>0</v>
      </c>
      <c r="Z102" s="9">
        <v>0</v>
      </c>
      <c r="AA102" s="9">
        <v>0</v>
      </c>
      <c r="AB102" s="9">
        <v>0</v>
      </c>
      <c r="AC102" s="9">
        <v>0</v>
      </c>
      <c r="AD102" s="53" t="e">
        <f>#REF!*D102</f>
        <v>#REF!</v>
      </c>
      <c r="AE102" s="53" t="e">
        <f>AD102-#REF!</f>
        <v>#REF!</v>
      </c>
      <c r="AF102" s="9"/>
      <c r="AG102" s="33" t="e">
        <f>#REF!-D102</f>
        <v>#REF!</v>
      </c>
      <c r="AH102" s="9"/>
      <c r="AI102" s="9"/>
      <c r="AJ102" s="9"/>
      <c r="AK102" s="9"/>
    </row>
    <row r="103" spans="1:37" s="12" customFormat="1" ht="20.399999999999999" outlineLevel="1" x14ac:dyDescent="0.2">
      <c r="A103" s="61" t="s">
        <v>718</v>
      </c>
      <c r="B103" s="14" t="s">
        <v>60</v>
      </c>
      <c r="C103" s="9" t="s">
        <v>47</v>
      </c>
      <c r="D103" s="25">
        <f t="shared" ref="D103:D134" si="28">SUM(G103:AC103)</f>
        <v>320</v>
      </c>
      <c r="E103" s="54"/>
      <c r="F103" s="78"/>
      <c r="G103" s="33">
        <v>0</v>
      </c>
      <c r="H103" s="33">
        <f>47+20+8</f>
        <v>75</v>
      </c>
      <c r="I103" s="9">
        <v>18</v>
      </c>
      <c r="J103" s="9">
        <v>9</v>
      </c>
      <c r="K103" s="9">
        <v>19</v>
      </c>
      <c r="L103" s="9">
        <f>19</f>
        <v>19</v>
      </c>
      <c r="M103" s="9">
        <v>2</v>
      </c>
      <c r="N103" s="9">
        <v>2</v>
      </c>
      <c r="O103" s="9">
        <v>11</v>
      </c>
      <c r="P103" s="9">
        <v>12</v>
      </c>
      <c r="Q103" s="9">
        <v>12</v>
      </c>
      <c r="R103" s="9">
        <v>6</v>
      </c>
      <c r="S103" s="9">
        <v>0</v>
      </c>
      <c r="T103" s="9">
        <v>0</v>
      </c>
      <c r="U103" s="33">
        <v>26</v>
      </c>
      <c r="V103" s="9">
        <v>20</v>
      </c>
      <c r="W103" s="9">
        <v>32</v>
      </c>
      <c r="X103" s="9">
        <v>12</v>
      </c>
      <c r="Y103" s="9">
        <v>10</v>
      </c>
      <c r="Z103" s="9">
        <v>15</v>
      </c>
      <c r="AA103" s="9">
        <v>14</v>
      </c>
      <c r="AB103" s="9">
        <v>6</v>
      </c>
      <c r="AC103" s="9">
        <v>0</v>
      </c>
      <c r="AD103" s="53" t="e">
        <f>#REF!*D103</f>
        <v>#REF!</v>
      </c>
      <c r="AE103" s="53" t="e">
        <f>AD103-#REF!</f>
        <v>#REF!</v>
      </c>
      <c r="AF103" s="9"/>
      <c r="AG103" s="33" t="e">
        <f>#REF!-D103</f>
        <v>#REF!</v>
      </c>
      <c r="AH103" s="9"/>
      <c r="AI103" s="9"/>
      <c r="AJ103" s="9"/>
      <c r="AK103" s="9"/>
    </row>
    <row r="104" spans="1:37" s="12" customFormat="1" ht="20.399999999999999" outlineLevel="1" x14ac:dyDescent="0.2">
      <c r="A104" s="61" t="s">
        <v>719</v>
      </c>
      <c r="B104" s="14" t="s">
        <v>61</v>
      </c>
      <c r="C104" s="9" t="s">
        <v>47</v>
      </c>
      <c r="D104" s="25">
        <f t="shared" si="28"/>
        <v>20</v>
      </c>
      <c r="E104" s="54"/>
      <c r="F104" s="78"/>
      <c r="G104" s="33">
        <v>0</v>
      </c>
      <c r="H104" s="33">
        <v>2</v>
      </c>
      <c r="I104" s="9">
        <v>0</v>
      </c>
      <c r="J104" s="9">
        <v>0</v>
      </c>
      <c r="K104" s="9">
        <v>1</v>
      </c>
      <c r="L104" s="9">
        <v>1</v>
      </c>
      <c r="M104" s="9">
        <v>1</v>
      </c>
      <c r="N104" s="9">
        <v>1</v>
      </c>
      <c r="O104" s="9">
        <v>0</v>
      </c>
      <c r="P104" s="9">
        <v>0</v>
      </c>
      <c r="Q104" s="9">
        <v>0</v>
      </c>
      <c r="R104" s="9">
        <v>0</v>
      </c>
      <c r="S104" s="9">
        <v>0</v>
      </c>
      <c r="T104" s="9">
        <v>0</v>
      </c>
      <c r="U104" s="33">
        <v>0</v>
      </c>
      <c r="V104" s="9">
        <v>4</v>
      </c>
      <c r="W104" s="9">
        <v>4</v>
      </c>
      <c r="X104" s="9">
        <v>2</v>
      </c>
      <c r="Y104" s="9">
        <v>2</v>
      </c>
      <c r="Z104" s="9">
        <v>0</v>
      </c>
      <c r="AA104" s="9">
        <v>2</v>
      </c>
      <c r="AB104" s="9">
        <v>0</v>
      </c>
      <c r="AC104" s="9">
        <v>0</v>
      </c>
      <c r="AD104" s="53" t="e">
        <f>#REF!*D104</f>
        <v>#REF!</v>
      </c>
      <c r="AE104" s="53" t="e">
        <f>AD104-#REF!</f>
        <v>#REF!</v>
      </c>
      <c r="AF104" s="9"/>
      <c r="AG104" s="33" t="e">
        <f>#REF!-D104</f>
        <v>#REF!</v>
      </c>
      <c r="AH104" s="9"/>
      <c r="AI104" s="9"/>
      <c r="AJ104" s="9"/>
      <c r="AK104" s="9"/>
    </row>
    <row r="105" spans="1:37" s="12" customFormat="1" ht="20.399999999999999" outlineLevel="1" x14ac:dyDescent="0.2">
      <c r="A105" s="61" t="s">
        <v>720</v>
      </c>
      <c r="B105" s="14" t="s">
        <v>216</v>
      </c>
      <c r="C105" s="9" t="s">
        <v>47</v>
      </c>
      <c r="D105" s="25">
        <f t="shared" si="28"/>
        <v>11</v>
      </c>
      <c r="E105" s="54"/>
      <c r="F105" s="78"/>
      <c r="G105" s="33">
        <v>0</v>
      </c>
      <c r="H105" s="33">
        <v>1</v>
      </c>
      <c r="I105" s="9">
        <v>1</v>
      </c>
      <c r="J105" s="9">
        <v>1</v>
      </c>
      <c r="K105" s="9">
        <v>1</v>
      </c>
      <c r="L105" s="9">
        <v>0</v>
      </c>
      <c r="M105" s="9">
        <v>0</v>
      </c>
      <c r="N105" s="9">
        <v>0</v>
      </c>
      <c r="O105" s="9">
        <v>0</v>
      </c>
      <c r="P105" s="9">
        <v>0</v>
      </c>
      <c r="Q105" s="9">
        <v>0</v>
      </c>
      <c r="R105" s="9">
        <v>0</v>
      </c>
      <c r="S105" s="9">
        <v>0</v>
      </c>
      <c r="T105" s="9">
        <v>0</v>
      </c>
      <c r="U105" s="33">
        <v>3</v>
      </c>
      <c r="V105" s="9">
        <v>0</v>
      </c>
      <c r="W105" s="9">
        <v>0</v>
      </c>
      <c r="X105" s="9">
        <v>0</v>
      </c>
      <c r="Y105" s="9">
        <v>0</v>
      </c>
      <c r="Z105" s="9">
        <v>0</v>
      </c>
      <c r="AA105" s="9">
        <v>0</v>
      </c>
      <c r="AB105" s="9">
        <v>4</v>
      </c>
      <c r="AC105" s="9">
        <v>0</v>
      </c>
      <c r="AD105" s="53" t="e">
        <f>#REF!*D105</f>
        <v>#REF!</v>
      </c>
      <c r="AE105" s="53" t="e">
        <f>AD105-#REF!</f>
        <v>#REF!</v>
      </c>
      <c r="AF105" s="9"/>
      <c r="AG105" s="33" t="e">
        <f>#REF!-D105</f>
        <v>#REF!</v>
      </c>
      <c r="AH105" s="9"/>
      <c r="AI105" s="9"/>
      <c r="AJ105" s="9"/>
      <c r="AK105" s="9"/>
    </row>
    <row r="106" spans="1:37" s="12" customFormat="1" ht="20.399999999999999" outlineLevel="1" x14ac:dyDescent="0.2">
      <c r="A106" s="61" t="s">
        <v>721</v>
      </c>
      <c r="B106" s="14" t="s">
        <v>62</v>
      </c>
      <c r="C106" s="9" t="s">
        <v>47</v>
      </c>
      <c r="D106" s="25">
        <f t="shared" si="28"/>
        <v>5</v>
      </c>
      <c r="E106" s="54"/>
      <c r="F106" s="78"/>
      <c r="G106" s="33">
        <v>0</v>
      </c>
      <c r="H106" s="33">
        <v>2</v>
      </c>
      <c r="I106" s="9">
        <v>1</v>
      </c>
      <c r="J106" s="9">
        <v>0</v>
      </c>
      <c r="K106" s="9">
        <v>0</v>
      </c>
      <c r="L106" s="9">
        <v>0</v>
      </c>
      <c r="M106" s="9">
        <v>0</v>
      </c>
      <c r="N106" s="9">
        <v>0</v>
      </c>
      <c r="O106" s="9">
        <v>0</v>
      </c>
      <c r="P106" s="9">
        <v>0</v>
      </c>
      <c r="Q106" s="9">
        <v>0</v>
      </c>
      <c r="R106" s="9">
        <v>0</v>
      </c>
      <c r="S106" s="9">
        <v>0</v>
      </c>
      <c r="T106" s="9">
        <v>0</v>
      </c>
      <c r="U106" s="33">
        <v>2</v>
      </c>
      <c r="V106" s="9">
        <v>0</v>
      </c>
      <c r="W106" s="9">
        <v>0</v>
      </c>
      <c r="X106" s="9">
        <v>0</v>
      </c>
      <c r="Y106" s="9">
        <v>0</v>
      </c>
      <c r="Z106" s="9">
        <v>0</v>
      </c>
      <c r="AA106" s="9">
        <v>0</v>
      </c>
      <c r="AB106" s="9">
        <v>0</v>
      </c>
      <c r="AC106" s="9">
        <v>0</v>
      </c>
      <c r="AD106" s="53" t="e">
        <f>#REF!*D106</f>
        <v>#REF!</v>
      </c>
      <c r="AE106" s="53" t="e">
        <f>AD106-#REF!</f>
        <v>#REF!</v>
      </c>
      <c r="AF106" s="9"/>
      <c r="AG106" s="33" t="e">
        <f>#REF!-D106</f>
        <v>#REF!</v>
      </c>
      <c r="AH106" s="9"/>
      <c r="AI106" s="9"/>
      <c r="AJ106" s="9"/>
      <c r="AK106" s="9"/>
    </row>
    <row r="107" spans="1:37" s="12" customFormat="1" ht="20.399999999999999" outlineLevel="1" collapsed="1" x14ac:dyDescent="0.2">
      <c r="A107" s="61" t="s">
        <v>722</v>
      </c>
      <c r="B107" s="14" t="s">
        <v>64</v>
      </c>
      <c r="C107" s="9" t="s">
        <v>47</v>
      </c>
      <c r="D107" s="25">
        <f t="shared" si="28"/>
        <v>930</v>
      </c>
      <c r="E107" s="54"/>
      <c r="F107" s="78"/>
      <c r="G107" s="88">
        <f t="shared" ref="G107:AC107" si="29">G103+G99</f>
        <v>0</v>
      </c>
      <c r="H107" s="88">
        <f t="shared" si="29"/>
        <v>197</v>
      </c>
      <c r="I107" s="88">
        <f t="shared" si="29"/>
        <v>36</v>
      </c>
      <c r="J107" s="88">
        <f t="shared" si="29"/>
        <v>22</v>
      </c>
      <c r="K107" s="88">
        <f t="shared" si="29"/>
        <v>33</v>
      </c>
      <c r="L107" s="88">
        <f t="shared" si="29"/>
        <v>51</v>
      </c>
      <c r="M107" s="88">
        <f t="shared" si="29"/>
        <v>33</v>
      </c>
      <c r="N107" s="88">
        <f t="shared" si="29"/>
        <v>33</v>
      </c>
      <c r="O107" s="88">
        <f t="shared" si="29"/>
        <v>46</v>
      </c>
      <c r="P107" s="88">
        <f t="shared" si="29"/>
        <v>35</v>
      </c>
      <c r="Q107" s="88">
        <f t="shared" si="29"/>
        <v>35</v>
      </c>
      <c r="R107" s="88">
        <f t="shared" si="29"/>
        <v>18</v>
      </c>
      <c r="S107" s="88">
        <f t="shared" si="29"/>
        <v>0</v>
      </c>
      <c r="T107" s="88">
        <f t="shared" si="29"/>
        <v>0</v>
      </c>
      <c r="U107" s="88">
        <f t="shared" si="29"/>
        <v>89</v>
      </c>
      <c r="V107" s="88">
        <f t="shared" si="29"/>
        <v>57</v>
      </c>
      <c r="W107" s="88">
        <f t="shared" si="29"/>
        <v>84</v>
      </c>
      <c r="X107" s="88">
        <f t="shared" si="29"/>
        <v>37</v>
      </c>
      <c r="Y107" s="88">
        <f t="shared" si="29"/>
        <v>32</v>
      </c>
      <c r="Z107" s="88">
        <f t="shared" si="29"/>
        <v>32</v>
      </c>
      <c r="AA107" s="88">
        <f t="shared" si="29"/>
        <v>35</v>
      </c>
      <c r="AB107" s="88">
        <f t="shared" si="29"/>
        <v>25</v>
      </c>
      <c r="AC107" s="88">
        <f t="shared" si="29"/>
        <v>0</v>
      </c>
      <c r="AD107" s="53" t="e">
        <f>#REF!*D107</f>
        <v>#REF!</v>
      </c>
      <c r="AE107" s="53" t="e">
        <f>AD107-#REF!</f>
        <v>#REF!</v>
      </c>
      <c r="AF107" s="49"/>
      <c r="AG107" s="33" t="e">
        <f>#REF!-D107</f>
        <v>#REF!</v>
      </c>
      <c r="AH107" s="9"/>
      <c r="AI107" s="9"/>
      <c r="AJ107" s="9"/>
      <c r="AK107" s="9"/>
    </row>
    <row r="108" spans="1:37" s="12" customFormat="1" ht="20.399999999999999" outlineLevel="1" x14ac:dyDescent="0.2">
      <c r="A108" s="61" t="s">
        <v>723</v>
      </c>
      <c r="B108" s="14" t="s">
        <v>65</v>
      </c>
      <c r="C108" s="9" t="s">
        <v>47</v>
      </c>
      <c r="D108" s="25">
        <f t="shared" si="28"/>
        <v>61</v>
      </c>
      <c r="E108" s="54"/>
      <c r="F108" s="78"/>
      <c r="G108" s="88">
        <f t="shared" ref="G108:AC108" si="30">G104+G100</f>
        <v>0</v>
      </c>
      <c r="H108" s="88">
        <f t="shared" si="30"/>
        <v>6</v>
      </c>
      <c r="I108" s="88">
        <f t="shared" si="30"/>
        <v>0</v>
      </c>
      <c r="J108" s="88">
        <f t="shared" si="30"/>
        <v>0</v>
      </c>
      <c r="K108" s="88">
        <f t="shared" si="30"/>
        <v>5</v>
      </c>
      <c r="L108" s="88">
        <f t="shared" si="30"/>
        <v>4</v>
      </c>
      <c r="M108" s="88">
        <f t="shared" si="30"/>
        <v>5</v>
      </c>
      <c r="N108" s="88">
        <f t="shared" si="30"/>
        <v>5</v>
      </c>
      <c r="O108" s="88">
        <f t="shared" si="30"/>
        <v>0</v>
      </c>
      <c r="P108" s="88">
        <f t="shared" si="30"/>
        <v>0</v>
      </c>
      <c r="Q108" s="88">
        <f t="shared" si="30"/>
        <v>0</v>
      </c>
      <c r="R108" s="88">
        <f t="shared" si="30"/>
        <v>0</v>
      </c>
      <c r="S108" s="88">
        <f t="shared" si="30"/>
        <v>0</v>
      </c>
      <c r="T108" s="88">
        <f t="shared" si="30"/>
        <v>0</v>
      </c>
      <c r="U108" s="88">
        <f t="shared" si="30"/>
        <v>0</v>
      </c>
      <c r="V108" s="88">
        <f t="shared" si="30"/>
        <v>12</v>
      </c>
      <c r="W108" s="88">
        <f t="shared" si="30"/>
        <v>9</v>
      </c>
      <c r="X108" s="88">
        <f t="shared" si="30"/>
        <v>5</v>
      </c>
      <c r="Y108" s="88">
        <f t="shared" si="30"/>
        <v>5</v>
      </c>
      <c r="Z108" s="88">
        <f t="shared" si="30"/>
        <v>0</v>
      </c>
      <c r="AA108" s="88">
        <f t="shared" si="30"/>
        <v>5</v>
      </c>
      <c r="AB108" s="88">
        <f t="shared" si="30"/>
        <v>0</v>
      </c>
      <c r="AC108" s="88">
        <f t="shared" si="30"/>
        <v>0</v>
      </c>
      <c r="AD108" s="53" t="e">
        <f>#REF!*D108</f>
        <v>#REF!</v>
      </c>
      <c r="AE108" s="53" t="e">
        <f>AD108-#REF!</f>
        <v>#REF!</v>
      </c>
      <c r="AF108" s="49"/>
      <c r="AG108" s="33" t="e">
        <f>#REF!-D108</f>
        <v>#REF!</v>
      </c>
      <c r="AH108" s="9"/>
      <c r="AI108" s="9"/>
      <c r="AJ108" s="9"/>
      <c r="AK108" s="9"/>
    </row>
    <row r="109" spans="1:37" s="12" customFormat="1" ht="20.399999999999999" outlineLevel="1" x14ac:dyDescent="0.2">
      <c r="A109" s="61" t="s">
        <v>724</v>
      </c>
      <c r="B109" s="14" t="s">
        <v>217</v>
      </c>
      <c r="C109" s="9" t="s">
        <v>47</v>
      </c>
      <c r="D109" s="25">
        <f t="shared" si="28"/>
        <v>58</v>
      </c>
      <c r="E109" s="54"/>
      <c r="F109" s="78"/>
      <c r="G109" s="88">
        <f t="shared" ref="G109:AC109" si="31">G105+G101</f>
        <v>0</v>
      </c>
      <c r="H109" s="88">
        <f t="shared" si="31"/>
        <v>8</v>
      </c>
      <c r="I109" s="88">
        <f t="shared" si="31"/>
        <v>17</v>
      </c>
      <c r="J109" s="88">
        <f t="shared" si="31"/>
        <v>3</v>
      </c>
      <c r="K109" s="88">
        <f t="shared" si="31"/>
        <v>3</v>
      </c>
      <c r="L109" s="88">
        <f t="shared" si="31"/>
        <v>0</v>
      </c>
      <c r="M109" s="88">
        <f t="shared" si="31"/>
        <v>0</v>
      </c>
      <c r="N109" s="88">
        <f t="shared" si="31"/>
        <v>0</v>
      </c>
      <c r="O109" s="88">
        <f t="shared" si="31"/>
        <v>0</v>
      </c>
      <c r="P109" s="88">
        <f t="shared" si="31"/>
        <v>0</v>
      </c>
      <c r="Q109" s="88">
        <f t="shared" si="31"/>
        <v>0</v>
      </c>
      <c r="R109" s="88">
        <f t="shared" si="31"/>
        <v>0</v>
      </c>
      <c r="S109" s="88">
        <f t="shared" si="31"/>
        <v>0</v>
      </c>
      <c r="T109" s="88">
        <f t="shared" si="31"/>
        <v>0</v>
      </c>
      <c r="U109" s="88">
        <f t="shared" si="31"/>
        <v>11</v>
      </c>
      <c r="V109" s="88">
        <f t="shared" si="31"/>
        <v>0</v>
      </c>
      <c r="W109" s="88">
        <f t="shared" si="31"/>
        <v>0</v>
      </c>
      <c r="X109" s="88">
        <f t="shared" si="31"/>
        <v>0</v>
      </c>
      <c r="Y109" s="88">
        <f t="shared" si="31"/>
        <v>0</v>
      </c>
      <c r="Z109" s="88">
        <f t="shared" si="31"/>
        <v>0</v>
      </c>
      <c r="AA109" s="88">
        <f t="shared" si="31"/>
        <v>0</v>
      </c>
      <c r="AB109" s="88">
        <f t="shared" si="31"/>
        <v>16</v>
      </c>
      <c r="AC109" s="88">
        <f t="shared" si="31"/>
        <v>0</v>
      </c>
      <c r="AD109" s="53" t="e">
        <f>#REF!*D109</f>
        <v>#REF!</v>
      </c>
      <c r="AE109" s="53" t="e">
        <f>AD109-#REF!</f>
        <v>#REF!</v>
      </c>
      <c r="AF109" s="49"/>
      <c r="AG109" s="33" t="e">
        <f>#REF!-D109</f>
        <v>#REF!</v>
      </c>
      <c r="AH109" s="9"/>
      <c r="AI109" s="9"/>
      <c r="AJ109" s="9"/>
      <c r="AK109" s="9"/>
    </row>
    <row r="110" spans="1:37" s="12" customFormat="1" ht="20.399999999999999" outlineLevel="1" x14ac:dyDescent="0.2">
      <c r="A110" s="61" t="s">
        <v>725</v>
      </c>
      <c r="B110" s="14" t="s">
        <v>66</v>
      </c>
      <c r="C110" s="9" t="s">
        <v>47</v>
      </c>
      <c r="D110" s="25">
        <f t="shared" si="28"/>
        <v>29</v>
      </c>
      <c r="E110" s="54"/>
      <c r="F110" s="78"/>
      <c r="G110" s="88">
        <f t="shared" ref="G110:AC110" si="32">G106+G102</f>
        <v>0</v>
      </c>
      <c r="H110" s="88">
        <f t="shared" si="32"/>
        <v>8</v>
      </c>
      <c r="I110" s="88">
        <f t="shared" si="32"/>
        <v>13</v>
      </c>
      <c r="J110" s="88">
        <f t="shared" si="32"/>
        <v>0</v>
      </c>
      <c r="K110" s="88">
        <f t="shared" si="32"/>
        <v>0</v>
      </c>
      <c r="L110" s="88">
        <f t="shared" si="32"/>
        <v>0</v>
      </c>
      <c r="M110" s="88">
        <f t="shared" si="32"/>
        <v>0</v>
      </c>
      <c r="N110" s="88">
        <f t="shared" si="32"/>
        <v>0</v>
      </c>
      <c r="O110" s="88">
        <f t="shared" si="32"/>
        <v>0</v>
      </c>
      <c r="P110" s="88">
        <f t="shared" si="32"/>
        <v>0</v>
      </c>
      <c r="Q110" s="88">
        <f t="shared" si="32"/>
        <v>0</v>
      </c>
      <c r="R110" s="88">
        <f t="shared" si="32"/>
        <v>0</v>
      </c>
      <c r="S110" s="88">
        <f t="shared" si="32"/>
        <v>0</v>
      </c>
      <c r="T110" s="88">
        <f t="shared" si="32"/>
        <v>0</v>
      </c>
      <c r="U110" s="88">
        <f t="shared" si="32"/>
        <v>8</v>
      </c>
      <c r="V110" s="88">
        <f t="shared" si="32"/>
        <v>0</v>
      </c>
      <c r="W110" s="88">
        <f t="shared" si="32"/>
        <v>0</v>
      </c>
      <c r="X110" s="88">
        <f t="shared" si="32"/>
        <v>0</v>
      </c>
      <c r="Y110" s="88">
        <f t="shared" si="32"/>
        <v>0</v>
      </c>
      <c r="Z110" s="88">
        <f t="shared" si="32"/>
        <v>0</v>
      </c>
      <c r="AA110" s="88">
        <f t="shared" si="32"/>
        <v>0</v>
      </c>
      <c r="AB110" s="88">
        <f t="shared" si="32"/>
        <v>0</v>
      </c>
      <c r="AC110" s="88">
        <f t="shared" si="32"/>
        <v>0</v>
      </c>
      <c r="AD110" s="53" t="e">
        <f>#REF!*D110</f>
        <v>#REF!</v>
      </c>
      <c r="AE110" s="53" t="e">
        <f>AD110-#REF!</f>
        <v>#REF!</v>
      </c>
      <c r="AF110" s="49"/>
      <c r="AG110" s="33" t="e">
        <f>#REF!-D110</f>
        <v>#REF!</v>
      </c>
      <c r="AH110" s="9"/>
      <c r="AI110" s="9"/>
      <c r="AJ110" s="9"/>
      <c r="AK110" s="9"/>
    </row>
    <row r="111" spans="1:37" s="12" customFormat="1" ht="20.399999999999999" outlineLevel="1" x14ac:dyDescent="0.2">
      <c r="A111" s="61" t="s">
        <v>726</v>
      </c>
      <c r="B111" s="14" t="s">
        <v>68</v>
      </c>
      <c r="C111" s="9" t="s">
        <v>36</v>
      </c>
      <c r="D111" s="25">
        <f t="shared" si="28"/>
        <v>190</v>
      </c>
      <c r="E111" s="54"/>
      <c r="F111" s="78"/>
      <c r="G111" s="33">
        <v>0</v>
      </c>
      <c r="H111" s="33">
        <f>47+20+8</f>
        <v>75</v>
      </c>
      <c r="I111" s="9">
        <v>18</v>
      </c>
      <c r="J111" s="9">
        <v>4</v>
      </c>
      <c r="K111" s="9">
        <v>10</v>
      </c>
      <c r="L111" s="9">
        <v>8</v>
      </c>
      <c r="M111" s="9">
        <v>2</v>
      </c>
      <c r="N111" s="9">
        <v>0</v>
      </c>
      <c r="O111" s="9">
        <v>11</v>
      </c>
      <c r="P111" s="9">
        <v>6</v>
      </c>
      <c r="Q111" s="9">
        <v>6</v>
      </c>
      <c r="R111" s="9">
        <v>3</v>
      </c>
      <c r="S111" s="9">
        <v>0</v>
      </c>
      <c r="T111" s="9">
        <v>0</v>
      </c>
      <c r="U111" s="33">
        <f>22+1</f>
        <v>23</v>
      </c>
      <c r="V111" s="9">
        <v>7</v>
      </c>
      <c r="W111" s="9">
        <v>2</v>
      </c>
      <c r="X111" s="9">
        <v>5</v>
      </c>
      <c r="Y111" s="9">
        <v>4</v>
      </c>
      <c r="Z111" s="9">
        <v>0</v>
      </c>
      <c r="AA111" s="9">
        <v>0</v>
      </c>
      <c r="AB111" s="9">
        <v>6</v>
      </c>
      <c r="AC111" s="9">
        <v>0</v>
      </c>
      <c r="AD111" s="53" t="e">
        <f>#REF!*D111</f>
        <v>#REF!</v>
      </c>
      <c r="AE111" s="53" t="e">
        <f>AD111-#REF!</f>
        <v>#REF!</v>
      </c>
      <c r="AF111" s="9"/>
      <c r="AG111" s="33" t="e">
        <f>#REF!-D111</f>
        <v>#REF!</v>
      </c>
      <c r="AH111" s="9"/>
      <c r="AI111" s="9"/>
      <c r="AJ111" s="9"/>
      <c r="AK111" s="9"/>
    </row>
    <row r="112" spans="1:37" s="12" customFormat="1" ht="20.399999999999999" outlineLevel="1" x14ac:dyDescent="0.2">
      <c r="A112" s="61" t="s">
        <v>727</v>
      </c>
      <c r="B112" s="14" t="s">
        <v>226</v>
      </c>
      <c r="C112" s="9" t="s">
        <v>36</v>
      </c>
      <c r="D112" s="25">
        <f t="shared" si="28"/>
        <v>9</v>
      </c>
      <c r="E112" s="54"/>
      <c r="F112" s="78"/>
      <c r="G112" s="33">
        <v>0</v>
      </c>
      <c r="H112" s="33">
        <v>2</v>
      </c>
      <c r="I112" s="9">
        <v>0</v>
      </c>
      <c r="J112" s="9">
        <v>0</v>
      </c>
      <c r="K112" s="9">
        <v>1</v>
      </c>
      <c r="L112" s="9">
        <v>1</v>
      </c>
      <c r="M112" s="9">
        <v>1</v>
      </c>
      <c r="N112" s="9">
        <v>0</v>
      </c>
      <c r="O112" s="9">
        <v>0</v>
      </c>
      <c r="P112" s="9">
        <v>0</v>
      </c>
      <c r="Q112" s="9">
        <v>0</v>
      </c>
      <c r="R112" s="9">
        <v>0</v>
      </c>
      <c r="S112" s="9">
        <v>0</v>
      </c>
      <c r="T112" s="9">
        <v>0</v>
      </c>
      <c r="U112" s="33">
        <v>2</v>
      </c>
      <c r="V112" s="9">
        <v>0</v>
      </c>
      <c r="W112" s="9">
        <v>0</v>
      </c>
      <c r="X112" s="9">
        <v>1</v>
      </c>
      <c r="Y112" s="9">
        <v>1</v>
      </c>
      <c r="Z112" s="9">
        <v>0</v>
      </c>
      <c r="AA112" s="9">
        <v>0</v>
      </c>
      <c r="AB112" s="9">
        <v>0</v>
      </c>
      <c r="AC112" s="9">
        <v>0</v>
      </c>
      <c r="AD112" s="53" t="e">
        <f>#REF!*D112</f>
        <v>#REF!</v>
      </c>
      <c r="AE112" s="53" t="e">
        <f>AD112-#REF!</f>
        <v>#REF!</v>
      </c>
      <c r="AF112" s="9"/>
      <c r="AG112" s="33" t="e">
        <f>#REF!-D112</f>
        <v>#REF!</v>
      </c>
      <c r="AH112" s="9"/>
      <c r="AI112" s="9"/>
      <c r="AJ112" s="9"/>
      <c r="AK112" s="9"/>
    </row>
    <row r="113" spans="1:37" s="12" customFormat="1" ht="20.399999999999999" outlineLevel="1" x14ac:dyDescent="0.2">
      <c r="A113" s="61" t="s">
        <v>728</v>
      </c>
      <c r="B113" s="14" t="s">
        <v>227</v>
      </c>
      <c r="C113" s="9" t="s">
        <v>36</v>
      </c>
      <c r="D113" s="25">
        <f t="shared" si="28"/>
        <v>9</v>
      </c>
      <c r="E113" s="54"/>
      <c r="F113" s="78"/>
      <c r="G113" s="33">
        <v>0</v>
      </c>
      <c r="H113" s="33">
        <v>0</v>
      </c>
      <c r="I113" s="9">
        <v>2</v>
      </c>
      <c r="J113" s="9">
        <v>1</v>
      </c>
      <c r="K113" s="9">
        <v>1</v>
      </c>
      <c r="L113" s="9">
        <v>0</v>
      </c>
      <c r="M113" s="9">
        <v>0</v>
      </c>
      <c r="N113" s="9">
        <v>0</v>
      </c>
      <c r="O113" s="9">
        <v>0</v>
      </c>
      <c r="P113" s="9">
        <v>0</v>
      </c>
      <c r="Q113" s="9">
        <v>0</v>
      </c>
      <c r="R113" s="9">
        <v>0</v>
      </c>
      <c r="S113" s="9">
        <v>0</v>
      </c>
      <c r="T113" s="9">
        <v>0</v>
      </c>
      <c r="U113" s="33">
        <v>1</v>
      </c>
      <c r="V113" s="9">
        <v>0</v>
      </c>
      <c r="W113" s="9">
        <v>0</v>
      </c>
      <c r="X113" s="9">
        <v>0</v>
      </c>
      <c r="Y113" s="9">
        <v>0</v>
      </c>
      <c r="Z113" s="9">
        <v>0</v>
      </c>
      <c r="AA113" s="9">
        <v>0</v>
      </c>
      <c r="AB113" s="9">
        <v>4</v>
      </c>
      <c r="AC113" s="9">
        <v>0</v>
      </c>
      <c r="AD113" s="53" t="e">
        <f>#REF!*D113</f>
        <v>#REF!</v>
      </c>
      <c r="AE113" s="53" t="e">
        <f>AD113-#REF!</f>
        <v>#REF!</v>
      </c>
      <c r="AF113" s="9"/>
      <c r="AG113" s="33" t="e">
        <f>#REF!-D113</f>
        <v>#REF!</v>
      </c>
      <c r="AH113" s="9"/>
      <c r="AI113" s="9"/>
      <c r="AJ113" s="9"/>
      <c r="AK113" s="9"/>
    </row>
    <row r="114" spans="1:37" s="12" customFormat="1" ht="20.399999999999999" outlineLevel="1" x14ac:dyDescent="0.2">
      <c r="A114" s="61" t="s">
        <v>729</v>
      </c>
      <c r="B114" s="14" t="s">
        <v>228</v>
      </c>
      <c r="C114" s="9" t="s">
        <v>36</v>
      </c>
      <c r="D114" s="25">
        <f t="shared" si="28"/>
        <v>2</v>
      </c>
      <c r="E114" s="54"/>
      <c r="F114" s="78"/>
      <c r="G114" s="33">
        <v>0</v>
      </c>
      <c r="H114" s="33">
        <v>0</v>
      </c>
      <c r="I114" s="9">
        <v>2</v>
      </c>
      <c r="J114" s="9">
        <v>0</v>
      </c>
      <c r="K114" s="9">
        <v>0</v>
      </c>
      <c r="L114" s="9">
        <v>0</v>
      </c>
      <c r="M114" s="9">
        <v>0</v>
      </c>
      <c r="N114" s="9">
        <v>0</v>
      </c>
      <c r="O114" s="9">
        <v>0</v>
      </c>
      <c r="P114" s="9">
        <v>0</v>
      </c>
      <c r="Q114" s="9">
        <v>0</v>
      </c>
      <c r="R114" s="9">
        <v>0</v>
      </c>
      <c r="S114" s="9">
        <v>0</v>
      </c>
      <c r="T114" s="9">
        <v>0</v>
      </c>
      <c r="U114" s="33">
        <v>0</v>
      </c>
      <c r="V114" s="9">
        <v>0</v>
      </c>
      <c r="W114" s="9">
        <v>0</v>
      </c>
      <c r="X114" s="9">
        <v>0</v>
      </c>
      <c r="Y114" s="9">
        <v>0</v>
      </c>
      <c r="Z114" s="9">
        <v>0</v>
      </c>
      <c r="AA114" s="9">
        <v>0</v>
      </c>
      <c r="AB114" s="9">
        <v>0</v>
      </c>
      <c r="AC114" s="9">
        <v>0</v>
      </c>
      <c r="AD114" s="53" t="e">
        <f>#REF!*D114</f>
        <v>#REF!</v>
      </c>
      <c r="AE114" s="53" t="e">
        <f>AD114-#REF!</f>
        <v>#REF!</v>
      </c>
      <c r="AF114" s="9"/>
      <c r="AG114" s="33" t="e">
        <f>#REF!-D114</f>
        <v>#REF!</v>
      </c>
      <c r="AH114" s="9"/>
      <c r="AI114" s="9"/>
      <c r="AJ114" s="9"/>
      <c r="AK114" s="9"/>
    </row>
    <row r="115" spans="1:37" s="17" customFormat="1" ht="30.6" outlineLevel="1" x14ac:dyDescent="0.2">
      <c r="A115" s="61" t="s">
        <v>730</v>
      </c>
      <c r="B115" s="63" t="s">
        <v>2945</v>
      </c>
      <c r="C115" s="9" t="s">
        <v>48</v>
      </c>
      <c r="D115" s="25">
        <f t="shared" si="28"/>
        <v>555</v>
      </c>
      <c r="E115" s="54"/>
      <c r="F115" s="9"/>
      <c r="G115" s="33">
        <v>0</v>
      </c>
      <c r="H115" s="33">
        <v>78</v>
      </c>
      <c r="I115" s="9">
        <v>36</v>
      </c>
      <c r="J115" s="9">
        <v>0</v>
      </c>
      <c r="K115" s="9">
        <v>0</v>
      </c>
      <c r="L115" s="9">
        <f>99-36</f>
        <v>63</v>
      </c>
      <c r="M115" s="9">
        <v>87</v>
      </c>
      <c r="N115" s="9">
        <v>87</v>
      </c>
      <c r="O115" s="9">
        <v>87</v>
      </c>
      <c r="P115" s="9">
        <v>0</v>
      </c>
      <c r="Q115" s="9">
        <v>0</v>
      </c>
      <c r="R115" s="9">
        <v>0</v>
      </c>
      <c r="S115" s="9">
        <v>0</v>
      </c>
      <c r="T115" s="9">
        <v>0</v>
      </c>
      <c r="U115" s="33">
        <v>69</v>
      </c>
      <c r="V115" s="9">
        <v>0</v>
      </c>
      <c r="W115" s="9">
        <v>33</v>
      </c>
      <c r="X115" s="9">
        <v>0</v>
      </c>
      <c r="Y115" s="9">
        <v>0</v>
      </c>
      <c r="Z115" s="9">
        <v>15</v>
      </c>
      <c r="AA115" s="9">
        <v>0</v>
      </c>
      <c r="AB115" s="9">
        <v>0</v>
      </c>
      <c r="AC115" s="9">
        <v>0</v>
      </c>
      <c r="AD115" s="53" t="e">
        <f>#REF!*D115</f>
        <v>#REF!</v>
      </c>
      <c r="AE115" s="53" t="e">
        <f>AD115-#REF!</f>
        <v>#REF!</v>
      </c>
      <c r="AF115" s="8"/>
      <c r="AG115" s="33" t="e">
        <f>#REF!-D115</f>
        <v>#REF!</v>
      </c>
      <c r="AH115" s="8"/>
      <c r="AI115" s="8"/>
      <c r="AJ115" s="8"/>
      <c r="AK115" s="8"/>
    </row>
    <row r="116" spans="1:37" s="17" customFormat="1" ht="36.75" customHeight="1" outlineLevel="1" x14ac:dyDescent="0.2">
      <c r="A116" s="61" t="s">
        <v>731</v>
      </c>
      <c r="B116" s="47" t="s">
        <v>457</v>
      </c>
      <c r="C116" s="9" t="s">
        <v>48</v>
      </c>
      <c r="D116" s="25">
        <f t="shared" si="28"/>
        <v>555</v>
      </c>
      <c r="E116" s="54"/>
      <c r="F116" s="9"/>
      <c r="G116" s="88">
        <f t="shared" ref="G116:AC116" si="33">G115</f>
        <v>0</v>
      </c>
      <c r="H116" s="88">
        <f t="shared" si="33"/>
        <v>78</v>
      </c>
      <c r="I116" s="88">
        <f t="shared" si="33"/>
        <v>36</v>
      </c>
      <c r="J116" s="88">
        <f t="shared" si="33"/>
        <v>0</v>
      </c>
      <c r="K116" s="88">
        <f t="shared" si="33"/>
        <v>0</v>
      </c>
      <c r="L116" s="88">
        <f t="shared" si="33"/>
        <v>63</v>
      </c>
      <c r="M116" s="88">
        <f t="shared" si="33"/>
        <v>87</v>
      </c>
      <c r="N116" s="88">
        <f t="shared" si="33"/>
        <v>87</v>
      </c>
      <c r="O116" s="88">
        <f t="shared" si="33"/>
        <v>87</v>
      </c>
      <c r="P116" s="88">
        <f t="shared" si="33"/>
        <v>0</v>
      </c>
      <c r="Q116" s="88">
        <f t="shared" si="33"/>
        <v>0</v>
      </c>
      <c r="R116" s="88">
        <f t="shared" si="33"/>
        <v>0</v>
      </c>
      <c r="S116" s="88">
        <f t="shared" si="33"/>
        <v>0</v>
      </c>
      <c r="T116" s="88">
        <f t="shared" si="33"/>
        <v>0</v>
      </c>
      <c r="U116" s="88">
        <f t="shared" si="33"/>
        <v>69</v>
      </c>
      <c r="V116" s="88">
        <f t="shared" si="33"/>
        <v>0</v>
      </c>
      <c r="W116" s="88">
        <f t="shared" si="33"/>
        <v>33</v>
      </c>
      <c r="X116" s="88">
        <f t="shared" si="33"/>
        <v>0</v>
      </c>
      <c r="Y116" s="88">
        <f t="shared" si="33"/>
        <v>0</v>
      </c>
      <c r="Z116" s="88">
        <f t="shared" si="33"/>
        <v>15</v>
      </c>
      <c r="AA116" s="88">
        <f t="shared" si="33"/>
        <v>0</v>
      </c>
      <c r="AB116" s="88">
        <f t="shared" si="33"/>
        <v>0</v>
      </c>
      <c r="AC116" s="88">
        <f t="shared" si="33"/>
        <v>0</v>
      </c>
      <c r="AD116" s="53" t="e">
        <f>#REF!*D116</f>
        <v>#REF!</v>
      </c>
      <c r="AE116" s="53" t="e">
        <f>AD116-#REF!</f>
        <v>#REF!</v>
      </c>
      <c r="AF116" s="8"/>
      <c r="AG116" s="33" t="e">
        <f>#REF!-D116</f>
        <v>#REF!</v>
      </c>
      <c r="AH116" s="8"/>
      <c r="AI116" s="8"/>
      <c r="AJ116" s="8"/>
      <c r="AK116" s="8"/>
    </row>
    <row r="117" spans="1:37" s="17" customFormat="1" ht="30.6" outlineLevel="1" x14ac:dyDescent="0.2">
      <c r="A117" s="61" t="s">
        <v>732</v>
      </c>
      <c r="B117" s="14" t="s">
        <v>458</v>
      </c>
      <c r="C117" s="8" t="s">
        <v>47</v>
      </c>
      <c r="D117" s="25">
        <f t="shared" si="28"/>
        <v>14</v>
      </c>
      <c r="E117" s="54"/>
      <c r="F117" s="9"/>
      <c r="G117" s="33">
        <v>0</v>
      </c>
      <c r="H117" s="33">
        <f>2</f>
        <v>2</v>
      </c>
      <c r="I117" s="9">
        <v>0</v>
      </c>
      <c r="J117" s="9">
        <v>0</v>
      </c>
      <c r="K117" s="9">
        <v>0</v>
      </c>
      <c r="L117" s="9">
        <v>3</v>
      </c>
      <c r="M117" s="9">
        <v>1</v>
      </c>
      <c r="N117" s="9">
        <v>1</v>
      </c>
      <c r="O117" s="9">
        <v>1</v>
      </c>
      <c r="P117" s="9">
        <v>0</v>
      </c>
      <c r="Q117" s="9">
        <v>0</v>
      </c>
      <c r="R117" s="9">
        <v>0</v>
      </c>
      <c r="S117" s="9">
        <v>0</v>
      </c>
      <c r="T117" s="49">
        <v>0</v>
      </c>
      <c r="U117" s="33">
        <v>3</v>
      </c>
      <c r="V117" s="9">
        <v>0</v>
      </c>
      <c r="W117" s="9">
        <v>2</v>
      </c>
      <c r="X117" s="9">
        <v>0</v>
      </c>
      <c r="Y117" s="9">
        <v>0</v>
      </c>
      <c r="Z117" s="9">
        <v>1</v>
      </c>
      <c r="AA117" s="9">
        <v>0</v>
      </c>
      <c r="AB117" s="9">
        <v>0</v>
      </c>
      <c r="AC117" s="9">
        <v>0</v>
      </c>
      <c r="AD117" s="53" t="e">
        <f>#REF!*D117</f>
        <v>#REF!</v>
      </c>
      <c r="AE117" s="53" t="e">
        <f>AD117-#REF!</f>
        <v>#REF!</v>
      </c>
      <c r="AF117" s="8"/>
      <c r="AG117" s="33" t="e">
        <f>#REF!-D117</f>
        <v>#REF!</v>
      </c>
      <c r="AH117" s="8"/>
      <c r="AI117" s="8"/>
      <c r="AJ117" s="8"/>
      <c r="AK117" s="8"/>
    </row>
    <row r="118" spans="1:37" s="17" customFormat="1" ht="30.6" outlineLevel="1" x14ac:dyDescent="0.2">
      <c r="A118" s="61" t="s">
        <v>733</v>
      </c>
      <c r="B118" s="14" t="s">
        <v>459</v>
      </c>
      <c r="C118" s="8" t="s">
        <v>47</v>
      </c>
      <c r="D118" s="25">
        <f t="shared" si="28"/>
        <v>13</v>
      </c>
      <c r="E118" s="54"/>
      <c r="F118" s="9"/>
      <c r="G118" s="33">
        <v>0</v>
      </c>
      <c r="H118" s="33">
        <f>2</f>
        <v>2</v>
      </c>
      <c r="I118" s="9">
        <v>0</v>
      </c>
      <c r="J118" s="9">
        <v>0</v>
      </c>
      <c r="K118" s="9">
        <v>0</v>
      </c>
      <c r="L118" s="9">
        <v>2</v>
      </c>
      <c r="M118" s="9">
        <v>2</v>
      </c>
      <c r="N118" s="9">
        <v>2</v>
      </c>
      <c r="O118" s="9">
        <v>3</v>
      </c>
      <c r="P118" s="9">
        <v>0</v>
      </c>
      <c r="Q118" s="9">
        <v>0</v>
      </c>
      <c r="R118" s="9">
        <v>0</v>
      </c>
      <c r="S118" s="9">
        <v>0</v>
      </c>
      <c r="T118" s="49">
        <v>0</v>
      </c>
      <c r="U118" s="33">
        <v>1</v>
      </c>
      <c r="V118" s="9">
        <v>0</v>
      </c>
      <c r="W118" s="9">
        <v>0</v>
      </c>
      <c r="X118" s="9">
        <v>0</v>
      </c>
      <c r="Y118" s="9">
        <v>0</v>
      </c>
      <c r="Z118" s="9">
        <v>1</v>
      </c>
      <c r="AA118" s="9">
        <v>0</v>
      </c>
      <c r="AB118" s="9">
        <v>0</v>
      </c>
      <c r="AC118" s="9">
        <v>0</v>
      </c>
      <c r="AD118" s="53" t="e">
        <f>#REF!*D118</f>
        <v>#REF!</v>
      </c>
      <c r="AE118" s="53" t="e">
        <f>AD118-#REF!</f>
        <v>#REF!</v>
      </c>
      <c r="AF118" s="8"/>
      <c r="AG118" s="33" t="e">
        <f>#REF!-D118</f>
        <v>#REF!</v>
      </c>
      <c r="AH118" s="8"/>
      <c r="AI118" s="8"/>
      <c r="AJ118" s="8"/>
      <c r="AK118" s="8"/>
    </row>
    <row r="119" spans="1:37" s="17" customFormat="1" ht="30.6" outlineLevel="1" x14ac:dyDescent="0.2">
      <c r="A119" s="61" t="s">
        <v>734</v>
      </c>
      <c r="B119" s="14" t="s">
        <v>1031</v>
      </c>
      <c r="C119" s="9" t="s">
        <v>48</v>
      </c>
      <c r="D119" s="25">
        <f t="shared" si="28"/>
        <v>324</v>
      </c>
      <c r="E119" s="54"/>
      <c r="F119" s="9"/>
      <c r="G119" s="33">
        <v>0</v>
      </c>
      <c r="H119" s="33">
        <v>24</v>
      </c>
      <c r="I119" s="9">
        <v>0</v>
      </c>
      <c r="J119" s="9">
        <v>0</v>
      </c>
      <c r="K119" s="9">
        <v>0</v>
      </c>
      <c r="L119" s="9">
        <v>0</v>
      </c>
      <c r="M119" s="9">
        <v>0</v>
      </c>
      <c r="N119" s="9">
        <v>0</v>
      </c>
      <c r="O119" s="9">
        <v>0</v>
      </c>
      <c r="P119" s="9">
        <v>150</v>
      </c>
      <c r="Q119" s="9">
        <v>150</v>
      </c>
      <c r="R119" s="9">
        <v>0</v>
      </c>
      <c r="S119" s="9">
        <v>0</v>
      </c>
      <c r="T119" s="9">
        <v>0</v>
      </c>
      <c r="U119" s="33">
        <v>0</v>
      </c>
      <c r="V119" s="9">
        <v>0</v>
      </c>
      <c r="W119" s="9">
        <v>0</v>
      </c>
      <c r="X119" s="9">
        <v>0</v>
      </c>
      <c r="Y119" s="9">
        <v>0</v>
      </c>
      <c r="Z119" s="9">
        <v>0</v>
      </c>
      <c r="AA119" s="9">
        <v>0</v>
      </c>
      <c r="AB119" s="9">
        <v>0</v>
      </c>
      <c r="AC119" s="9">
        <v>0</v>
      </c>
      <c r="AD119" s="53" t="e">
        <f>#REF!*D119</f>
        <v>#REF!</v>
      </c>
      <c r="AE119" s="53" t="e">
        <f>AD119-#REF!</f>
        <v>#REF!</v>
      </c>
      <c r="AF119" s="8"/>
      <c r="AG119" s="33" t="e">
        <f>#REF!-D119</f>
        <v>#REF!</v>
      </c>
      <c r="AH119" s="8"/>
      <c r="AI119" s="8"/>
      <c r="AJ119" s="8"/>
      <c r="AK119" s="8"/>
    </row>
    <row r="120" spans="1:37" s="17" customFormat="1" ht="36.75" customHeight="1" outlineLevel="1" x14ac:dyDescent="0.2">
      <c r="A120" s="61" t="s">
        <v>735</v>
      </c>
      <c r="B120" s="47" t="s">
        <v>393</v>
      </c>
      <c r="C120" s="9" t="s">
        <v>48</v>
      </c>
      <c r="D120" s="25">
        <f t="shared" si="28"/>
        <v>324</v>
      </c>
      <c r="E120" s="54"/>
      <c r="F120" s="9"/>
      <c r="G120" s="88">
        <f t="shared" ref="G120:AC120" si="34">G119</f>
        <v>0</v>
      </c>
      <c r="H120" s="88">
        <f t="shared" si="34"/>
        <v>24</v>
      </c>
      <c r="I120" s="88">
        <f t="shared" si="34"/>
        <v>0</v>
      </c>
      <c r="J120" s="88">
        <f t="shared" si="34"/>
        <v>0</v>
      </c>
      <c r="K120" s="88">
        <f t="shared" si="34"/>
        <v>0</v>
      </c>
      <c r="L120" s="88">
        <f t="shared" si="34"/>
        <v>0</v>
      </c>
      <c r="M120" s="88">
        <f t="shared" si="34"/>
        <v>0</v>
      </c>
      <c r="N120" s="88">
        <f t="shared" si="34"/>
        <v>0</v>
      </c>
      <c r="O120" s="88">
        <f t="shared" si="34"/>
        <v>0</v>
      </c>
      <c r="P120" s="88">
        <f t="shared" si="34"/>
        <v>150</v>
      </c>
      <c r="Q120" s="88">
        <f t="shared" si="34"/>
        <v>150</v>
      </c>
      <c r="R120" s="88">
        <f t="shared" si="34"/>
        <v>0</v>
      </c>
      <c r="S120" s="88">
        <f t="shared" si="34"/>
        <v>0</v>
      </c>
      <c r="T120" s="88">
        <f t="shared" si="34"/>
        <v>0</v>
      </c>
      <c r="U120" s="88">
        <f t="shared" si="34"/>
        <v>0</v>
      </c>
      <c r="V120" s="88">
        <f t="shared" si="34"/>
        <v>0</v>
      </c>
      <c r="W120" s="88">
        <f t="shared" si="34"/>
        <v>0</v>
      </c>
      <c r="X120" s="88">
        <f t="shared" si="34"/>
        <v>0</v>
      </c>
      <c r="Y120" s="88">
        <f t="shared" si="34"/>
        <v>0</v>
      </c>
      <c r="Z120" s="88">
        <f t="shared" si="34"/>
        <v>0</v>
      </c>
      <c r="AA120" s="88">
        <f t="shared" si="34"/>
        <v>0</v>
      </c>
      <c r="AB120" s="88">
        <f t="shared" si="34"/>
        <v>0</v>
      </c>
      <c r="AC120" s="88">
        <f t="shared" si="34"/>
        <v>0</v>
      </c>
      <c r="AD120" s="53" t="e">
        <f>#REF!*D120</f>
        <v>#REF!</v>
      </c>
      <c r="AE120" s="53" t="e">
        <f>AD120-#REF!</f>
        <v>#REF!</v>
      </c>
      <c r="AF120" s="8"/>
      <c r="AG120" s="33" t="e">
        <f>#REF!-D120</f>
        <v>#REF!</v>
      </c>
      <c r="AH120" s="8"/>
      <c r="AI120" s="8"/>
      <c r="AJ120" s="8"/>
      <c r="AK120" s="8"/>
    </row>
    <row r="121" spans="1:37" s="17" customFormat="1" ht="30.6" outlineLevel="1" x14ac:dyDescent="0.2">
      <c r="A121" s="61" t="s">
        <v>736</v>
      </c>
      <c r="B121" s="14" t="s">
        <v>395</v>
      </c>
      <c r="C121" s="8" t="s">
        <v>47</v>
      </c>
      <c r="D121" s="25">
        <f t="shared" si="28"/>
        <v>10</v>
      </c>
      <c r="E121" s="54"/>
      <c r="F121" s="9"/>
      <c r="G121" s="33">
        <v>0</v>
      </c>
      <c r="H121" s="33">
        <v>1</v>
      </c>
      <c r="I121" s="9">
        <v>1</v>
      </c>
      <c r="J121" s="9">
        <v>0</v>
      </c>
      <c r="K121" s="9">
        <v>0</v>
      </c>
      <c r="L121" s="9">
        <v>0</v>
      </c>
      <c r="M121" s="9">
        <v>0</v>
      </c>
      <c r="N121" s="9">
        <v>0</v>
      </c>
      <c r="O121" s="9">
        <v>0</v>
      </c>
      <c r="P121" s="9">
        <v>4</v>
      </c>
      <c r="Q121" s="9">
        <v>4</v>
      </c>
      <c r="R121" s="9">
        <v>0</v>
      </c>
      <c r="S121" s="9">
        <v>0</v>
      </c>
      <c r="T121" s="49">
        <v>0</v>
      </c>
      <c r="U121" s="33">
        <v>0</v>
      </c>
      <c r="V121" s="9">
        <v>0</v>
      </c>
      <c r="W121" s="9">
        <v>0</v>
      </c>
      <c r="X121" s="9">
        <v>0</v>
      </c>
      <c r="Y121" s="9">
        <v>0</v>
      </c>
      <c r="Z121" s="9">
        <v>0</v>
      </c>
      <c r="AA121" s="9">
        <v>0</v>
      </c>
      <c r="AB121" s="9">
        <v>0</v>
      </c>
      <c r="AC121" s="9">
        <v>0</v>
      </c>
      <c r="AD121" s="53" t="e">
        <f>#REF!*D121</f>
        <v>#REF!</v>
      </c>
      <c r="AE121" s="53" t="e">
        <f>AD121-#REF!</f>
        <v>#REF!</v>
      </c>
      <c r="AF121" s="8"/>
      <c r="AG121" s="33" t="e">
        <f>#REF!-D121</f>
        <v>#REF!</v>
      </c>
      <c r="AH121" s="8"/>
      <c r="AI121" s="8"/>
      <c r="AJ121" s="8"/>
      <c r="AK121" s="8"/>
    </row>
    <row r="122" spans="1:37" s="17" customFormat="1" ht="30.6" outlineLevel="1" x14ac:dyDescent="0.2">
      <c r="A122" s="61" t="s">
        <v>737</v>
      </c>
      <c r="B122" s="14" t="s">
        <v>399</v>
      </c>
      <c r="C122" s="8" t="s">
        <v>47</v>
      </c>
      <c r="D122" s="25">
        <f t="shared" si="28"/>
        <v>10</v>
      </c>
      <c r="E122" s="54"/>
      <c r="F122" s="9"/>
      <c r="G122" s="33">
        <v>0</v>
      </c>
      <c r="H122" s="33">
        <v>1</v>
      </c>
      <c r="I122" s="9">
        <v>1</v>
      </c>
      <c r="J122" s="9">
        <v>0</v>
      </c>
      <c r="K122" s="9">
        <v>0</v>
      </c>
      <c r="L122" s="9">
        <v>0</v>
      </c>
      <c r="M122" s="9">
        <v>0</v>
      </c>
      <c r="N122" s="9">
        <v>0</v>
      </c>
      <c r="O122" s="9">
        <v>0</v>
      </c>
      <c r="P122" s="9">
        <v>4</v>
      </c>
      <c r="Q122" s="9">
        <v>4</v>
      </c>
      <c r="R122" s="9">
        <v>0</v>
      </c>
      <c r="S122" s="9">
        <v>0</v>
      </c>
      <c r="T122" s="49">
        <v>0</v>
      </c>
      <c r="U122" s="33">
        <v>0</v>
      </c>
      <c r="V122" s="9">
        <v>0</v>
      </c>
      <c r="W122" s="9">
        <v>0</v>
      </c>
      <c r="X122" s="9">
        <v>0</v>
      </c>
      <c r="Y122" s="9">
        <v>0</v>
      </c>
      <c r="Z122" s="9">
        <v>0</v>
      </c>
      <c r="AA122" s="9">
        <v>0</v>
      </c>
      <c r="AB122" s="9">
        <v>0</v>
      </c>
      <c r="AC122" s="9">
        <v>0</v>
      </c>
      <c r="AD122" s="53" t="e">
        <f>#REF!*D122</f>
        <v>#REF!</v>
      </c>
      <c r="AE122" s="53" t="e">
        <f>AD122-#REF!</f>
        <v>#REF!</v>
      </c>
      <c r="AF122" s="8"/>
      <c r="AG122" s="33" t="e">
        <f>#REF!-D122</f>
        <v>#REF!</v>
      </c>
      <c r="AH122" s="8"/>
      <c r="AI122" s="8"/>
      <c r="AJ122" s="8"/>
      <c r="AK122" s="8"/>
    </row>
    <row r="123" spans="1:37" s="17" customFormat="1" ht="30.6" outlineLevel="1" x14ac:dyDescent="0.2">
      <c r="A123" s="61" t="s">
        <v>738</v>
      </c>
      <c r="B123" s="14" t="s">
        <v>397</v>
      </c>
      <c r="C123" s="8" t="s">
        <v>47</v>
      </c>
      <c r="D123" s="25">
        <f t="shared" si="28"/>
        <v>1</v>
      </c>
      <c r="E123" s="54"/>
      <c r="F123" s="9"/>
      <c r="G123" s="33">
        <v>0</v>
      </c>
      <c r="H123" s="33">
        <v>1</v>
      </c>
      <c r="I123" s="9">
        <v>0</v>
      </c>
      <c r="J123" s="9">
        <v>0</v>
      </c>
      <c r="K123" s="9">
        <v>0</v>
      </c>
      <c r="L123" s="9">
        <v>0</v>
      </c>
      <c r="M123" s="9">
        <v>0</v>
      </c>
      <c r="N123" s="9">
        <v>0</v>
      </c>
      <c r="O123" s="9">
        <v>0</v>
      </c>
      <c r="P123" s="9">
        <v>0</v>
      </c>
      <c r="Q123" s="9">
        <v>0</v>
      </c>
      <c r="R123" s="9">
        <v>0</v>
      </c>
      <c r="S123" s="9">
        <v>0</v>
      </c>
      <c r="T123" s="49">
        <v>0</v>
      </c>
      <c r="U123" s="33">
        <v>0</v>
      </c>
      <c r="V123" s="9">
        <v>0</v>
      </c>
      <c r="W123" s="9">
        <v>0</v>
      </c>
      <c r="X123" s="9">
        <v>0</v>
      </c>
      <c r="Y123" s="9">
        <v>0</v>
      </c>
      <c r="Z123" s="9">
        <v>0</v>
      </c>
      <c r="AA123" s="9">
        <v>0</v>
      </c>
      <c r="AB123" s="9">
        <v>0</v>
      </c>
      <c r="AC123" s="9">
        <v>0</v>
      </c>
      <c r="AD123" s="53" t="e">
        <f>#REF!*D123</f>
        <v>#REF!</v>
      </c>
      <c r="AE123" s="53" t="e">
        <f>AD123-#REF!</f>
        <v>#REF!</v>
      </c>
      <c r="AF123" s="8"/>
      <c r="AG123" s="33" t="e">
        <f>#REF!-D123</f>
        <v>#REF!</v>
      </c>
      <c r="AH123" s="8"/>
      <c r="AI123" s="8"/>
      <c r="AJ123" s="8"/>
      <c r="AK123" s="8"/>
    </row>
    <row r="124" spans="1:37" s="17" customFormat="1" ht="30.6" outlineLevel="1" x14ac:dyDescent="0.2">
      <c r="A124" s="61" t="s">
        <v>739</v>
      </c>
      <c r="B124" s="14" t="s">
        <v>464</v>
      </c>
      <c r="C124" s="8" t="s">
        <v>47</v>
      </c>
      <c r="D124" s="25">
        <f t="shared" si="28"/>
        <v>1</v>
      </c>
      <c r="E124" s="54"/>
      <c r="F124" s="9"/>
      <c r="G124" s="33">
        <v>0</v>
      </c>
      <c r="H124" s="33">
        <v>1</v>
      </c>
      <c r="I124" s="9">
        <v>0</v>
      </c>
      <c r="J124" s="9">
        <v>0</v>
      </c>
      <c r="K124" s="9">
        <v>0</v>
      </c>
      <c r="L124" s="9">
        <v>0</v>
      </c>
      <c r="M124" s="9">
        <v>0</v>
      </c>
      <c r="N124" s="9">
        <v>0</v>
      </c>
      <c r="O124" s="9">
        <v>0</v>
      </c>
      <c r="P124" s="9">
        <v>0</v>
      </c>
      <c r="Q124" s="9">
        <v>0</v>
      </c>
      <c r="R124" s="9">
        <v>0</v>
      </c>
      <c r="S124" s="9">
        <v>0</v>
      </c>
      <c r="T124" s="49">
        <v>0</v>
      </c>
      <c r="U124" s="33">
        <v>0</v>
      </c>
      <c r="V124" s="9">
        <v>0</v>
      </c>
      <c r="W124" s="9">
        <v>0</v>
      </c>
      <c r="X124" s="9">
        <v>0</v>
      </c>
      <c r="Y124" s="9">
        <v>0</v>
      </c>
      <c r="Z124" s="9">
        <v>0</v>
      </c>
      <c r="AA124" s="9">
        <v>0</v>
      </c>
      <c r="AB124" s="9">
        <v>0</v>
      </c>
      <c r="AC124" s="9">
        <v>0</v>
      </c>
      <c r="AD124" s="53" t="e">
        <f>#REF!*D124</f>
        <v>#REF!</v>
      </c>
      <c r="AE124" s="53" t="e">
        <f>AD124-#REF!</f>
        <v>#REF!</v>
      </c>
      <c r="AF124" s="8"/>
      <c r="AG124" s="33" t="e">
        <f>#REF!-D124</f>
        <v>#REF!</v>
      </c>
      <c r="AH124" s="8"/>
      <c r="AI124" s="8"/>
      <c r="AJ124" s="8"/>
      <c r="AK124" s="8"/>
    </row>
    <row r="125" spans="1:37" s="17" customFormat="1" ht="30.6" outlineLevel="1" x14ac:dyDescent="0.2">
      <c r="A125" s="61" t="s">
        <v>740</v>
      </c>
      <c r="B125" s="47" t="s">
        <v>2469</v>
      </c>
      <c r="C125" s="8" t="s">
        <v>47</v>
      </c>
      <c r="D125" s="25">
        <f t="shared" si="28"/>
        <v>200</v>
      </c>
      <c r="E125" s="54"/>
      <c r="F125" s="9"/>
      <c r="G125" s="33">
        <v>0</v>
      </c>
      <c r="H125" s="33">
        <f>8+3+17</f>
        <v>28</v>
      </c>
      <c r="I125" s="9">
        <f>23+26</f>
        <v>49</v>
      </c>
      <c r="J125" s="9">
        <v>0</v>
      </c>
      <c r="K125" s="9">
        <v>0</v>
      </c>
      <c r="L125" s="9">
        <f>23-8</f>
        <v>15</v>
      </c>
      <c r="M125" s="9">
        <v>15</v>
      </c>
      <c r="N125" s="9">
        <v>15</v>
      </c>
      <c r="O125" s="9">
        <v>24</v>
      </c>
      <c r="P125" s="9">
        <v>23</v>
      </c>
      <c r="Q125" s="9">
        <v>23</v>
      </c>
      <c r="R125" s="9">
        <v>0</v>
      </c>
      <c r="S125" s="9">
        <v>0</v>
      </c>
      <c r="T125" s="49">
        <v>0</v>
      </c>
      <c r="U125" s="33">
        <v>0</v>
      </c>
      <c r="V125" s="9">
        <v>0</v>
      </c>
      <c r="W125" s="9">
        <v>0</v>
      </c>
      <c r="X125" s="9">
        <v>0</v>
      </c>
      <c r="Y125" s="9">
        <v>8</v>
      </c>
      <c r="Z125" s="9">
        <v>0</v>
      </c>
      <c r="AA125" s="9">
        <v>0</v>
      </c>
      <c r="AB125" s="9">
        <v>0</v>
      </c>
      <c r="AC125" s="9">
        <v>0</v>
      </c>
      <c r="AD125" s="53" t="e">
        <f>#REF!*D125</f>
        <v>#REF!</v>
      </c>
      <c r="AE125" s="53" t="e">
        <f>AD125-#REF!</f>
        <v>#REF!</v>
      </c>
      <c r="AF125" s="8"/>
      <c r="AG125" s="33" t="e">
        <f>#REF!-D125</f>
        <v>#REF!</v>
      </c>
      <c r="AH125" s="8"/>
      <c r="AI125" s="8"/>
      <c r="AJ125" s="8"/>
      <c r="AK125" s="8"/>
    </row>
    <row r="126" spans="1:37" s="17" customFormat="1" ht="40.799999999999997" outlineLevel="1" x14ac:dyDescent="0.2">
      <c r="A126" s="61" t="s">
        <v>741</v>
      </c>
      <c r="B126" s="14" t="s">
        <v>460</v>
      </c>
      <c r="C126" s="8" t="s">
        <v>47</v>
      </c>
      <c r="D126" s="25">
        <f t="shared" si="28"/>
        <v>370</v>
      </c>
      <c r="E126" s="54"/>
      <c r="F126" s="9"/>
      <c r="G126" s="88">
        <f t="shared" ref="G126:AC126" si="35">G115/1.5</f>
        <v>0</v>
      </c>
      <c r="H126" s="88">
        <f t="shared" si="35"/>
        <v>52</v>
      </c>
      <c r="I126" s="88">
        <f t="shared" si="35"/>
        <v>24</v>
      </c>
      <c r="J126" s="88">
        <f t="shared" si="35"/>
        <v>0</v>
      </c>
      <c r="K126" s="88">
        <f t="shared" si="35"/>
        <v>0</v>
      </c>
      <c r="L126" s="88">
        <f t="shared" si="35"/>
        <v>42</v>
      </c>
      <c r="M126" s="88">
        <f t="shared" si="35"/>
        <v>58</v>
      </c>
      <c r="N126" s="88">
        <f t="shared" si="35"/>
        <v>58</v>
      </c>
      <c r="O126" s="88">
        <f t="shared" si="35"/>
        <v>58</v>
      </c>
      <c r="P126" s="88">
        <f t="shared" si="35"/>
        <v>0</v>
      </c>
      <c r="Q126" s="88">
        <f t="shared" si="35"/>
        <v>0</v>
      </c>
      <c r="R126" s="88">
        <f t="shared" si="35"/>
        <v>0</v>
      </c>
      <c r="S126" s="88">
        <f t="shared" si="35"/>
        <v>0</v>
      </c>
      <c r="T126" s="88">
        <f t="shared" si="35"/>
        <v>0</v>
      </c>
      <c r="U126" s="88">
        <f t="shared" si="35"/>
        <v>46</v>
      </c>
      <c r="V126" s="88">
        <f t="shared" si="35"/>
        <v>0</v>
      </c>
      <c r="W126" s="88">
        <f t="shared" si="35"/>
        <v>22</v>
      </c>
      <c r="X126" s="88">
        <f t="shared" si="35"/>
        <v>0</v>
      </c>
      <c r="Y126" s="88">
        <f t="shared" si="35"/>
        <v>0</v>
      </c>
      <c r="Z126" s="88">
        <f t="shared" si="35"/>
        <v>10</v>
      </c>
      <c r="AA126" s="88">
        <f t="shared" si="35"/>
        <v>0</v>
      </c>
      <c r="AB126" s="88">
        <f t="shared" si="35"/>
        <v>0</v>
      </c>
      <c r="AC126" s="88">
        <f t="shared" si="35"/>
        <v>0</v>
      </c>
      <c r="AD126" s="53" t="e">
        <f>#REF!*D126</f>
        <v>#REF!</v>
      </c>
      <c r="AE126" s="53" t="e">
        <f>AD126-#REF!</f>
        <v>#REF!</v>
      </c>
      <c r="AF126" s="8"/>
      <c r="AG126" s="33" t="e">
        <f>#REF!-D126</f>
        <v>#REF!</v>
      </c>
      <c r="AH126" s="8"/>
      <c r="AI126" s="8"/>
      <c r="AJ126" s="8"/>
      <c r="AK126" s="8"/>
    </row>
    <row r="127" spans="1:37" s="17" customFormat="1" ht="40.799999999999997" outlineLevel="1" x14ac:dyDescent="0.2">
      <c r="A127" s="61" t="s">
        <v>742</v>
      </c>
      <c r="B127" s="14" t="s">
        <v>422</v>
      </c>
      <c r="C127" s="8" t="s">
        <v>47</v>
      </c>
      <c r="D127" s="25">
        <f t="shared" si="28"/>
        <v>288</v>
      </c>
      <c r="E127" s="54"/>
      <c r="F127" s="9"/>
      <c r="G127" s="88">
        <f>G116/1.5</f>
        <v>0</v>
      </c>
      <c r="H127" s="88">
        <f>H119/1.5</f>
        <v>16</v>
      </c>
      <c r="I127" s="88">
        <f t="shared" ref="I127:T127" si="36">I116/1.5</f>
        <v>24</v>
      </c>
      <c r="J127" s="88">
        <f t="shared" si="36"/>
        <v>0</v>
      </c>
      <c r="K127" s="88">
        <f t="shared" si="36"/>
        <v>0</v>
      </c>
      <c r="L127" s="88">
        <f t="shared" si="36"/>
        <v>42</v>
      </c>
      <c r="M127" s="88">
        <f t="shared" si="36"/>
        <v>58</v>
      </c>
      <c r="N127" s="88">
        <f t="shared" si="36"/>
        <v>58</v>
      </c>
      <c r="O127" s="88">
        <f t="shared" si="36"/>
        <v>58</v>
      </c>
      <c r="P127" s="88">
        <f t="shared" si="36"/>
        <v>0</v>
      </c>
      <c r="Q127" s="88">
        <f t="shared" si="36"/>
        <v>0</v>
      </c>
      <c r="R127" s="88">
        <f t="shared" si="36"/>
        <v>0</v>
      </c>
      <c r="S127" s="88">
        <f t="shared" si="36"/>
        <v>0</v>
      </c>
      <c r="T127" s="88">
        <f t="shared" si="36"/>
        <v>0</v>
      </c>
      <c r="U127" s="88">
        <f>U119/1.5</f>
        <v>0</v>
      </c>
      <c r="V127" s="88">
        <f t="shared" ref="V127:AC127" si="37">V116/1.5</f>
        <v>0</v>
      </c>
      <c r="W127" s="88">
        <f t="shared" si="37"/>
        <v>22</v>
      </c>
      <c r="X127" s="88">
        <f t="shared" si="37"/>
        <v>0</v>
      </c>
      <c r="Y127" s="88">
        <f t="shared" si="37"/>
        <v>0</v>
      </c>
      <c r="Z127" s="88">
        <f t="shared" si="37"/>
        <v>10</v>
      </c>
      <c r="AA127" s="88">
        <f t="shared" si="37"/>
        <v>0</v>
      </c>
      <c r="AB127" s="88">
        <f t="shared" si="37"/>
        <v>0</v>
      </c>
      <c r="AC127" s="88">
        <f t="shared" si="37"/>
        <v>0</v>
      </c>
      <c r="AD127" s="53" t="e">
        <f>#REF!*D127</f>
        <v>#REF!</v>
      </c>
      <c r="AE127" s="53" t="e">
        <f>AD127-#REF!</f>
        <v>#REF!</v>
      </c>
      <c r="AF127" s="8"/>
      <c r="AG127" s="33" t="e">
        <f>#REF!-D127</f>
        <v>#REF!</v>
      </c>
      <c r="AH127" s="8"/>
      <c r="AI127" s="8"/>
      <c r="AJ127" s="8"/>
      <c r="AK127" s="8"/>
    </row>
    <row r="128" spans="1:37" s="17" customFormat="1" ht="30.6" outlineLevel="1" x14ac:dyDescent="0.2">
      <c r="A128" s="61" t="s">
        <v>743</v>
      </c>
      <c r="B128" s="14" t="s">
        <v>461</v>
      </c>
      <c r="C128" s="8" t="s">
        <v>47</v>
      </c>
      <c r="D128" s="25">
        <f t="shared" si="28"/>
        <v>370</v>
      </c>
      <c r="E128" s="54"/>
      <c r="F128" s="9"/>
      <c r="G128" s="88">
        <f t="shared" ref="G128:AC128" si="38">G115/3*2</f>
        <v>0</v>
      </c>
      <c r="H128" s="88">
        <f t="shared" si="38"/>
        <v>52</v>
      </c>
      <c r="I128" s="88">
        <f t="shared" si="38"/>
        <v>24</v>
      </c>
      <c r="J128" s="88">
        <f t="shared" si="38"/>
        <v>0</v>
      </c>
      <c r="K128" s="88">
        <f t="shared" si="38"/>
        <v>0</v>
      </c>
      <c r="L128" s="88">
        <f t="shared" si="38"/>
        <v>42</v>
      </c>
      <c r="M128" s="88">
        <f t="shared" si="38"/>
        <v>58</v>
      </c>
      <c r="N128" s="88">
        <f t="shared" si="38"/>
        <v>58</v>
      </c>
      <c r="O128" s="88">
        <f t="shared" si="38"/>
        <v>58</v>
      </c>
      <c r="P128" s="88">
        <f t="shared" si="38"/>
        <v>0</v>
      </c>
      <c r="Q128" s="88">
        <f t="shared" si="38"/>
        <v>0</v>
      </c>
      <c r="R128" s="88">
        <f t="shared" si="38"/>
        <v>0</v>
      </c>
      <c r="S128" s="88">
        <f t="shared" si="38"/>
        <v>0</v>
      </c>
      <c r="T128" s="88">
        <f t="shared" si="38"/>
        <v>0</v>
      </c>
      <c r="U128" s="88">
        <f t="shared" si="38"/>
        <v>46</v>
      </c>
      <c r="V128" s="88">
        <f t="shared" si="38"/>
        <v>0</v>
      </c>
      <c r="W128" s="88">
        <f t="shared" si="38"/>
        <v>22</v>
      </c>
      <c r="X128" s="88">
        <f t="shared" si="38"/>
        <v>0</v>
      </c>
      <c r="Y128" s="88">
        <f t="shared" si="38"/>
        <v>0</v>
      </c>
      <c r="Z128" s="88">
        <f t="shared" si="38"/>
        <v>10</v>
      </c>
      <c r="AA128" s="88">
        <f t="shared" si="38"/>
        <v>0</v>
      </c>
      <c r="AB128" s="88">
        <f t="shared" si="38"/>
        <v>0</v>
      </c>
      <c r="AC128" s="88">
        <f t="shared" si="38"/>
        <v>0</v>
      </c>
      <c r="AD128" s="53" t="e">
        <f>#REF!*D128</f>
        <v>#REF!</v>
      </c>
      <c r="AE128" s="53" t="e">
        <f>AD128-#REF!</f>
        <v>#REF!</v>
      </c>
      <c r="AF128" s="8"/>
      <c r="AG128" s="33" t="e">
        <f>#REF!-D128</f>
        <v>#REF!</v>
      </c>
      <c r="AH128" s="8"/>
      <c r="AI128" s="8"/>
      <c r="AJ128" s="8"/>
      <c r="AK128" s="8"/>
    </row>
    <row r="129" spans="1:37" s="17" customFormat="1" ht="30.6" outlineLevel="1" x14ac:dyDescent="0.2">
      <c r="A129" s="61" t="s">
        <v>744</v>
      </c>
      <c r="B129" s="14" t="s">
        <v>421</v>
      </c>
      <c r="C129" s="8" t="s">
        <v>47</v>
      </c>
      <c r="D129" s="25">
        <f t="shared" si="28"/>
        <v>288</v>
      </c>
      <c r="E129" s="54"/>
      <c r="F129" s="9"/>
      <c r="G129" s="88">
        <f>G116/3*2</f>
        <v>0</v>
      </c>
      <c r="H129" s="88">
        <f>H119/3*2</f>
        <v>16</v>
      </c>
      <c r="I129" s="88">
        <f t="shared" ref="I129:T129" si="39">I116/3*2</f>
        <v>24</v>
      </c>
      <c r="J129" s="88">
        <f t="shared" si="39"/>
        <v>0</v>
      </c>
      <c r="K129" s="88">
        <f t="shared" si="39"/>
        <v>0</v>
      </c>
      <c r="L129" s="88">
        <f t="shared" si="39"/>
        <v>42</v>
      </c>
      <c r="M129" s="88">
        <f t="shared" si="39"/>
        <v>58</v>
      </c>
      <c r="N129" s="88">
        <f t="shared" si="39"/>
        <v>58</v>
      </c>
      <c r="O129" s="88">
        <f t="shared" si="39"/>
        <v>58</v>
      </c>
      <c r="P129" s="88">
        <f t="shared" si="39"/>
        <v>0</v>
      </c>
      <c r="Q129" s="88">
        <f t="shared" si="39"/>
        <v>0</v>
      </c>
      <c r="R129" s="88">
        <f t="shared" si="39"/>
        <v>0</v>
      </c>
      <c r="S129" s="88">
        <f t="shared" si="39"/>
        <v>0</v>
      </c>
      <c r="T129" s="88">
        <f t="shared" si="39"/>
        <v>0</v>
      </c>
      <c r="U129" s="88">
        <f>U119/3*2</f>
        <v>0</v>
      </c>
      <c r="V129" s="88">
        <f t="shared" ref="V129:AC129" si="40">V116/3*2</f>
        <v>0</v>
      </c>
      <c r="W129" s="88">
        <f t="shared" si="40"/>
        <v>22</v>
      </c>
      <c r="X129" s="88">
        <f t="shared" si="40"/>
        <v>0</v>
      </c>
      <c r="Y129" s="88">
        <f t="shared" si="40"/>
        <v>0</v>
      </c>
      <c r="Z129" s="88">
        <f t="shared" si="40"/>
        <v>10</v>
      </c>
      <c r="AA129" s="88">
        <f t="shared" si="40"/>
        <v>0</v>
      </c>
      <c r="AB129" s="88">
        <f t="shared" si="40"/>
        <v>0</v>
      </c>
      <c r="AC129" s="88">
        <f t="shared" si="40"/>
        <v>0</v>
      </c>
      <c r="AD129" s="53" t="e">
        <f>#REF!*D129</f>
        <v>#REF!</v>
      </c>
      <c r="AE129" s="53" t="e">
        <f>AD129-#REF!</f>
        <v>#REF!</v>
      </c>
      <c r="AF129" s="8"/>
      <c r="AG129" s="33" t="e">
        <f>#REF!-D129</f>
        <v>#REF!</v>
      </c>
      <c r="AH129" s="8"/>
      <c r="AI129" s="8"/>
      <c r="AJ129" s="8"/>
      <c r="AK129" s="8"/>
    </row>
    <row r="130" spans="1:37" s="17" customFormat="1" ht="20.399999999999999" outlineLevel="1" x14ac:dyDescent="0.2">
      <c r="A130" s="61" t="s">
        <v>745</v>
      </c>
      <c r="B130" s="14" t="s">
        <v>424</v>
      </c>
      <c r="C130" s="8" t="s">
        <v>47</v>
      </c>
      <c r="D130" s="25">
        <f t="shared" si="28"/>
        <v>386</v>
      </c>
      <c r="E130" s="54"/>
      <c r="F130" s="9"/>
      <c r="G130" s="88">
        <f>G126</f>
        <v>0</v>
      </c>
      <c r="H130" s="88">
        <f>H126+H127</f>
        <v>68</v>
      </c>
      <c r="I130" s="88">
        <f t="shared" ref="I130:T130" si="41">I126</f>
        <v>24</v>
      </c>
      <c r="J130" s="88">
        <f t="shared" si="41"/>
        <v>0</v>
      </c>
      <c r="K130" s="88">
        <f t="shared" si="41"/>
        <v>0</v>
      </c>
      <c r="L130" s="88">
        <f t="shared" si="41"/>
        <v>42</v>
      </c>
      <c r="M130" s="88">
        <f t="shared" si="41"/>
        <v>58</v>
      </c>
      <c r="N130" s="88">
        <f t="shared" si="41"/>
        <v>58</v>
      </c>
      <c r="O130" s="88">
        <f t="shared" si="41"/>
        <v>58</v>
      </c>
      <c r="P130" s="88">
        <f t="shared" si="41"/>
        <v>0</v>
      </c>
      <c r="Q130" s="88">
        <f t="shared" si="41"/>
        <v>0</v>
      </c>
      <c r="R130" s="88">
        <f t="shared" si="41"/>
        <v>0</v>
      </c>
      <c r="S130" s="88">
        <f t="shared" si="41"/>
        <v>0</v>
      </c>
      <c r="T130" s="88">
        <f t="shared" si="41"/>
        <v>0</v>
      </c>
      <c r="U130" s="88">
        <f>U126+U127</f>
        <v>46</v>
      </c>
      <c r="V130" s="88">
        <f t="shared" ref="V130:AC130" si="42">V126</f>
        <v>0</v>
      </c>
      <c r="W130" s="88">
        <f t="shared" si="42"/>
        <v>22</v>
      </c>
      <c r="X130" s="88">
        <f t="shared" si="42"/>
        <v>0</v>
      </c>
      <c r="Y130" s="88">
        <f t="shared" si="42"/>
        <v>0</v>
      </c>
      <c r="Z130" s="88">
        <f t="shared" si="42"/>
        <v>10</v>
      </c>
      <c r="AA130" s="88">
        <f t="shared" si="42"/>
        <v>0</v>
      </c>
      <c r="AB130" s="88">
        <f t="shared" si="42"/>
        <v>0</v>
      </c>
      <c r="AC130" s="88">
        <f t="shared" si="42"/>
        <v>0</v>
      </c>
      <c r="AD130" s="53" t="e">
        <f>#REF!*D130</f>
        <v>#REF!</v>
      </c>
      <c r="AE130" s="53" t="e">
        <f>AD130-#REF!</f>
        <v>#REF!</v>
      </c>
      <c r="AF130" s="8"/>
      <c r="AG130" s="33" t="e">
        <f>#REF!-D130</f>
        <v>#REF!</v>
      </c>
      <c r="AH130" s="8"/>
      <c r="AI130" s="8"/>
      <c r="AJ130" s="8"/>
      <c r="AK130" s="8"/>
    </row>
    <row r="131" spans="1:37" s="12" customFormat="1" ht="20.399999999999999" outlineLevel="1" x14ac:dyDescent="0.2">
      <c r="A131" s="61" t="s">
        <v>746</v>
      </c>
      <c r="B131" s="14" t="s">
        <v>69</v>
      </c>
      <c r="C131" s="9" t="s">
        <v>47</v>
      </c>
      <c r="D131" s="25">
        <f t="shared" si="28"/>
        <v>772</v>
      </c>
      <c r="E131" s="54"/>
      <c r="F131" s="78"/>
      <c r="G131" s="88">
        <f t="shared" ref="G131:AC131" si="43">G130*2</f>
        <v>0</v>
      </c>
      <c r="H131" s="88">
        <f t="shared" si="43"/>
        <v>136</v>
      </c>
      <c r="I131" s="88">
        <f t="shared" si="43"/>
        <v>48</v>
      </c>
      <c r="J131" s="88">
        <f t="shared" si="43"/>
        <v>0</v>
      </c>
      <c r="K131" s="88">
        <f t="shared" si="43"/>
        <v>0</v>
      </c>
      <c r="L131" s="88">
        <f t="shared" si="43"/>
        <v>84</v>
      </c>
      <c r="M131" s="88">
        <f t="shared" si="43"/>
        <v>116</v>
      </c>
      <c r="N131" s="88">
        <f t="shared" si="43"/>
        <v>116</v>
      </c>
      <c r="O131" s="88">
        <f t="shared" si="43"/>
        <v>116</v>
      </c>
      <c r="P131" s="88">
        <f t="shared" si="43"/>
        <v>0</v>
      </c>
      <c r="Q131" s="88">
        <f t="shared" si="43"/>
        <v>0</v>
      </c>
      <c r="R131" s="88">
        <f t="shared" si="43"/>
        <v>0</v>
      </c>
      <c r="S131" s="88">
        <f t="shared" si="43"/>
        <v>0</v>
      </c>
      <c r="T131" s="88">
        <f t="shared" si="43"/>
        <v>0</v>
      </c>
      <c r="U131" s="88">
        <f t="shared" si="43"/>
        <v>92</v>
      </c>
      <c r="V131" s="88">
        <f t="shared" si="43"/>
        <v>0</v>
      </c>
      <c r="W131" s="88">
        <f t="shared" si="43"/>
        <v>44</v>
      </c>
      <c r="X131" s="88">
        <f t="shared" si="43"/>
        <v>0</v>
      </c>
      <c r="Y131" s="88">
        <f t="shared" si="43"/>
        <v>0</v>
      </c>
      <c r="Z131" s="88">
        <f t="shared" si="43"/>
        <v>20</v>
      </c>
      <c r="AA131" s="88">
        <f t="shared" si="43"/>
        <v>0</v>
      </c>
      <c r="AB131" s="88">
        <f t="shared" si="43"/>
        <v>0</v>
      </c>
      <c r="AC131" s="88">
        <f t="shared" si="43"/>
        <v>0</v>
      </c>
      <c r="AD131" s="53" t="e">
        <f>#REF!*D131</f>
        <v>#REF!</v>
      </c>
      <c r="AE131" s="53" t="e">
        <f>AD131-#REF!</f>
        <v>#REF!</v>
      </c>
      <c r="AF131" s="9"/>
      <c r="AG131" s="33" t="e">
        <f>#REF!-D131</f>
        <v>#REF!</v>
      </c>
      <c r="AH131" s="9"/>
      <c r="AI131" s="9"/>
      <c r="AJ131" s="9"/>
      <c r="AK131" s="9"/>
    </row>
    <row r="132" spans="1:37" s="12" customFormat="1" ht="20.399999999999999" outlineLevel="1" x14ac:dyDescent="0.2">
      <c r="A132" s="61" t="s">
        <v>747</v>
      </c>
      <c r="B132" s="14" t="s">
        <v>1032</v>
      </c>
      <c r="C132" s="9" t="s">
        <v>47</v>
      </c>
      <c r="D132" s="25">
        <f t="shared" si="28"/>
        <v>2316</v>
      </c>
      <c r="E132" s="54"/>
      <c r="F132" s="78"/>
      <c r="G132" s="88">
        <f t="shared" ref="G132:AC132" si="44">G130*6</f>
        <v>0</v>
      </c>
      <c r="H132" s="88">
        <f t="shared" si="44"/>
        <v>408</v>
      </c>
      <c r="I132" s="88">
        <f t="shared" si="44"/>
        <v>144</v>
      </c>
      <c r="J132" s="88">
        <f t="shared" si="44"/>
        <v>0</v>
      </c>
      <c r="K132" s="88">
        <f t="shared" si="44"/>
        <v>0</v>
      </c>
      <c r="L132" s="88">
        <f t="shared" si="44"/>
        <v>252</v>
      </c>
      <c r="M132" s="88">
        <f t="shared" si="44"/>
        <v>348</v>
      </c>
      <c r="N132" s="88">
        <f t="shared" si="44"/>
        <v>348</v>
      </c>
      <c r="O132" s="88">
        <f t="shared" si="44"/>
        <v>348</v>
      </c>
      <c r="P132" s="88">
        <f t="shared" si="44"/>
        <v>0</v>
      </c>
      <c r="Q132" s="88">
        <f t="shared" si="44"/>
        <v>0</v>
      </c>
      <c r="R132" s="88">
        <f t="shared" si="44"/>
        <v>0</v>
      </c>
      <c r="S132" s="88">
        <f t="shared" si="44"/>
        <v>0</v>
      </c>
      <c r="T132" s="88">
        <f t="shared" si="44"/>
        <v>0</v>
      </c>
      <c r="U132" s="88">
        <f t="shared" si="44"/>
        <v>276</v>
      </c>
      <c r="V132" s="88">
        <f t="shared" si="44"/>
        <v>0</v>
      </c>
      <c r="W132" s="88">
        <f t="shared" si="44"/>
        <v>132</v>
      </c>
      <c r="X132" s="88">
        <f t="shared" si="44"/>
        <v>0</v>
      </c>
      <c r="Y132" s="88">
        <f t="shared" si="44"/>
        <v>0</v>
      </c>
      <c r="Z132" s="88">
        <f t="shared" si="44"/>
        <v>60</v>
      </c>
      <c r="AA132" s="88">
        <f t="shared" si="44"/>
        <v>0</v>
      </c>
      <c r="AB132" s="88">
        <f t="shared" si="44"/>
        <v>0</v>
      </c>
      <c r="AC132" s="88">
        <f t="shared" si="44"/>
        <v>0</v>
      </c>
      <c r="AD132" s="53" t="e">
        <f>#REF!*D132</f>
        <v>#REF!</v>
      </c>
      <c r="AE132" s="53" t="e">
        <f>AD132-#REF!</f>
        <v>#REF!</v>
      </c>
      <c r="AF132" s="9"/>
      <c r="AG132" s="33" t="e">
        <f>#REF!-D132</f>
        <v>#REF!</v>
      </c>
      <c r="AH132" s="9"/>
      <c r="AI132" s="9"/>
      <c r="AJ132" s="9"/>
      <c r="AK132" s="9"/>
    </row>
    <row r="133" spans="1:37" s="17" customFormat="1" ht="20.399999999999999" outlineLevel="1" x14ac:dyDescent="0.2">
      <c r="A133" s="61" t="s">
        <v>748</v>
      </c>
      <c r="B133" s="14" t="s">
        <v>1033</v>
      </c>
      <c r="C133" s="8" t="s">
        <v>48</v>
      </c>
      <c r="D133" s="25">
        <f t="shared" si="28"/>
        <v>207</v>
      </c>
      <c r="E133" s="54"/>
      <c r="F133" s="9"/>
      <c r="G133" s="88">
        <f t="shared" ref="G133:AC133" si="45">MROUND(G126*0.55,3)</f>
        <v>0</v>
      </c>
      <c r="H133" s="88">
        <f t="shared" si="45"/>
        <v>30</v>
      </c>
      <c r="I133" s="88">
        <f t="shared" si="45"/>
        <v>12</v>
      </c>
      <c r="J133" s="88">
        <f t="shared" si="45"/>
        <v>0</v>
      </c>
      <c r="K133" s="88">
        <f t="shared" si="45"/>
        <v>0</v>
      </c>
      <c r="L133" s="88">
        <f t="shared" si="45"/>
        <v>24</v>
      </c>
      <c r="M133" s="88">
        <f t="shared" si="45"/>
        <v>33</v>
      </c>
      <c r="N133" s="88">
        <f t="shared" si="45"/>
        <v>33</v>
      </c>
      <c r="O133" s="88">
        <f t="shared" si="45"/>
        <v>33</v>
      </c>
      <c r="P133" s="88">
        <f t="shared" si="45"/>
        <v>0</v>
      </c>
      <c r="Q133" s="88">
        <f t="shared" si="45"/>
        <v>0</v>
      </c>
      <c r="R133" s="88">
        <f t="shared" si="45"/>
        <v>0</v>
      </c>
      <c r="S133" s="88">
        <f t="shared" si="45"/>
        <v>0</v>
      </c>
      <c r="T133" s="88">
        <f t="shared" si="45"/>
        <v>0</v>
      </c>
      <c r="U133" s="88">
        <f t="shared" si="45"/>
        <v>24</v>
      </c>
      <c r="V133" s="88">
        <f t="shared" si="45"/>
        <v>0</v>
      </c>
      <c r="W133" s="88">
        <f t="shared" si="45"/>
        <v>12</v>
      </c>
      <c r="X133" s="88">
        <f t="shared" si="45"/>
        <v>0</v>
      </c>
      <c r="Y133" s="88">
        <f t="shared" si="45"/>
        <v>0</v>
      </c>
      <c r="Z133" s="88">
        <f t="shared" si="45"/>
        <v>6</v>
      </c>
      <c r="AA133" s="88">
        <f t="shared" si="45"/>
        <v>0</v>
      </c>
      <c r="AB133" s="88">
        <f t="shared" si="45"/>
        <v>0</v>
      </c>
      <c r="AC133" s="88">
        <f t="shared" si="45"/>
        <v>0</v>
      </c>
      <c r="AD133" s="53" t="e">
        <f>#REF!*D133</f>
        <v>#REF!</v>
      </c>
      <c r="AE133" s="53" t="e">
        <f>AD133-#REF!</f>
        <v>#REF!</v>
      </c>
      <c r="AF133" s="8"/>
      <c r="AG133" s="33" t="e">
        <f>#REF!-D133</f>
        <v>#REF!</v>
      </c>
      <c r="AH133" s="8"/>
      <c r="AI133" s="8"/>
      <c r="AJ133" s="8"/>
      <c r="AK133" s="8"/>
    </row>
    <row r="134" spans="1:37" s="17" customFormat="1" ht="26.25" customHeight="1" outlineLevel="1" x14ac:dyDescent="0.2">
      <c r="A134" s="61" t="s">
        <v>749</v>
      </c>
      <c r="B134" s="47" t="s">
        <v>425</v>
      </c>
      <c r="C134" s="8" t="s">
        <v>47</v>
      </c>
      <c r="D134" s="25">
        <f t="shared" si="28"/>
        <v>3088</v>
      </c>
      <c r="E134" s="54"/>
      <c r="F134" s="9"/>
      <c r="G134" s="88">
        <f>G128*8</f>
        <v>0</v>
      </c>
      <c r="H134" s="88">
        <f>H128*8+H129*8</f>
        <v>544</v>
      </c>
      <c r="I134" s="88">
        <f t="shared" ref="I134:T134" si="46">I128*8</f>
        <v>192</v>
      </c>
      <c r="J134" s="88">
        <f t="shared" si="46"/>
        <v>0</v>
      </c>
      <c r="K134" s="88">
        <f t="shared" si="46"/>
        <v>0</v>
      </c>
      <c r="L134" s="88">
        <f t="shared" si="46"/>
        <v>336</v>
      </c>
      <c r="M134" s="88">
        <f t="shared" si="46"/>
        <v>464</v>
      </c>
      <c r="N134" s="88">
        <f t="shared" si="46"/>
        <v>464</v>
      </c>
      <c r="O134" s="88">
        <f t="shared" si="46"/>
        <v>464</v>
      </c>
      <c r="P134" s="88">
        <f t="shared" si="46"/>
        <v>0</v>
      </c>
      <c r="Q134" s="88">
        <f t="shared" si="46"/>
        <v>0</v>
      </c>
      <c r="R134" s="88">
        <f t="shared" si="46"/>
        <v>0</v>
      </c>
      <c r="S134" s="88">
        <f t="shared" si="46"/>
        <v>0</v>
      </c>
      <c r="T134" s="88">
        <f t="shared" si="46"/>
        <v>0</v>
      </c>
      <c r="U134" s="88">
        <f>U128*8+U129*8</f>
        <v>368</v>
      </c>
      <c r="V134" s="88">
        <f t="shared" ref="V134:AC134" si="47">V128*8</f>
        <v>0</v>
      </c>
      <c r="W134" s="88">
        <f t="shared" si="47"/>
        <v>176</v>
      </c>
      <c r="X134" s="88">
        <f t="shared" si="47"/>
        <v>0</v>
      </c>
      <c r="Y134" s="88">
        <f t="shared" si="47"/>
        <v>0</v>
      </c>
      <c r="Z134" s="88">
        <f t="shared" si="47"/>
        <v>80</v>
      </c>
      <c r="AA134" s="88">
        <f t="shared" si="47"/>
        <v>0</v>
      </c>
      <c r="AB134" s="88">
        <f t="shared" si="47"/>
        <v>0</v>
      </c>
      <c r="AC134" s="88">
        <f t="shared" si="47"/>
        <v>0</v>
      </c>
      <c r="AD134" s="53" t="e">
        <f>#REF!*D134</f>
        <v>#REF!</v>
      </c>
      <c r="AE134" s="53" t="e">
        <f>AD134-#REF!</f>
        <v>#REF!</v>
      </c>
      <c r="AF134" s="8"/>
      <c r="AG134" s="33" t="e">
        <f>#REF!-D134</f>
        <v>#REF!</v>
      </c>
      <c r="AH134" s="8"/>
      <c r="AI134" s="8"/>
      <c r="AJ134" s="8"/>
      <c r="AK134" s="8"/>
    </row>
    <row r="135" spans="1:37" s="17" customFormat="1" ht="30.6" outlineLevel="1" collapsed="1" x14ac:dyDescent="0.2">
      <c r="A135" s="61" t="s">
        <v>750</v>
      </c>
      <c r="B135" s="235" t="s">
        <v>2468</v>
      </c>
      <c r="C135" s="8" t="s">
        <v>48</v>
      </c>
      <c r="D135" s="25">
        <f t="shared" ref="D135:D157" si="48">SUM(G135:AC135)</f>
        <v>652</v>
      </c>
      <c r="E135" s="54"/>
      <c r="F135" s="9"/>
      <c r="G135" s="33">
        <v>0</v>
      </c>
      <c r="H135" s="33">
        <f>163+47</f>
        <v>210</v>
      </c>
      <c r="I135" s="9">
        <v>0</v>
      </c>
      <c r="J135" s="9">
        <v>0</v>
      </c>
      <c r="K135" s="9">
        <v>0</v>
      </c>
      <c r="L135" s="9">
        <v>0</v>
      </c>
      <c r="M135" s="9">
        <v>0</v>
      </c>
      <c r="N135" s="9">
        <v>0</v>
      </c>
      <c r="O135" s="9">
        <v>0</v>
      </c>
      <c r="P135" s="9">
        <v>0</v>
      </c>
      <c r="Q135" s="9">
        <v>0</v>
      </c>
      <c r="R135" s="9">
        <v>0</v>
      </c>
      <c r="S135" s="9">
        <v>0</v>
      </c>
      <c r="T135" s="49">
        <v>0</v>
      </c>
      <c r="U135" s="33">
        <v>12</v>
      </c>
      <c r="V135" s="9">
        <v>84</v>
      </c>
      <c r="W135" s="9">
        <v>99</v>
      </c>
      <c r="X135" s="9">
        <v>54</v>
      </c>
      <c r="Y135" s="9">
        <v>51</v>
      </c>
      <c r="Z135" s="9">
        <v>91</v>
      </c>
      <c r="AA135" s="9">
        <v>51</v>
      </c>
      <c r="AB135" s="9">
        <v>0</v>
      </c>
      <c r="AC135" s="49">
        <v>0</v>
      </c>
      <c r="AD135" s="53" t="e">
        <f>#REF!*D135</f>
        <v>#REF!</v>
      </c>
      <c r="AE135" s="53" t="e">
        <f>AD135-#REF!</f>
        <v>#REF!</v>
      </c>
      <c r="AF135" s="8"/>
      <c r="AG135" s="33" t="e">
        <f>#REF!-D135</f>
        <v>#REF!</v>
      </c>
      <c r="AH135" s="8"/>
      <c r="AI135" s="8"/>
      <c r="AJ135" s="8"/>
      <c r="AK135" s="8"/>
    </row>
    <row r="136" spans="1:37" s="17" customFormat="1" ht="20.399999999999999" outlineLevel="1" x14ac:dyDescent="0.2">
      <c r="A136" s="61" t="s">
        <v>751</v>
      </c>
      <c r="B136" s="47" t="s">
        <v>2499</v>
      </c>
      <c r="C136" s="9" t="s">
        <v>47</v>
      </c>
      <c r="D136" s="25">
        <f t="shared" si="48"/>
        <v>217.33333333333334</v>
      </c>
      <c r="E136" s="54"/>
      <c r="F136" s="9"/>
      <c r="G136" s="88">
        <f t="shared" ref="G136:AC136" si="49">G135/3</f>
        <v>0</v>
      </c>
      <c r="H136" s="88">
        <f t="shared" si="49"/>
        <v>70</v>
      </c>
      <c r="I136" s="88">
        <f t="shared" si="49"/>
        <v>0</v>
      </c>
      <c r="J136" s="88">
        <f t="shared" si="49"/>
        <v>0</v>
      </c>
      <c r="K136" s="88">
        <f t="shared" si="49"/>
        <v>0</v>
      </c>
      <c r="L136" s="88">
        <f t="shared" si="49"/>
        <v>0</v>
      </c>
      <c r="M136" s="88">
        <f t="shared" si="49"/>
        <v>0</v>
      </c>
      <c r="N136" s="88">
        <f t="shared" si="49"/>
        <v>0</v>
      </c>
      <c r="O136" s="88">
        <f t="shared" si="49"/>
        <v>0</v>
      </c>
      <c r="P136" s="88">
        <f t="shared" si="49"/>
        <v>0</v>
      </c>
      <c r="Q136" s="88">
        <f t="shared" si="49"/>
        <v>0</v>
      </c>
      <c r="R136" s="88">
        <f t="shared" si="49"/>
        <v>0</v>
      </c>
      <c r="S136" s="88">
        <f t="shared" si="49"/>
        <v>0</v>
      </c>
      <c r="T136" s="88">
        <f t="shared" si="49"/>
        <v>0</v>
      </c>
      <c r="U136" s="88">
        <f t="shared" si="49"/>
        <v>4</v>
      </c>
      <c r="V136" s="88">
        <f t="shared" si="49"/>
        <v>28</v>
      </c>
      <c r="W136" s="88">
        <f t="shared" si="49"/>
        <v>33</v>
      </c>
      <c r="X136" s="88">
        <f t="shared" si="49"/>
        <v>18</v>
      </c>
      <c r="Y136" s="88">
        <f t="shared" si="49"/>
        <v>17</v>
      </c>
      <c r="Z136" s="88">
        <f t="shared" si="49"/>
        <v>30.333333333333332</v>
      </c>
      <c r="AA136" s="88">
        <f t="shared" si="49"/>
        <v>17</v>
      </c>
      <c r="AB136" s="88">
        <f t="shared" si="49"/>
        <v>0</v>
      </c>
      <c r="AC136" s="88">
        <f t="shared" si="49"/>
        <v>0</v>
      </c>
      <c r="AD136" s="53" t="e">
        <f>#REF!*D136</f>
        <v>#REF!</v>
      </c>
      <c r="AE136" s="53" t="e">
        <f>AD136-#REF!</f>
        <v>#REF!</v>
      </c>
      <c r="AF136" s="8"/>
      <c r="AG136" s="33" t="e">
        <f>#REF!-D136</f>
        <v>#REF!</v>
      </c>
      <c r="AH136" s="8"/>
      <c r="AI136" s="8"/>
      <c r="AJ136" s="8"/>
      <c r="AK136" s="8"/>
    </row>
    <row r="137" spans="1:37" s="17" customFormat="1" ht="20.399999999999999" outlineLevel="1" x14ac:dyDescent="0.2">
      <c r="A137" s="61" t="s">
        <v>752</v>
      </c>
      <c r="B137" s="47" t="s">
        <v>2470</v>
      </c>
      <c r="C137" s="9" t="s">
        <v>47</v>
      </c>
      <c r="D137" s="25">
        <f t="shared" si="48"/>
        <v>12</v>
      </c>
      <c r="E137" s="54"/>
      <c r="F137" s="9"/>
      <c r="G137" s="33">
        <v>0</v>
      </c>
      <c r="H137" s="33">
        <f>4+1</f>
        <v>5</v>
      </c>
      <c r="I137" s="33">
        <v>0</v>
      </c>
      <c r="J137" s="33">
        <v>0</v>
      </c>
      <c r="K137" s="33">
        <v>0</v>
      </c>
      <c r="L137" s="33">
        <v>0</v>
      </c>
      <c r="M137" s="33">
        <v>0</v>
      </c>
      <c r="N137" s="33">
        <v>0</v>
      </c>
      <c r="O137" s="33">
        <v>0</v>
      </c>
      <c r="P137" s="33">
        <v>0</v>
      </c>
      <c r="Q137" s="33">
        <v>0</v>
      </c>
      <c r="R137" s="33">
        <v>0</v>
      </c>
      <c r="S137" s="33">
        <v>0</v>
      </c>
      <c r="T137" s="33">
        <v>0</v>
      </c>
      <c r="U137" s="33">
        <v>0</v>
      </c>
      <c r="V137" s="33">
        <v>2</v>
      </c>
      <c r="W137" s="33">
        <v>2</v>
      </c>
      <c r="X137" s="33">
        <v>1</v>
      </c>
      <c r="Y137" s="33">
        <v>1</v>
      </c>
      <c r="Z137" s="33">
        <v>0</v>
      </c>
      <c r="AA137" s="33">
        <v>1</v>
      </c>
      <c r="AB137" s="33">
        <v>0</v>
      </c>
      <c r="AC137" s="33">
        <v>0</v>
      </c>
      <c r="AD137" s="53" t="e">
        <f>#REF!*D137</f>
        <v>#REF!</v>
      </c>
      <c r="AE137" s="53" t="e">
        <f>AD137-#REF!</f>
        <v>#REF!</v>
      </c>
      <c r="AF137" s="8"/>
      <c r="AG137" s="33" t="e">
        <f>#REF!-D137</f>
        <v>#REF!</v>
      </c>
      <c r="AH137" s="8"/>
      <c r="AI137" s="8"/>
      <c r="AJ137" s="8"/>
      <c r="AK137" s="8"/>
    </row>
    <row r="138" spans="1:37" s="17" customFormat="1" ht="20.399999999999999" outlineLevel="1" x14ac:dyDescent="0.2">
      <c r="A138" s="61" t="s">
        <v>753</v>
      </c>
      <c r="B138" s="47" t="s">
        <v>2471</v>
      </c>
      <c r="C138" s="9" t="s">
        <v>47</v>
      </c>
      <c r="D138" s="25">
        <f t="shared" si="48"/>
        <v>1</v>
      </c>
      <c r="E138" s="54"/>
      <c r="F138" s="9"/>
      <c r="G138" s="33">
        <v>0</v>
      </c>
      <c r="H138" s="33">
        <v>1</v>
      </c>
      <c r="I138" s="33">
        <v>0</v>
      </c>
      <c r="J138" s="33">
        <v>0</v>
      </c>
      <c r="K138" s="33">
        <v>0</v>
      </c>
      <c r="L138" s="33">
        <v>0</v>
      </c>
      <c r="M138" s="33">
        <v>0</v>
      </c>
      <c r="N138" s="33">
        <v>0</v>
      </c>
      <c r="O138" s="33">
        <v>0</v>
      </c>
      <c r="P138" s="33">
        <v>0</v>
      </c>
      <c r="Q138" s="33">
        <v>0</v>
      </c>
      <c r="R138" s="33">
        <v>0</v>
      </c>
      <c r="S138" s="33">
        <v>0</v>
      </c>
      <c r="T138" s="33">
        <v>0</v>
      </c>
      <c r="U138" s="33">
        <v>0</v>
      </c>
      <c r="V138" s="33">
        <v>0</v>
      </c>
      <c r="W138" s="33">
        <v>0</v>
      </c>
      <c r="X138" s="33">
        <v>0</v>
      </c>
      <c r="Y138" s="33">
        <v>0</v>
      </c>
      <c r="Z138" s="33">
        <v>0</v>
      </c>
      <c r="AA138" s="33">
        <v>0</v>
      </c>
      <c r="AB138" s="33">
        <v>0</v>
      </c>
      <c r="AC138" s="33">
        <v>0</v>
      </c>
      <c r="AD138" s="53" t="e">
        <f>#REF!*D138</f>
        <v>#REF!</v>
      </c>
      <c r="AE138" s="53" t="e">
        <f>AD138-#REF!</f>
        <v>#REF!</v>
      </c>
      <c r="AF138" s="8"/>
      <c r="AG138" s="33" t="e">
        <f>#REF!-D138</f>
        <v>#REF!</v>
      </c>
      <c r="AH138" s="8"/>
      <c r="AI138" s="8"/>
      <c r="AJ138" s="8"/>
      <c r="AK138" s="8"/>
    </row>
    <row r="139" spans="1:37" s="17" customFormat="1" ht="20.399999999999999" outlineLevel="1" x14ac:dyDescent="0.2">
      <c r="A139" s="61" t="s">
        <v>754</v>
      </c>
      <c r="B139" s="47" t="s">
        <v>2472</v>
      </c>
      <c r="C139" s="9" t="s">
        <v>47</v>
      </c>
      <c r="D139" s="25">
        <f t="shared" si="48"/>
        <v>14</v>
      </c>
      <c r="E139" s="54"/>
      <c r="F139" s="9"/>
      <c r="G139" s="33">
        <v>0</v>
      </c>
      <c r="H139" s="33">
        <f>5+2</f>
        <v>7</v>
      </c>
      <c r="I139" s="33">
        <v>0</v>
      </c>
      <c r="J139" s="33">
        <v>0</v>
      </c>
      <c r="K139" s="33">
        <v>0</v>
      </c>
      <c r="L139" s="33">
        <v>0</v>
      </c>
      <c r="M139" s="33">
        <v>0</v>
      </c>
      <c r="N139" s="33">
        <v>0</v>
      </c>
      <c r="O139" s="33">
        <v>0</v>
      </c>
      <c r="P139" s="33">
        <v>0</v>
      </c>
      <c r="Q139" s="33">
        <v>0</v>
      </c>
      <c r="R139" s="33">
        <v>0</v>
      </c>
      <c r="S139" s="33">
        <v>0</v>
      </c>
      <c r="T139" s="33">
        <v>0</v>
      </c>
      <c r="U139" s="33">
        <v>0</v>
      </c>
      <c r="V139" s="33">
        <v>2</v>
      </c>
      <c r="W139" s="33">
        <v>2</v>
      </c>
      <c r="X139" s="33">
        <v>1</v>
      </c>
      <c r="Y139" s="33">
        <v>1</v>
      </c>
      <c r="Z139" s="33">
        <v>0</v>
      </c>
      <c r="AA139" s="33">
        <v>1</v>
      </c>
      <c r="AB139" s="33">
        <v>0</v>
      </c>
      <c r="AC139" s="33">
        <v>0</v>
      </c>
      <c r="AD139" s="53" t="e">
        <f>#REF!*D139</f>
        <v>#REF!</v>
      </c>
      <c r="AE139" s="53" t="e">
        <f>AD139-#REF!</f>
        <v>#REF!</v>
      </c>
      <c r="AF139" s="8"/>
      <c r="AG139" s="33" t="e">
        <f>#REF!-D139</f>
        <v>#REF!</v>
      </c>
      <c r="AH139" s="8"/>
      <c r="AI139" s="8"/>
      <c r="AJ139" s="8"/>
      <c r="AK139" s="8"/>
    </row>
    <row r="140" spans="1:37" s="17" customFormat="1" ht="30.6" outlineLevel="1" x14ac:dyDescent="0.2">
      <c r="A140" s="61" t="s">
        <v>755</v>
      </c>
      <c r="B140" s="47" t="s">
        <v>2473</v>
      </c>
      <c r="C140" s="9" t="s">
        <v>47</v>
      </c>
      <c r="D140" s="25">
        <f t="shared" si="48"/>
        <v>259</v>
      </c>
      <c r="E140" s="54"/>
      <c r="F140" s="9"/>
      <c r="G140" s="33">
        <v>0</v>
      </c>
      <c r="H140" s="33">
        <f>65+22</f>
        <v>87</v>
      </c>
      <c r="I140" s="33">
        <v>0</v>
      </c>
      <c r="J140" s="33">
        <v>0</v>
      </c>
      <c r="K140" s="33">
        <v>0</v>
      </c>
      <c r="L140" s="33">
        <v>0</v>
      </c>
      <c r="M140" s="33">
        <v>0</v>
      </c>
      <c r="N140" s="33">
        <v>0</v>
      </c>
      <c r="O140" s="33">
        <v>0</v>
      </c>
      <c r="P140" s="33">
        <v>0</v>
      </c>
      <c r="Q140" s="33">
        <v>0</v>
      </c>
      <c r="R140" s="33">
        <v>0</v>
      </c>
      <c r="S140" s="33">
        <v>0</v>
      </c>
      <c r="T140" s="33">
        <v>0</v>
      </c>
      <c r="U140" s="33">
        <v>37</v>
      </c>
      <c r="V140" s="33">
        <v>32</v>
      </c>
      <c r="W140" s="33">
        <v>45</v>
      </c>
      <c r="X140" s="33">
        <v>15</v>
      </c>
      <c r="Y140" s="33">
        <v>11</v>
      </c>
      <c r="Z140" s="33">
        <v>18</v>
      </c>
      <c r="AA140" s="33">
        <v>14</v>
      </c>
      <c r="AB140" s="33">
        <v>0</v>
      </c>
      <c r="AC140" s="33">
        <v>0</v>
      </c>
      <c r="AD140" s="53" t="e">
        <f>#REF!*D140</f>
        <v>#REF!</v>
      </c>
      <c r="AE140" s="53" t="e">
        <f>AD140-#REF!</f>
        <v>#REF!</v>
      </c>
      <c r="AF140" s="8"/>
      <c r="AG140" s="33" t="e">
        <f>#REF!-D140</f>
        <v>#REF!</v>
      </c>
      <c r="AH140" s="8"/>
      <c r="AI140" s="8"/>
      <c r="AJ140" s="8"/>
      <c r="AK140" s="8"/>
    </row>
    <row r="141" spans="1:37" s="17" customFormat="1" ht="20.399999999999999" outlineLevel="1" x14ac:dyDescent="0.2">
      <c r="A141" s="61" t="s">
        <v>756</v>
      </c>
      <c r="B141" s="47" t="s">
        <v>2476</v>
      </c>
      <c r="C141" s="9" t="s">
        <v>47</v>
      </c>
      <c r="D141" s="25">
        <f t="shared" si="48"/>
        <v>383.52941176470586</v>
      </c>
      <c r="E141" s="54"/>
      <c r="F141" s="9"/>
      <c r="G141" s="88">
        <f t="shared" ref="G141:AC141" si="50">G135/1.7</f>
        <v>0</v>
      </c>
      <c r="H141" s="88">
        <f t="shared" si="50"/>
        <v>123.52941176470588</v>
      </c>
      <c r="I141" s="88">
        <f t="shared" si="50"/>
        <v>0</v>
      </c>
      <c r="J141" s="88">
        <f t="shared" si="50"/>
        <v>0</v>
      </c>
      <c r="K141" s="88">
        <f t="shared" si="50"/>
        <v>0</v>
      </c>
      <c r="L141" s="88">
        <f t="shared" si="50"/>
        <v>0</v>
      </c>
      <c r="M141" s="88">
        <f t="shared" si="50"/>
        <v>0</v>
      </c>
      <c r="N141" s="88">
        <f t="shared" si="50"/>
        <v>0</v>
      </c>
      <c r="O141" s="88">
        <f t="shared" si="50"/>
        <v>0</v>
      </c>
      <c r="P141" s="88">
        <f t="shared" si="50"/>
        <v>0</v>
      </c>
      <c r="Q141" s="88">
        <f t="shared" si="50"/>
        <v>0</v>
      </c>
      <c r="R141" s="88">
        <f t="shared" si="50"/>
        <v>0</v>
      </c>
      <c r="S141" s="88">
        <f t="shared" si="50"/>
        <v>0</v>
      </c>
      <c r="T141" s="88">
        <f t="shared" si="50"/>
        <v>0</v>
      </c>
      <c r="U141" s="88">
        <f t="shared" si="50"/>
        <v>7.0588235294117645</v>
      </c>
      <c r="V141" s="88">
        <f t="shared" si="50"/>
        <v>49.411764705882355</v>
      </c>
      <c r="W141" s="88">
        <f t="shared" si="50"/>
        <v>58.235294117647058</v>
      </c>
      <c r="X141" s="88">
        <f t="shared" si="50"/>
        <v>31.764705882352942</v>
      </c>
      <c r="Y141" s="88">
        <f t="shared" si="50"/>
        <v>30</v>
      </c>
      <c r="Z141" s="88">
        <f t="shared" si="50"/>
        <v>53.529411764705884</v>
      </c>
      <c r="AA141" s="88">
        <f t="shared" si="50"/>
        <v>30</v>
      </c>
      <c r="AB141" s="88">
        <f t="shared" si="50"/>
        <v>0</v>
      </c>
      <c r="AC141" s="88">
        <f t="shared" si="50"/>
        <v>0</v>
      </c>
      <c r="AD141" s="53" t="e">
        <f>#REF!*D141</f>
        <v>#REF!</v>
      </c>
      <c r="AE141" s="53" t="e">
        <f>AD141-#REF!</f>
        <v>#REF!</v>
      </c>
      <c r="AF141" s="8"/>
      <c r="AG141" s="33" t="e">
        <f>#REF!-D141</f>
        <v>#REF!</v>
      </c>
      <c r="AH141" s="8"/>
      <c r="AI141" s="8"/>
      <c r="AJ141" s="8"/>
      <c r="AK141" s="8"/>
    </row>
    <row r="142" spans="1:37" s="17" customFormat="1" ht="20.399999999999999" outlineLevel="1" x14ac:dyDescent="0.2">
      <c r="A142" s="61" t="s">
        <v>757</v>
      </c>
      <c r="B142" s="14" t="s">
        <v>424</v>
      </c>
      <c r="C142" s="8" t="s">
        <v>47</v>
      </c>
      <c r="D142" s="25">
        <f t="shared" si="48"/>
        <v>373</v>
      </c>
      <c r="E142" s="54"/>
      <c r="F142" s="9"/>
      <c r="G142" s="88">
        <f t="shared" ref="G142:AC142" si="51">MROUND(G135/1.75,1)</f>
        <v>0</v>
      </c>
      <c r="H142" s="88">
        <f t="shared" si="51"/>
        <v>120</v>
      </c>
      <c r="I142" s="88">
        <f t="shared" si="51"/>
        <v>0</v>
      </c>
      <c r="J142" s="88">
        <f t="shared" si="51"/>
        <v>0</v>
      </c>
      <c r="K142" s="88">
        <f t="shared" si="51"/>
        <v>0</v>
      </c>
      <c r="L142" s="88">
        <f t="shared" si="51"/>
        <v>0</v>
      </c>
      <c r="M142" s="88">
        <f t="shared" si="51"/>
        <v>0</v>
      </c>
      <c r="N142" s="88">
        <f t="shared" si="51"/>
        <v>0</v>
      </c>
      <c r="O142" s="88">
        <f t="shared" si="51"/>
        <v>0</v>
      </c>
      <c r="P142" s="88">
        <f t="shared" si="51"/>
        <v>0</v>
      </c>
      <c r="Q142" s="88">
        <f t="shared" si="51"/>
        <v>0</v>
      </c>
      <c r="R142" s="88">
        <f t="shared" si="51"/>
        <v>0</v>
      </c>
      <c r="S142" s="88">
        <f t="shared" si="51"/>
        <v>0</v>
      </c>
      <c r="T142" s="88">
        <f t="shared" si="51"/>
        <v>0</v>
      </c>
      <c r="U142" s="88">
        <f t="shared" si="51"/>
        <v>7</v>
      </c>
      <c r="V142" s="88">
        <f t="shared" si="51"/>
        <v>48</v>
      </c>
      <c r="W142" s="88">
        <f t="shared" si="51"/>
        <v>57</v>
      </c>
      <c r="X142" s="88">
        <f t="shared" si="51"/>
        <v>31</v>
      </c>
      <c r="Y142" s="88">
        <f t="shared" si="51"/>
        <v>29</v>
      </c>
      <c r="Z142" s="88">
        <f t="shared" si="51"/>
        <v>52</v>
      </c>
      <c r="AA142" s="88">
        <f t="shared" si="51"/>
        <v>29</v>
      </c>
      <c r="AB142" s="88">
        <f t="shared" si="51"/>
        <v>0</v>
      </c>
      <c r="AC142" s="88">
        <f t="shared" si="51"/>
        <v>0</v>
      </c>
      <c r="AD142" s="53" t="e">
        <f>#REF!*D142</f>
        <v>#REF!</v>
      </c>
      <c r="AE142" s="53" t="e">
        <f>AD142-#REF!</f>
        <v>#REF!</v>
      </c>
      <c r="AF142" s="8"/>
      <c r="AG142" s="33" t="e">
        <f>#REF!-D142</f>
        <v>#REF!</v>
      </c>
      <c r="AH142" s="8"/>
      <c r="AI142" s="8"/>
      <c r="AJ142" s="8"/>
      <c r="AK142" s="8"/>
    </row>
    <row r="143" spans="1:37" s="12" customFormat="1" ht="20.399999999999999" outlineLevel="1" x14ac:dyDescent="0.2">
      <c r="A143" s="61" t="s">
        <v>758</v>
      </c>
      <c r="B143" s="14" t="s">
        <v>69</v>
      </c>
      <c r="C143" s="9" t="s">
        <v>47</v>
      </c>
      <c r="D143" s="25">
        <f t="shared" si="48"/>
        <v>746</v>
      </c>
      <c r="E143" s="54"/>
      <c r="F143" s="78"/>
      <c r="G143" s="88">
        <f t="shared" ref="G143:AC143" si="52">G142*2</f>
        <v>0</v>
      </c>
      <c r="H143" s="88">
        <f t="shared" si="52"/>
        <v>240</v>
      </c>
      <c r="I143" s="88">
        <f t="shared" si="52"/>
        <v>0</v>
      </c>
      <c r="J143" s="88">
        <f t="shared" si="52"/>
        <v>0</v>
      </c>
      <c r="K143" s="88">
        <f t="shared" si="52"/>
        <v>0</v>
      </c>
      <c r="L143" s="88">
        <f t="shared" si="52"/>
        <v>0</v>
      </c>
      <c r="M143" s="88">
        <f t="shared" si="52"/>
        <v>0</v>
      </c>
      <c r="N143" s="88">
        <f t="shared" si="52"/>
        <v>0</v>
      </c>
      <c r="O143" s="88">
        <f t="shared" si="52"/>
        <v>0</v>
      </c>
      <c r="P143" s="88">
        <f t="shared" si="52"/>
        <v>0</v>
      </c>
      <c r="Q143" s="88">
        <f t="shared" si="52"/>
        <v>0</v>
      </c>
      <c r="R143" s="88">
        <f t="shared" si="52"/>
        <v>0</v>
      </c>
      <c r="S143" s="88">
        <f t="shared" si="52"/>
        <v>0</v>
      </c>
      <c r="T143" s="88">
        <f t="shared" si="52"/>
        <v>0</v>
      </c>
      <c r="U143" s="88">
        <f t="shared" si="52"/>
        <v>14</v>
      </c>
      <c r="V143" s="88">
        <f t="shared" si="52"/>
        <v>96</v>
      </c>
      <c r="W143" s="88">
        <f t="shared" si="52"/>
        <v>114</v>
      </c>
      <c r="X143" s="88">
        <f t="shared" si="52"/>
        <v>62</v>
      </c>
      <c r="Y143" s="88">
        <f t="shared" si="52"/>
        <v>58</v>
      </c>
      <c r="Z143" s="88">
        <f t="shared" si="52"/>
        <v>104</v>
      </c>
      <c r="AA143" s="88">
        <f t="shared" si="52"/>
        <v>58</v>
      </c>
      <c r="AB143" s="88">
        <f t="shared" si="52"/>
        <v>0</v>
      </c>
      <c r="AC143" s="88">
        <f t="shared" si="52"/>
        <v>0</v>
      </c>
      <c r="AD143" s="53" t="e">
        <f>#REF!*D143</f>
        <v>#REF!</v>
      </c>
      <c r="AE143" s="53" t="e">
        <f>AD143-#REF!</f>
        <v>#REF!</v>
      </c>
      <c r="AF143" s="9"/>
      <c r="AG143" s="33" t="e">
        <f>#REF!-D143</f>
        <v>#REF!</v>
      </c>
      <c r="AH143" s="9"/>
      <c r="AI143" s="9"/>
      <c r="AJ143" s="9"/>
      <c r="AK143" s="9"/>
    </row>
    <row r="144" spans="1:37" s="12" customFormat="1" ht="20.399999999999999" outlineLevel="1" x14ac:dyDescent="0.2">
      <c r="A144" s="61" t="s">
        <v>759</v>
      </c>
      <c r="B144" s="14" t="s">
        <v>1032</v>
      </c>
      <c r="C144" s="9" t="s">
        <v>47</v>
      </c>
      <c r="D144" s="25">
        <f t="shared" si="48"/>
        <v>2238</v>
      </c>
      <c r="E144" s="54"/>
      <c r="F144" s="78"/>
      <c r="G144" s="88">
        <f t="shared" ref="G144:AC144" si="53">G142*6</f>
        <v>0</v>
      </c>
      <c r="H144" s="88">
        <f t="shared" si="53"/>
        <v>720</v>
      </c>
      <c r="I144" s="88">
        <f t="shared" si="53"/>
        <v>0</v>
      </c>
      <c r="J144" s="88">
        <f t="shared" si="53"/>
        <v>0</v>
      </c>
      <c r="K144" s="88">
        <f t="shared" si="53"/>
        <v>0</v>
      </c>
      <c r="L144" s="88">
        <f t="shared" si="53"/>
        <v>0</v>
      </c>
      <c r="M144" s="88">
        <f t="shared" si="53"/>
        <v>0</v>
      </c>
      <c r="N144" s="88">
        <f t="shared" si="53"/>
        <v>0</v>
      </c>
      <c r="O144" s="88">
        <f t="shared" si="53"/>
        <v>0</v>
      </c>
      <c r="P144" s="88">
        <f t="shared" si="53"/>
        <v>0</v>
      </c>
      <c r="Q144" s="88">
        <f t="shared" si="53"/>
        <v>0</v>
      </c>
      <c r="R144" s="88">
        <f t="shared" si="53"/>
        <v>0</v>
      </c>
      <c r="S144" s="88">
        <f t="shared" si="53"/>
        <v>0</v>
      </c>
      <c r="T144" s="88">
        <f t="shared" si="53"/>
        <v>0</v>
      </c>
      <c r="U144" s="88">
        <f t="shared" si="53"/>
        <v>42</v>
      </c>
      <c r="V144" s="88">
        <f t="shared" si="53"/>
        <v>288</v>
      </c>
      <c r="W144" s="88">
        <f t="shared" si="53"/>
        <v>342</v>
      </c>
      <c r="X144" s="88">
        <f t="shared" si="53"/>
        <v>186</v>
      </c>
      <c r="Y144" s="88">
        <f t="shared" si="53"/>
        <v>174</v>
      </c>
      <c r="Z144" s="88">
        <f t="shared" si="53"/>
        <v>312</v>
      </c>
      <c r="AA144" s="88">
        <f t="shared" si="53"/>
        <v>174</v>
      </c>
      <c r="AB144" s="88">
        <f t="shared" si="53"/>
        <v>0</v>
      </c>
      <c r="AC144" s="88">
        <f t="shared" si="53"/>
        <v>0</v>
      </c>
      <c r="AD144" s="53" t="e">
        <f>#REF!*D144</f>
        <v>#REF!</v>
      </c>
      <c r="AE144" s="53" t="e">
        <f>AD144-#REF!</f>
        <v>#REF!</v>
      </c>
      <c r="AF144" s="9"/>
      <c r="AG144" s="33" t="e">
        <f>#REF!-D144</f>
        <v>#REF!</v>
      </c>
      <c r="AH144" s="9"/>
      <c r="AI144" s="9"/>
      <c r="AJ144" s="9"/>
      <c r="AK144" s="9"/>
    </row>
    <row r="145" spans="1:37" s="17" customFormat="1" ht="20.399999999999999" outlineLevel="1" x14ac:dyDescent="0.2">
      <c r="A145" s="61" t="s">
        <v>760</v>
      </c>
      <c r="B145" s="14" t="s">
        <v>1033</v>
      </c>
      <c r="C145" s="8" t="s">
        <v>48</v>
      </c>
      <c r="D145" s="25">
        <f t="shared" si="48"/>
        <v>204</v>
      </c>
      <c r="E145" s="54"/>
      <c r="F145" s="9"/>
      <c r="G145" s="88">
        <f t="shared" ref="G145:AC145" si="54">MROUND(G142*0.55,3)</f>
        <v>0</v>
      </c>
      <c r="H145" s="88">
        <f t="shared" si="54"/>
        <v>66</v>
      </c>
      <c r="I145" s="88">
        <f t="shared" si="54"/>
        <v>0</v>
      </c>
      <c r="J145" s="88">
        <f t="shared" si="54"/>
        <v>0</v>
      </c>
      <c r="K145" s="88">
        <f t="shared" si="54"/>
        <v>0</v>
      </c>
      <c r="L145" s="88">
        <f t="shared" si="54"/>
        <v>0</v>
      </c>
      <c r="M145" s="88">
        <f t="shared" si="54"/>
        <v>0</v>
      </c>
      <c r="N145" s="88">
        <f t="shared" si="54"/>
        <v>0</v>
      </c>
      <c r="O145" s="88">
        <f t="shared" si="54"/>
        <v>0</v>
      </c>
      <c r="P145" s="88">
        <f t="shared" si="54"/>
        <v>0</v>
      </c>
      <c r="Q145" s="88">
        <f t="shared" si="54"/>
        <v>0</v>
      </c>
      <c r="R145" s="88">
        <f t="shared" si="54"/>
        <v>0</v>
      </c>
      <c r="S145" s="88">
        <f t="shared" si="54"/>
        <v>0</v>
      </c>
      <c r="T145" s="88">
        <f t="shared" si="54"/>
        <v>0</v>
      </c>
      <c r="U145" s="88">
        <f t="shared" si="54"/>
        <v>3</v>
      </c>
      <c r="V145" s="88">
        <f t="shared" si="54"/>
        <v>27</v>
      </c>
      <c r="W145" s="88">
        <f t="shared" si="54"/>
        <v>30</v>
      </c>
      <c r="X145" s="88">
        <f t="shared" si="54"/>
        <v>18</v>
      </c>
      <c r="Y145" s="88">
        <f t="shared" si="54"/>
        <v>15</v>
      </c>
      <c r="Z145" s="88">
        <f t="shared" si="54"/>
        <v>30</v>
      </c>
      <c r="AA145" s="88">
        <f t="shared" si="54"/>
        <v>15</v>
      </c>
      <c r="AB145" s="88">
        <f t="shared" si="54"/>
        <v>0</v>
      </c>
      <c r="AC145" s="88">
        <f t="shared" si="54"/>
        <v>0</v>
      </c>
      <c r="AD145" s="53" t="e">
        <f>#REF!*D145</f>
        <v>#REF!</v>
      </c>
      <c r="AE145" s="53" t="e">
        <f>AD145-#REF!</f>
        <v>#REF!</v>
      </c>
      <c r="AF145" s="8"/>
      <c r="AG145" s="33" t="e">
        <f>#REF!-D145</f>
        <v>#REF!</v>
      </c>
      <c r="AH145" s="8"/>
      <c r="AI145" s="8"/>
      <c r="AJ145" s="8"/>
      <c r="AK145" s="8"/>
    </row>
    <row r="146" spans="1:37" s="17" customFormat="1" ht="27" customHeight="1" outlineLevel="1" x14ac:dyDescent="0.2">
      <c r="A146" s="61" t="s">
        <v>761</v>
      </c>
      <c r="B146" s="47" t="s">
        <v>425</v>
      </c>
      <c r="C146" s="8" t="s">
        <v>47</v>
      </c>
      <c r="D146" s="25">
        <f t="shared" si="48"/>
        <v>1495.3333333333333</v>
      </c>
      <c r="E146" s="54"/>
      <c r="F146" s="9"/>
      <c r="G146" s="88">
        <f t="shared" ref="G146:AC146" si="55">G137*6+G138*8+G139*2+G140*2+G136*4</f>
        <v>0</v>
      </c>
      <c r="H146" s="88">
        <f t="shared" si="55"/>
        <v>506</v>
      </c>
      <c r="I146" s="88">
        <f t="shared" si="55"/>
        <v>0</v>
      </c>
      <c r="J146" s="88">
        <f t="shared" si="55"/>
        <v>0</v>
      </c>
      <c r="K146" s="88">
        <f t="shared" si="55"/>
        <v>0</v>
      </c>
      <c r="L146" s="88">
        <f t="shared" si="55"/>
        <v>0</v>
      </c>
      <c r="M146" s="88">
        <f t="shared" si="55"/>
        <v>0</v>
      </c>
      <c r="N146" s="88">
        <f t="shared" si="55"/>
        <v>0</v>
      </c>
      <c r="O146" s="88">
        <f t="shared" si="55"/>
        <v>0</v>
      </c>
      <c r="P146" s="88">
        <f t="shared" si="55"/>
        <v>0</v>
      </c>
      <c r="Q146" s="88">
        <f t="shared" si="55"/>
        <v>0</v>
      </c>
      <c r="R146" s="88">
        <f t="shared" si="55"/>
        <v>0</v>
      </c>
      <c r="S146" s="88">
        <f t="shared" si="55"/>
        <v>0</v>
      </c>
      <c r="T146" s="88">
        <f t="shared" si="55"/>
        <v>0</v>
      </c>
      <c r="U146" s="88">
        <f t="shared" si="55"/>
        <v>90</v>
      </c>
      <c r="V146" s="88">
        <f t="shared" si="55"/>
        <v>192</v>
      </c>
      <c r="W146" s="88">
        <f t="shared" si="55"/>
        <v>238</v>
      </c>
      <c r="X146" s="88">
        <f t="shared" si="55"/>
        <v>110</v>
      </c>
      <c r="Y146" s="88">
        <f t="shared" si="55"/>
        <v>98</v>
      </c>
      <c r="Z146" s="88">
        <f t="shared" si="55"/>
        <v>157.33333333333331</v>
      </c>
      <c r="AA146" s="88">
        <f t="shared" si="55"/>
        <v>104</v>
      </c>
      <c r="AB146" s="88">
        <f t="shared" si="55"/>
        <v>0</v>
      </c>
      <c r="AC146" s="88">
        <f t="shared" si="55"/>
        <v>0</v>
      </c>
      <c r="AD146" s="53" t="e">
        <f>#REF!*D146</f>
        <v>#REF!</v>
      </c>
      <c r="AE146" s="53" t="e">
        <f>AD146-#REF!</f>
        <v>#REF!</v>
      </c>
      <c r="AF146" s="8"/>
      <c r="AG146" s="33" t="e">
        <f>#REF!-D146</f>
        <v>#REF!</v>
      </c>
      <c r="AH146" s="8"/>
      <c r="AI146" s="8"/>
      <c r="AJ146" s="8"/>
      <c r="AK146" s="8"/>
    </row>
    <row r="147" spans="1:37" s="12" customFormat="1" ht="10.199999999999999" outlineLevel="1" x14ac:dyDescent="0.2">
      <c r="A147" s="61" t="s">
        <v>762</v>
      </c>
      <c r="B147" s="11" t="s">
        <v>56</v>
      </c>
      <c r="C147" s="9" t="s">
        <v>57</v>
      </c>
      <c r="D147" s="25">
        <f t="shared" si="48"/>
        <v>22</v>
      </c>
      <c r="E147" s="54"/>
      <c r="F147" s="78"/>
      <c r="G147" s="88">
        <f t="shared" ref="G147:AC147" si="56">MROUND(SUM(G99:G102)*3/100,1)</f>
        <v>0</v>
      </c>
      <c r="H147" s="88">
        <f t="shared" si="56"/>
        <v>4</v>
      </c>
      <c r="I147" s="88">
        <f t="shared" si="56"/>
        <v>1</v>
      </c>
      <c r="J147" s="88">
        <f t="shared" si="56"/>
        <v>0</v>
      </c>
      <c r="K147" s="88">
        <f t="shared" si="56"/>
        <v>1</v>
      </c>
      <c r="L147" s="88">
        <f t="shared" si="56"/>
        <v>1</v>
      </c>
      <c r="M147" s="88">
        <f t="shared" si="56"/>
        <v>1</v>
      </c>
      <c r="N147" s="88">
        <f t="shared" si="56"/>
        <v>1</v>
      </c>
      <c r="O147" s="88">
        <f t="shared" si="56"/>
        <v>1</v>
      </c>
      <c r="P147" s="88">
        <f t="shared" si="56"/>
        <v>1</v>
      </c>
      <c r="Q147" s="88">
        <f t="shared" si="56"/>
        <v>1</v>
      </c>
      <c r="R147" s="88">
        <f t="shared" si="56"/>
        <v>0</v>
      </c>
      <c r="S147" s="88">
        <f t="shared" si="56"/>
        <v>0</v>
      </c>
      <c r="T147" s="88">
        <f t="shared" si="56"/>
        <v>0</v>
      </c>
      <c r="U147" s="88">
        <f t="shared" si="56"/>
        <v>2</v>
      </c>
      <c r="V147" s="88">
        <f t="shared" si="56"/>
        <v>1</v>
      </c>
      <c r="W147" s="88">
        <f t="shared" si="56"/>
        <v>2</v>
      </c>
      <c r="X147" s="88">
        <f t="shared" si="56"/>
        <v>1</v>
      </c>
      <c r="Y147" s="88">
        <f t="shared" si="56"/>
        <v>1</v>
      </c>
      <c r="Z147" s="88">
        <f t="shared" si="56"/>
        <v>1</v>
      </c>
      <c r="AA147" s="88">
        <f t="shared" si="56"/>
        <v>1</v>
      </c>
      <c r="AB147" s="88">
        <f t="shared" si="56"/>
        <v>1</v>
      </c>
      <c r="AC147" s="88">
        <f t="shared" si="56"/>
        <v>0</v>
      </c>
      <c r="AD147" s="53" t="e">
        <f>#REF!*D147</f>
        <v>#REF!</v>
      </c>
      <c r="AE147" s="53" t="e">
        <f>AD147-#REF!</f>
        <v>#REF!</v>
      </c>
      <c r="AF147" s="9"/>
      <c r="AG147" s="33" t="e">
        <f>#REF!-D147</f>
        <v>#REF!</v>
      </c>
    </row>
    <row r="148" spans="1:37" s="12" customFormat="1" ht="20.399999999999999" outlineLevel="1" x14ac:dyDescent="0.2">
      <c r="A148" s="61" t="s">
        <v>763</v>
      </c>
      <c r="B148" s="14" t="s">
        <v>2477</v>
      </c>
      <c r="C148" s="9" t="s">
        <v>47</v>
      </c>
      <c r="D148" s="25">
        <f t="shared" si="48"/>
        <v>762</v>
      </c>
      <c r="E148" s="54"/>
      <c r="F148" s="78"/>
      <c r="G148" s="33">
        <v>0</v>
      </c>
      <c r="H148" s="33">
        <f>65+22+25</f>
        <v>112</v>
      </c>
      <c r="I148" s="9">
        <f>41-12</f>
        <v>29</v>
      </c>
      <c r="J148" s="9">
        <f>26-8</f>
        <v>18</v>
      </c>
      <c r="K148" s="9">
        <v>0</v>
      </c>
      <c r="L148" s="9">
        <f>40-14</f>
        <v>26</v>
      </c>
      <c r="M148" s="9">
        <v>42</v>
      </c>
      <c r="N148" s="9">
        <v>42</v>
      </c>
      <c r="O148" s="9">
        <v>42</v>
      </c>
      <c r="P148" s="9">
        <v>42</v>
      </c>
      <c r="Q148" s="9">
        <v>42</v>
      </c>
      <c r="R148" s="9">
        <v>20</v>
      </c>
      <c r="S148" s="9">
        <v>0</v>
      </c>
      <c r="T148" s="9">
        <v>0</v>
      </c>
      <c r="U148" s="33">
        <v>85</v>
      </c>
      <c r="V148" s="9">
        <v>50</v>
      </c>
      <c r="W148" s="9">
        <v>75</v>
      </c>
      <c r="X148" s="9">
        <v>30</v>
      </c>
      <c r="Y148" s="9">
        <v>25</v>
      </c>
      <c r="Z148" s="9">
        <v>30</v>
      </c>
      <c r="AA148" s="9">
        <v>25</v>
      </c>
      <c r="AB148" s="9">
        <v>27</v>
      </c>
      <c r="AC148" s="9">
        <v>0</v>
      </c>
      <c r="AD148" s="53" t="e">
        <f>#REF!*D148</f>
        <v>#REF!</v>
      </c>
      <c r="AE148" s="53" t="e">
        <f>AD148-#REF!</f>
        <v>#REF!</v>
      </c>
      <c r="AF148" s="9"/>
      <c r="AG148" s="33" t="e">
        <f>#REF!-D148</f>
        <v>#REF!</v>
      </c>
      <c r="AH148" s="9"/>
      <c r="AI148" s="9"/>
      <c r="AJ148" s="9"/>
      <c r="AK148" s="9"/>
    </row>
    <row r="149" spans="1:37" s="12" customFormat="1" ht="20.399999999999999" outlineLevel="1" x14ac:dyDescent="0.2">
      <c r="A149" s="61" t="s">
        <v>764</v>
      </c>
      <c r="B149" s="14" t="s">
        <v>2478</v>
      </c>
      <c r="C149" s="9" t="s">
        <v>47</v>
      </c>
      <c r="D149" s="25">
        <f t="shared" si="48"/>
        <v>39</v>
      </c>
      <c r="E149" s="54"/>
      <c r="F149" s="78"/>
      <c r="G149" s="33">
        <v>0</v>
      </c>
      <c r="H149" s="33">
        <f>2+3</f>
        <v>5</v>
      </c>
      <c r="I149" s="9">
        <v>0</v>
      </c>
      <c r="J149" s="9">
        <v>0</v>
      </c>
      <c r="K149" s="9">
        <v>0</v>
      </c>
      <c r="L149" s="9">
        <v>0</v>
      </c>
      <c r="M149" s="9">
        <v>5</v>
      </c>
      <c r="N149" s="9">
        <v>5</v>
      </c>
      <c r="O149" s="9">
        <v>0</v>
      </c>
      <c r="P149" s="9">
        <v>0</v>
      </c>
      <c r="Q149" s="9">
        <v>0</v>
      </c>
      <c r="R149" s="9">
        <v>10</v>
      </c>
      <c r="S149" s="9">
        <v>0</v>
      </c>
      <c r="T149" s="9">
        <v>0</v>
      </c>
      <c r="U149" s="33">
        <v>0</v>
      </c>
      <c r="V149" s="9">
        <v>4</v>
      </c>
      <c r="W149" s="9">
        <v>4</v>
      </c>
      <c r="X149" s="9">
        <v>2</v>
      </c>
      <c r="Y149" s="9">
        <v>2</v>
      </c>
      <c r="Z149" s="9">
        <v>0</v>
      </c>
      <c r="AA149" s="9">
        <v>2</v>
      </c>
      <c r="AB149" s="9">
        <v>0</v>
      </c>
      <c r="AC149" s="9">
        <v>0</v>
      </c>
      <c r="AD149" s="53" t="e">
        <f>#REF!*D149</f>
        <v>#REF!</v>
      </c>
      <c r="AE149" s="53" t="e">
        <f>AD149-#REF!</f>
        <v>#REF!</v>
      </c>
      <c r="AF149" s="9"/>
      <c r="AG149" s="33" t="e">
        <f>#REF!-D149</f>
        <v>#REF!</v>
      </c>
      <c r="AH149" s="9"/>
      <c r="AI149" s="9"/>
      <c r="AJ149" s="9"/>
      <c r="AK149" s="9"/>
    </row>
    <row r="150" spans="1:37" s="12" customFormat="1" ht="20.399999999999999" outlineLevel="1" x14ac:dyDescent="0.2">
      <c r="A150" s="61" t="s">
        <v>765</v>
      </c>
      <c r="B150" s="14" t="s">
        <v>2479</v>
      </c>
      <c r="C150" s="9" t="s">
        <v>47</v>
      </c>
      <c r="D150" s="25">
        <f t="shared" si="48"/>
        <v>36</v>
      </c>
      <c r="E150" s="54"/>
      <c r="F150" s="78"/>
      <c r="G150" s="33">
        <v>0</v>
      </c>
      <c r="H150" s="33">
        <f>5</f>
        <v>5</v>
      </c>
      <c r="I150" s="9">
        <v>4</v>
      </c>
      <c r="J150" s="9">
        <v>4</v>
      </c>
      <c r="K150" s="9">
        <v>0</v>
      </c>
      <c r="L150" s="9">
        <v>0</v>
      </c>
      <c r="M150" s="9">
        <v>0</v>
      </c>
      <c r="N150" s="9">
        <v>0</v>
      </c>
      <c r="O150" s="9">
        <v>0</v>
      </c>
      <c r="P150" s="9">
        <v>0</v>
      </c>
      <c r="Q150" s="9">
        <v>0</v>
      </c>
      <c r="R150" s="9">
        <v>0</v>
      </c>
      <c r="S150" s="9">
        <v>0</v>
      </c>
      <c r="T150" s="9">
        <v>0</v>
      </c>
      <c r="U150" s="33">
        <v>6</v>
      </c>
      <c r="V150" s="9">
        <v>0</v>
      </c>
      <c r="W150" s="9">
        <v>0</v>
      </c>
      <c r="X150" s="9">
        <v>0</v>
      </c>
      <c r="Y150" s="9">
        <v>0</v>
      </c>
      <c r="Z150" s="9">
        <v>0</v>
      </c>
      <c r="AA150" s="9">
        <v>0</v>
      </c>
      <c r="AB150" s="9">
        <v>17</v>
      </c>
      <c r="AC150" s="9">
        <v>0</v>
      </c>
      <c r="AD150" s="53" t="e">
        <f>#REF!*D150</f>
        <v>#REF!</v>
      </c>
      <c r="AE150" s="53" t="e">
        <f>AD150-#REF!</f>
        <v>#REF!</v>
      </c>
      <c r="AF150" s="9"/>
      <c r="AG150" s="33" t="e">
        <f>#REF!-D150</f>
        <v>#REF!</v>
      </c>
      <c r="AH150" s="9"/>
      <c r="AI150" s="9"/>
      <c r="AJ150" s="9"/>
      <c r="AK150" s="9"/>
    </row>
    <row r="151" spans="1:37" s="12" customFormat="1" ht="20.399999999999999" outlineLevel="1" x14ac:dyDescent="0.2">
      <c r="A151" s="61" t="s">
        <v>766</v>
      </c>
      <c r="B151" s="14" t="s">
        <v>69</v>
      </c>
      <c r="C151" s="9" t="s">
        <v>47</v>
      </c>
      <c r="D151" s="25">
        <f t="shared" si="48"/>
        <v>837</v>
      </c>
      <c r="E151" s="54"/>
      <c r="F151" s="78"/>
      <c r="G151" s="88">
        <f t="shared" ref="G151:AC151" si="57">SUM(G148:G150)</f>
        <v>0</v>
      </c>
      <c r="H151" s="88">
        <f t="shared" si="57"/>
        <v>122</v>
      </c>
      <c r="I151" s="88">
        <f t="shared" si="57"/>
        <v>33</v>
      </c>
      <c r="J151" s="88">
        <f t="shared" si="57"/>
        <v>22</v>
      </c>
      <c r="K151" s="88">
        <f t="shared" si="57"/>
        <v>0</v>
      </c>
      <c r="L151" s="88">
        <f t="shared" si="57"/>
        <v>26</v>
      </c>
      <c r="M151" s="88">
        <f t="shared" si="57"/>
        <v>47</v>
      </c>
      <c r="N151" s="88">
        <f t="shared" si="57"/>
        <v>47</v>
      </c>
      <c r="O151" s="88">
        <f t="shared" si="57"/>
        <v>42</v>
      </c>
      <c r="P151" s="88">
        <f t="shared" si="57"/>
        <v>42</v>
      </c>
      <c r="Q151" s="88">
        <f t="shared" si="57"/>
        <v>42</v>
      </c>
      <c r="R151" s="88">
        <f t="shared" si="57"/>
        <v>30</v>
      </c>
      <c r="S151" s="88">
        <f t="shared" si="57"/>
        <v>0</v>
      </c>
      <c r="T151" s="88">
        <f t="shared" si="57"/>
        <v>0</v>
      </c>
      <c r="U151" s="88">
        <f t="shared" si="57"/>
        <v>91</v>
      </c>
      <c r="V151" s="88">
        <f t="shared" si="57"/>
        <v>54</v>
      </c>
      <c r="W151" s="88">
        <f t="shared" si="57"/>
        <v>79</v>
      </c>
      <c r="X151" s="88">
        <f t="shared" si="57"/>
        <v>32</v>
      </c>
      <c r="Y151" s="88">
        <f t="shared" si="57"/>
        <v>27</v>
      </c>
      <c r="Z151" s="88">
        <f t="shared" si="57"/>
        <v>30</v>
      </c>
      <c r="AA151" s="88">
        <f t="shared" si="57"/>
        <v>27</v>
      </c>
      <c r="AB151" s="88">
        <f t="shared" si="57"/>
        <v>44</v>
      </c>
      <c r="AC151" s="88">
        <f t="shared" si="57"/>
        <v>0</v>
      </c>
      <c r="AD151" s="53" t="e">
        <f>#REF!*D151</f>
        <v>#REF!</v>
      </c>
      <c r="AE151" s="53" t="e">
        <f>AD151-#REF!</f>
        <v>#REF!</v>
      </c>
      <c r="AF151" s="9"/>
      <c r="AG151" s="33" t="e">
        <f>#REF!-D151</f>
        <v>#REF!</v>
      </c>
      <c r="AH151" s="9"/>
      <c r="AI151" s="9"/>
      <c r="AJ151" s="9"/>
      <c r="AK151" s="9"/>
    </row>
    <row r="152" spans="1:37" s="12" customFormat="1" ht="20.399999999999999" outlineLevel="1" x14ac:dyDescent="0.2">
      <c r="A152" s="61" t="s">
        <v>767</v>
      </c>
      <c r="B152" s="14" t="s">
        <v>1032</v>
      </c>
      <c r="C152" s="9" t="s">
        <v>47</v>
      </c>
      <c r="D152" s="25">
        <f t="shared" si="48"/>
        <v>837</v>
      </c>
      <c r="E152" s="54"/>
      <c r="F152" s="78"/>
      <c r="G152" s="88">
        <f t="shared" ref="G152:AC152" si="58">G151</f>
        <v>0</v>
      </c>
      <c r="H152" s="88">
        <f t="shared" si="58"/>
        <v>122</v>
      </c>
      <c r="I152" s="88">
        <f t="shared" si="58"/>
        <v>33</v>
      </c>
      <c r="J152" s="88">
        <f t="shared" si="58"/>
        <v>22</v>
      </c>
      <c r="K152" s="88">
        <f t="shared" si="58"/>
        <v>0</v>
      </c>
      <c r="L152" s="88">
        <f t="shared" si="58"/>
        <v>26</v>
      </c>
      <c r="M152" s="88">
        <f t="shared" si="58"/>
        <v>47</v>
      </c>
      <c r="N152" s="88">
        <f t="shared" si="58"/>
        <v>47</v>
      </c>
      <c r="O152" s="88">
        <f t="shared" si="58"/>
        <v>42</v>
      </c>
      <c r="P152" s="88">
        <f t="shared" si="58"/>
        <v>42</v>
      </c>
      <c r="Q152" s="88">
        <f t="shared" si="58"/>
        <v>42</v>
      </c>
      <c r="R152" s="88">
        <f t="shared" si="58"/>
        <v>30</v>
      </c>
      <c r="S152" s="88">
        <f t="shared" si="58"/>
        <v>0</v>
      </c>
      <c r="T152" s="88">
        <f t="shared" si="58"/>
        <v>0</v>
      </c>
      <c r="U152" s="88">
        <f t="shared" si="58"/>
        <v>91</v>
      </c>
      <c r="V152" s="88">
        <f t="shared" si="58"/>
        <v>54</v>
      </c>
      <c r="W152" s="88">
        <f t="shared" si="58"/>
        <v>79</v>
      </c>
      <c r="X152" s="88">
        <f t="shared" si="58"/>
        <v>32</v>
      </c>
      <c r="Y152" s="88">
        <f t="shared" si="58"/>
        <v>27</v>
      </c>
      <c r="Z152" s="88">
        <f t="shared" si="58"/>
        <v>30</v>
      </c>
      <c r="AA152" s="88">
        <f t="shared" si="58"/>
        <v>27</v>
      </c>
      <c r="AB152" s="88">
        <f t="shared" si="58"/>
        <v>44</v>
      </c>
      <c r="AC152" s="88">
        <f t="shared" si="58"/>
        <v>0</v>
      </c>
      <c r="AD152" s="53" t="e">
        <f>#REF!*D152</f>
        <v>#REF!</v>
      </c>
      <c r="AE152" s="53" t="e">
        <f>AD152-#REF!</f>
        <v>#REF!</v>
      </c>
      <c r="AF152" s="9"/>
      <c r="AG152" s="33" t="e">
        <f>#REF!-D152</f>
        <v>#REF!</v>
      </c>
      <c r="AH152" s="9"/>
      <c r="AI152" s="9"/>
      <c r="AJ152" s="9"/>
      <c r="AK152" s="9"/>
    </row>
    <row r="153" spans="1:37" s="17" customFormat="1" ht="30.6" outlineLevel="1" x14ac:dyDescent="0.2">
      <c r="A153" s="61" t="s">
        <v>768</v>
      </c>
      <c r="B153" s="14" t="s">
        <v>158</v>
      </c>
      <c r="C153" s="8" t="s">
        <v>47</v>
      </c>
      <c r="D153" s="25">
        <f t="shared" si="48"/>
        <v>152</v>
      </c>
      <c r="E153" s="54"/>
      <c r="F153" s="78"/>
      <c r="G153" s="33">
        <v>0</v>
      </c>
      <c r="H153" s="33">
        <v>24</v>
      </c>
      <c r="I153" s="9">
        <v>6</v>
      </c>
      <c r="J153" s="9">
        <v>7</v>
      </c>
      <c r="K153" s="9">
        <v>6</v>
      </c>
      <c r="L153" s="9">
        <v>5</v>
      </c>
      <c r="M153" s="9">
        <v>2</v>
      </c>
      <c r="N153" s="9">
        <v>2</v>
      </c>
      <c r="O153" s="9">
        <v>1</v>
      </c>
      <c r="P153" s="9">
        <v>7</v>
      </c>
      <c r="Q153" s="9">
        <v>7</v>
      </c>
      <c r="R153" s="9">
        <v>10</v>
      </c>
      <c r="S153" s="9">
        <v>0</v>
      </c>
      <c r="T153" s="9">
        <v>0</v>
      </c>
      <c r="U153" s="33">
        <v>12</v>
      </c>
      <c r="V153" s="9">
        <v>10</v>
      </c>
      <c r="W153" s="9">
        <v>15</v>
      </c>
      <c r="X153" s="9">
        <v>8</v>
      </c>
      <c r="Y153" s="9">
        <v>5</v>
      </c>
      <c r="Z153" s="9">
        <v>4</v>
      </c>
      <c r="AA153" s="9">
        <v>4</v>
      </c>
      <c r="AB153" s="9">
        <v>17</v>
      </c>
      <c r="AC153" s="9">
        <v>0</v>
      </c>
      <c r="AD153" s="53" t="e">
        <f>#REF!*D153</f>
        <v>#REF!</v>
      </c>
      <c r="AE153" s="53" t="e">
        <f>AD153-#REF!</f>
        <v>#REF!</v>
      </c>
      <c r="AF153" s="8"/>
      <c r="AG153" s="33" t="e">
        <f>#REF!-D153</f>
        <v>#REF!</v>
      </c>
      <c r="AH153" s="8"/>
      <c r="AI153" s="8"/>
      <c r="AJ153" s="8"/>
      <c r="AK153" s="8"/>
    </row>
    <row r="154" spans="1:37" s="17" customFormat="1" ht="27.75" customHeight="1" outlineLevel="1" x14ac:dyDescent="0.2">
      <c r="A154" s="61" t="s">
        <v>769</v>
      </c>
      <c r="B154" s="47" t="s">
        <v>159</v>
      </c>
      <c r="C154" s="8" t="s">
        <v>47</v>
      </c>
      <c r="D154" s="25">
        <f t="shared" si="48"/>
        <v>456</v>
      </c>
      <c r="E154" s="54"/>
      <c r="F154" s="78"/>
      <c r="G154" s="33">
        <v>0</v>
      </c>
      <c r="H154" s="88">
        <f t="shared" ref="H154:AC154" si="59">H153*3</f>
        <v>72</v>
      </c>
      <c r="I154" s="88">
        <f t="shared" si="59"/>
        <v>18</v>
      </c>
      <c r="J154" s="88">
        <f t="shared" si="59"/>
        <v>21</v>
      </c>
      <c r="K154" s="88">
        <f t="shared" si="59"/>
        <v>18</v>
      </c>
      <c r="L154" s="88">
        <f t="shared" si="59"/>
        <v>15</v>
      </c>
      <c r="M154" s="88">
        <f t="shared" si="59"/>
        <v>6</v>
      </c>
      <c r="N154" s="88">
        <f t="shared" si="59"/>
        <v>6</v>
      </c>
      <c r="O154" s="88">
        <f t="shared" si="59"/>
        <v>3</v>
      </c>
      <c r="P154" s="88">
        <f t="shared" si="59"/>
        <v>21</v>
      </c>
      <c r="Q154" s="88">
        <f t="shared" si="59"/>
        <v>21</v>
      </c>
      <c r="R154" s="88">
        <f t="shared" si="59"/>
        <v>30</v>
      </c>
      <c r="S154" s="88">
        <f t="shared" si="59"/>
        <v>0</v>
      </c>
      <c r="T154" s="88">
        <f t="shared" si="59"/>
        <v>0</v>
      </c>
      <c r="U154" s="88">
        <f t="shared" si="59"/>
        <v>36</v>
      </c>
      <c r="V154" s="88">
        <f t="shared" si="59"/>
        <v>30</v>
      </c>
      <c r="W154" s="88">
        <f t="shared" si="59"/>
        <v>45</v>
      </c>
      <c r="X154" s="88">
        <f t="shared" si="59"/>
        <v>24</v>
      </c>
      <c r="Y154" s="88">
        <f t="shared" si="59"/>
        <v>15</v>
      </c>
      <c r="Z154" s="88">
        <f t="shared" si="59"/>
        <v>12</v>
      </c>
      <c r="AA154" s="88">
        <f t="shared" si="59"/>
        <v>12</v>
      </c>
      <c r="AB154" s="88">
        <f t="shared" si="59"/>
        <v>51</v>
      </c>
      <c r="AC154" s="88">
        <f t="shared" si="59"/>
        <v>0</v>
      </c>
      <c r="AD154" s="53" t="e">
        <f>#REF!*D154</f>
        <v>#REF!</v>
      </c>
      <c r="AE154" s="53" t="e">
        <f>AD154-#REF!</f>
        <v>#REF!</v>
      </c>
      <c r="AF154" s="8"/>
      <c r="AG154" s="33" t="e">
        <f>#REF!-D154</f>
        <v>#REF!</v>
      </c>
      <c r="AH154" s="8"/>
      <c r="AI154" s="8"/>
      <c r="AJ154" s="8"/>
      <c r="AK154" s="8"/>
    </row>
    <row r="155" spans="1:37" s="17" customFormat="1" ht="20.399999999999999" outlineLevel="1" x14ac:dyDescent="0.2">
      <c r="A155" s="61" t="s">
        <v>770</v>
      </c>
      <c r="B155" s="47" t="s">
        <v>433</v>
      </c>
      <c r="C155" s="8" t="s">
        <v>47</v>
      </c>
      <c r="D155" s="25">
        <f t="shared" si="48"/>
        <v>20</v>
      </c>
      <c r="E155" s="54"/>
      <c r="F155" s="78"/>
      <c r="G155" s="33">
        <v>0</v>
      </c>
      <c r="H155" s="33">
        <f>2+1+2</f>
        <v>5</v>
      </c>
      <c r="I155" s="9">
        <v>0</v>
      </c>
      <c r="J155" s="9">
        <v>0</v>
      </c>
      <c r="K155" s="9">
        <v>2</v>
      </c>
      <c r="L155" s="9">
        <v>2</v>
      </c>
      <c r="M155" s="9">
        <v>2</v>
      </c>
      <c r="N155" s="9">
        <v>2</v>
      </c>
      <c r="O155" s="9">
        <v>0</v>
      </c>
      <c r="P155" s="9">
        <v>0</v>
      </c>
      <c r="Q155" s="9">
        <v>0</v>
      </c>
      <c r="R155" s="9">
        <v>4</v>
      </c>
      <c r="S155" s="9">
        <v>0</v>
      </c>
      <c r="T155" s="9">
        <v>0</v>
      </c>
      <c r="U155" s="33">
        <v>3</v>
      </c>
      <c r="V155" s="9">
        <v>0</v>
      </c>
      <c r="W155" s="9">
        <v>0</v>
      </c>
      <c r="X155" s="9">
        <v>0</v>
      </c>
      <c r="Y155" s="9">
        <v>0</v>
      </c>
      <c r="Z155" s="9">
        <v>0</v>
      </c>
      <c r="AA155" s="9">
        <v>0</v>
      </c>
      <c r="AB155" s="9">
        <v>0</v>
      </c>
      <c r="AC155" s="9">
        <v>0</v>
      </c>
      <c r="AD155" s="53" t="e">
        <f>#REF!*D155</f>
        <v>#REF!</v>
      </c>
      <c r="AE155" s="53" t="e">
        <f>AD155-#REF!</f>
        <v>#REF!</v>
      </c>
      <c r="AF155" s="8"/>
      <c r="AG155" s="33" t="e">
        <f>#REF!-D155</f>
        <v>#REF!</v>
      </c>
      <c r="AH155" s="8"/>
      <c r="AI155" s="8"/>
      <c r="AJ155" s="8"/>
      <c r="AK155" s="8"/>
    </row>
    <row r="156" spans="1:37" s="17" customFormat="1" ht="23.25" customHeight="1" outlineLevel="1" x14ac:dyDescent="0.2">
      <c r="A156" s="61" t="s">
        <v>771</v>
      </c>
      <c r="B156" s="47" t="s">
        <v>322</v>
      </c>
      <c r="C156" s="8" t="s">
        <v>47</v>
      </c>
      <c r="D156" s="25">
        <f t="shared" si="48"/>
        <v>19</v>
      </c>
      <c r="E156" s="54"/>
      <c r="F156" s="78"/>
      <c r="G156" s="33">
        <v>0</v>
      </c>
      <c r="H156" s="33">
        <f>2+1</f>
        <v>3</v>
      </c>
      <c r="I156" s="9">
        <v>3</v>
      </c>
      <c r="J156" s="9">
        <v>1</v>
      </c>
      <c r="K156" s="9">
        <v>1</v>
      </c>
      <c r="L156" s="9">
        <v>0</v>
      </c>
      <c r="M156" s="9">
        <v>0</v>
      </c>
      <c r="N156" s="9">
        <v>0</v>
      </c>
      <c r="O156" s="9">
        <v>0</v>
      </c>
      <c r="P156" s="9">
        <v>0</v>
      </c>
      <c r="Q156" s="9">
        <v>0</v>
      </c>
      <c r="R156" s="9">
        <v>0</v>
      </c>
      <c r="S156" s="9">
        <v>0</v>
      </c>
      <c r="T156" s="9">
        <v>0</v>
      </c>
      <c r="U156" s="33">
        <v>7</v>
      </c>
      <c r="V156" s="9">
        <v>0</v>
      </c>
      <c r="W156" s="9">
        <v>0</v>
      </c>
      <c r="X156" s="9">
        <v>0</v>
      </c>
      <c r="Y156" s="9">
        <v>0</v>
      </c>
      <c r="Z156" s="9">
        <v>0</v>
      </c>
      <c r="AA156" s="9">
        <v>0</v>
      </c>
      <c r="AB156" s="9">
        <v>4</v>
      </c>
      <c r="AC156" s="9">
        <v>0</v>
      </c>
      <c r="AD156" s="53" t="e">
        <f>#REF!*D156</f>
        <v>#REF!</v>
      </c>
      <c r="AE156" s="53" t="e">
        <f>AD156-#REF!</f>
        <v>#REF!</v>
      </c>
      <c r="AF156" s="8"/>
      <c r="AG156" s="33" t="e">
        <f>#REF!-D156</f>
        <v>#REF!</v>
      </c>
      <c r="AH156" s="8"/>
      <c r="AI156" s="8"/>
      <c r="AJ156" s="8"/>
      <c r="AK156" s="8"/>
    </row>
    <row r="157" spans="1:37" s="17" customFormat="1" ht="23.25" customHeight="1" outlineLevel="1" x14ac:dyDescent="0.2">
      <c r="A157" s="61" t="s">
        <v>772</v>
      </c>
      <c r="B157" s="47" t="s">
        <v>469</v>
      </c>
      <c r="C157" s="8" t="s">
        <v>47</v>
      </c>
      <c r="D157" s="25">
        <f t="shared" si="48"/>
        <v>2</v>
      </c>
      <c r="E157" s="54"/>
      <c r="F157" s="78"/>
      <c r="G157" s="33">
        <v>0</v>
      </c>
      <c r="H157" s="33">
        <v>0</v>
      </c>
      <c r="I157" s="9">
        <v>2</v>
      </c>
      <c r="J157" s="9">
        <v>0</v>
      </c>
      <c r="K157" s="9">
        <v>0</v>
      </c>
      <c r="L157" s="9">
        <v>0</v>
      </c>
      <c r="M157" s="9">
        <v>0</v>
      </c>
      <c r="N157" s="9">
        <v>0</v>
      </c>
      <c r="O157" s="9">
        <v>0</v>
      </c>
      <c r="P157" s="9">
        <v>0</v>
      </c>
      <c r="Q157" s="9">
        <v>0</v>
      </c>
      <c r="R157" s="9">
        <v>0</v>
      </c>
      <c r="S157" s="9">
        <v>0</v>
      </c>
      <c r="T157" s="9">
        <v>0</v>
      </c>
      <c r="U157" s="33">
        <v>0</v>
      </c>
      <c r="V157" s="9">
        <v>0</v>
      </c>
      <c r="W157" s="9">
        <v>0</v>
      </c>
      <c r="X157" s="9">
        <v>0</v>
      </c>
      <c r="Y157" s="9">
        <v>0</v>
      </c>
      <c r="Z157" s="9">
        <v>0</v>
      </c>
      <c r="AA157" s="9">
        <v>0</v>
      </c>
      <c r="AB157" s="9">
        <v>0</v>
      </c>
      <c r="AC157" s="9">
        <v>0</v>
      </c>
      <c r="AD157" s="53" t="e">
        <f>#REF!*D157</f>
        <v>#REF!</v>
      </c>
      <c r="AE157" s="53" t="e">
        <f>AD157-#REF!</f>
        <v>#REF!</v>
      </c>
      <c r="AF157" s="8"/>
      <c r="AG157" s="33" t="e">
        <f>#REF!-D157</f>
        <v>#REF!</v>
      </c>
      <c r="AH157" s="8"/>
      <c r="AI157" s="8"/>
      <c r="AJ157" s="8"/>
      <c r="AK157" s="8"/>
    </row>
    <row r="158" spans="1:37" outlineLevel="1" x14ac:dyDescent="0.25">
      <c r="A158" s="61"/>
      <c r="E158" s="54"/>
      <c r="H158" s="8"/>
      <c r="I158" s="8"/>
      <c r="J158" s="8"/>
      <c r="K158" s="8"/>
      <c r="L158" s="8"/>
      <c r="M158" s="8"/>
      <c r="N158" s="8"/>
      <c r="O158" s="8"/>
      <c r="P158" s="8"/>
      <c r="Q158" s="8"/>
      <c r="R158" s="8"/>
      <c r="S158" s="8"/>
      <c r="T158" s="8"/>
      <c r="U158" s="8"/>
      <c r="V158" s="8"/>
      <c r="W158" s="8"/>
      <c r="X158" s="8"/>
      <c r="Y158" s="8"/>
      <c r="Z158" s="8"/>
      <c r="AA158" s="8"/>
      <c r="AB158" s="8"/>
      <c r="AC158" s="8"/>
      <c r="AD158" s="53" t="e">
        <f>#REF!*D158</f>
        <v>#REF!</v>
      </c>
      <c r="AE158" s="53" t="e">
        <f>AD158-#REF!</f>
        <v>#REF!</v>
      </c>
      <c r="AG158" s="33" t="e">
        <f>#REF!-D158</f>
        <v>#REF!</v>
      </c>
    </row>
    <row r="159" spans="1:37" x14ac:dyDescent="0.25">
      <c r="A159" s="18" t="s">
        <v>10</v>
      </c>
      <c r="B159" s="35" t="s">
        <v>452</v>
      </c>
      <c r="C159" s="18" t="s">
        <v>41</v>
      </c>
      <c r="D159" s="52" t="e">
        <f>#REF!/#REF!*100</f>
        <v>#REF!</v>
      </c>
      <c r="E159" s="54"/>
      <c r="H159" s="8"/>
      <c r="I159" s="8"/>
      <c r="J159" s="8"/>
      <c r="K159" s="8"/>
      <c r="L159" s="8"/>
      <c r="M159" s="8"/>
      <c r="N159" s="8"/>
      <c r="O159" s="8"/>
      <c r="P159" s="8"/>
      <c r="Q159" s="8"/>
      <c r="R159" s="8"/>
      <c r="S159" s="8"/>
      <c r="T159" s="8"/>
      <c r="U159" s="8"/>
      <c r="V159" s="8"/>
      <c r="W159" s="8"/>
      <c r="X159" s="8"/>
      <c r="Y159" s="8"/>
      <c r="Z159" s="8"/>
      <c r="AA159" s="8"/>
      <c r="AB159" s="214" t="s">
        <v>375</v>
      </c>
      <c r="AC159" s="8"/>
      <c r="AD159" s="53" t="e">
        <f>#REF!*D159</f>
        <v>#REF!</v>
      </c>
      <c r="AE159" s="53" t="e">
        <f>AD159-#REF!</f>
        <v>#REF!</v>
      </c>
      <c r="AG159" s="33" t="e">
        <f>#REF!-D159</f>
        <v>#REF!</v>
      </c>
    </row>
    <row r="160" spans="1:37" s="12" customFormat="1" ht="31.8" outlineLevel="1" collapsed="1" x14ac:dyDescent="0.2">
      <c r="A160" s="61" t="s">
        <v>773</v>
      </c>
      <c r="B160" s="14" t="s">
        <v>1059</v>
      </c>
      <c r="C160" s="9" t="s">
        <v>48</v>
      </c>
      <c r="D160" s="25">
        <f t="shared" ref="D160:D170" si="60">SUM(G160:AC160)</f>
        <v>34670</v>
      </c>
      <c r="E160" s="54"/>
      <c r="F160" s="9"/>
      <c r="G160" s="33">
        <v>0</v>
      </c>
      <c r="H160" s="33">
        <f>MROUND((3460+1830)*1.15,5)+345</f>
        <v>6430</v>
      </c>
      <c r="I160" s="9">
        <f>MROUND((2565+1430)*1.15,5)+150-1400</f>
        <v>3345</v>
      </c>
      <c r="J160" s="9">
        <f>2450+190-800</f>
        <v>1840</v>
      </c>
      <c r="K160" s="9">
        <f>3470-1280</f>
        <v>2190</v>
      </c>
      <c r="L160" s="9">
        <f>3880-1450</f>
        <v>2430</v>
      </c>
      <c r="M160" s="9">
        <v>590</v>
      </c>
      <c r="N160" s="9">
        <v>590</v>
      </c>
      <c r="O160" s="9">
        <v>0</v>
      </c>
      <c r="P160" s="9">
        <v>1700</v>
      </c>
      <c r="Q160" s="9">
        <v>1700</v>
      </c>
      <c r="R160" s="9">
        <v>855</v>
      </c>
      <c r="S160" s="9">
        <v>0</v>
      </c>
      <c r="T160" s="9">
        <v>0</v>
      </c>
      <c r="U160" s="33">
        <v>4220</v>
      </c>
      <c r="V160" s="9">
        <v>3100</v>
      </c>
      <c r="W160" s="9">
        <v>3580</v>
      </c>
      <c r="X160" s="9">
        <v>760</v>
      </c>
      <c r="Y160" s="9">
        <v>180</v>
      </c>
      <c r="Z160" s="9">
        <v>520</v>
      </c>
      <c r="AA160" s="9">
        <v>510</v>
      </c>
      <c r="AB160" s="9">
        <v>130</v>
      </c>
      <c r="AC160" s="9">
        <v>0</v>
      </c>
      <c r="AD160" s="53" t="e">
        <f>#REF!*D160</f>
        <v>#REF!</v>
      </c>
      <c r="AE160" s="53" t="e">
        <f>AD160-#REF!</f>
        <v>#REF!</v>
      </c>
      <c r="AF160" s="9"/>
      <c r="AG160" s="33" t="e">
        <f>#REF!-D160</f>
        <v>#REF!</v>
      </c>
      <c r="AH160" s="9"/>
      <c r="AI160" s="9"/>
      <c r="AJ160" s="9"/>
      <c r="AK160" s="9"/>
    </row>
    <row r="161" spans="1:37" s="12" customFormat="1" ht="31.8" outlineLevel="1" x14ac:dyDescent="0.2">
      <c r="A161" s="61" t="s">
        <v>774</v>
      </c>
      <c r="B161" s="14" t="s">
        <v>1060</v>
      </c>
      <c r="C161" s="9" t="s">
        <v>48</v>
      </c>
      <c r="D161" s="25">
        <f t="shared" si="60"/>
        <v>6660</v>
      </c>
      <c r="E161" s="54"/>
      <c r="F161" s="9"/>
      <c r="G161" s="33">
        <v>0</v>
      </c>
      <c r="H161" s="33">
        <f>415</f>
        <v>415</v>
      </c>
      <c r="I161" s="9">
        <v>0</v>
      </c>
      <c r="J161" s="9">
        <v>55</v>
      </c>
      <c r="K161" s="9">
        <v>55</v>
      </c>
      <c r="L161" s="9">
        <f>420-150</f>
        <v>270</v>
      </c>
      <c r="M161" s="9">
        <f>415+55</f>
        <v>470</v>
      </c>
      <c r="N161" s="9">
        <f>415+55</f>
        <v>470</v>
      </c>
      <c r="O161" s="9">
        <v>1430</v>
      </c>
      <c r="P161" s="9">
        <f>590+65</f>
        <v>655</v>
      </c>
      <c r="Q161" s="9">
        <f>590+65</f>
        <v>655</v>
      </c>
      <c r="R161" s="9">
        <v>335</v>
      </c>
      <c r="S161" s="9">
        <v>0</v>
      </c>
      <c r="T161" s="9">
        <v>0</v>
      </c>
      <c r="U161" s="33">
        <v>0</v>
      </c>
      <c r="V161" s="9">
        <v>0</v>
      </c>
      <c r="W161" s="9">
        <v>0</v>
      </c>
      <c r="X161" s="9">
        <v>440</v>
      </c>
      <c r="Y161" s="9">
        <v>540</v>
      </c>
      <c r="Z161" s="9">
        <v>420</v>
      </c>
      <c r="AA161" s="9">
        <v>450</v>
      </c>
      <c r="AB161" s="9">
        <v>0</v>
      </c>
      <c r="AC161" s="9">
        <v>0</v>
      </c>
      <c r="AD161" s="53" t="e">
        <f>#REF!*D161</f>
        <v>#REF!</v>
      </c>
      <c r="AE161" s="53" t="e">
        <f>AD161-#REF!</f>
        <v>#REF!</v>
      </c>
      <c r="AF161" s="9"/>
      <c r="AG161" s="33" t="e">
        <f>#REF!-D161</f>
        <v>#REF!</v>
      </c>
      <c r="AH161" s="9"/>
      <c r="AI161" s="9"/>
      <c r="AJ161" s="9"/>
      <c r="AK161" s="9"/>
    </row>
    <row r="162" spans="1:37" s="12" customFormat="1" ht="31.8" outlineLevel="1" x14ac:dyDescent="0.2">
      <c r="A162" s="61" t="s">
        <v>775</v>
      </c>
      <c r="B162" s="14" t="s">
        <v>1063</v>
      </c>
      <c r="C162" s="9" t="s">
        <v>48</v>
      </c>
      <c r="D162" s="25">
        <f t="shared" si="60"/>
        <v>1115</v>
      </c>
      <c r="E162" s="54"/>
      <c r="F162" s="9"/>
      <c r="G162" s="33">
        <v>0</v>
      </c>
      <c r="H162" s="33">
        <f>145</f>
        <v>145</v>
      </c>
      <c r="I162" s="9">
        <v>100</v>
      </c>
      <c r="J162" s="9">
        <v>50</v>
      </c>
      <c r="K162" s="9">
        <v>150</v>
      </c>
      <c r="L162" s="9">
        <v>0</v>
      </c>
      <c r="M162" s="9">
        <v>0</v>
      </c>
      <c r="N162" s="9">
        <v>0</v>
      </c>
      <c r="O162" s="9">
        <v>490</v>
      </c>
      <c r="P162" s="9">
        <v>0</v>
      </c>
      <c r="Q162" s="9">
        <v>0</v>
      </c>
      <c r="R162" s="9">
        <v>0</v>
      </c>
      <c r="S162" s="9">
        <v>0</v>
      </c>
      <c r="T162" s="9">
        <v>0</v>
      </c>
      <c r="U162" s="33">
        <v>0</v>
      </c>
      <c r="V162" s="9">
        <v>100</v>
      </c>
      <c r="W162" s="9">
        <v>0</v>
      </c>
      <c r="X162" s="9">
        <v>0</v>
      </c>
      <c r="Y162" s="9">
        <v>0</v>
      </c>
      <c r="Z162" s="9">
        <v>0</v>
      </c>
      <c r="AA162" s="9">
        <v>0</v>
      </c>
      <c r="AB162" s="9">
        <v>80</v>
      </c>
      <c r="AC162" s="9">
        <v>0</v>
      </c>
      <c r="AD162" s="53" t="e">
        <f>#REF!*D162</f>
        <v>#REF!</v>
      </c>
      <c r="AE162" s="53" t="e">
        <f>AD162-#REF!</f>
        <v>#REF!</v>
      </c>
      <c r="AF162" s="9"/>
      <c r="AG162" s="33" t="e">
        <f>#REF!-D162</f>
        <v>#REF!</v>
      </c>
      <c r="AH162" s="9"/>
      <c r="AI162" s="9"/>
      <c r="AJ162" s="9"/>
      <c r="AK162" s="9"/>
    </row>
    <row r="163" spans="1:37" s="12" customFormat="1" ht="31.8" outlineLevel="1" x14ac:dyDescent="0.2">
      <c r="A163" s="61" t="s">
        <v>776</v>
      </c>
      <c r="B163" s="14" t="s">
        <v>1061</v>
      </c>
      <c r="C163" s="9" t="s">
        <v>48</v>
      </c>
      <c r="D163" s="25">
        <f t="shared" si="60"/>
        <v>300</v>
      </c>
      <c r="E163" s="54"/>
      <c r="F163" s="9"/>
      <c r="G163" s="33">
        <v>0</v>
      </c>
      <c r="H163" s="33">
        <v>200</v>
      </c>
      <c r="I163" s="9">
        <v>100</v>
      </c>
      <c r="J163" s="9">
        <v>0</v>
      </c>
      <c r="K163" s="9">
        <v>0</v>
      </c>
      <c r="L163" s="9">
        <v>0</v>
      </c>
      <c r="M163" s="9">
        <v>0</v>
      </c>
      <c r="N163" s="9">
        <v>0</v>
      </c>
      <c r="O163" s="9">
        <v>0</v>
      </c>
      <c r="P163" s="9">
        <v>0</v>
      </c>
      <c r="Q163" s="9">
        <v>0</v>
      </c>
      <c r="R163" s="9">
        <v>0</v>
      </c>
      <c r="S163" s="9">
        <v>0</v>
      </c>
      <c r="T163" s="9">
        <v>0</v>
      </c>
      <c r="U163" s="33">
        <v>0</v>
      </c>
      <c r="V163" s="9">
        <v>0</v>
      </c>
      <c r="W163" s="9">
        <v>0</v>
      </c>
      <c r="X163" s="9">
        <v>0</v>
      </c>
      <c r="Y163" s="9">
        <v>0</v>
      </c>
      <c r="Z163" s="9">
        <v>0</v>
      </c>
      <c r="AA163" s="9">
        <v>0</v>
      </c>
      <c r="AB163" s="9">
        <v>0</v>
      </c>
      <c r="AC163" s="9">
        <v>0</v>
      </c>
      <c r="AD163" s="53" t="e">
        <f>#REF!*D163</f>
        <v>#REF!</v>
      </c>
      <c r="AE163" s="53" t="e">
        <f>AD163-#REF!</f>
        <v>#REF!</v>
      </c>
      <c r="AF163" s="9"/>
      <c r="AG163" s="33" t="e">
        <f>#REF!-D163</f>
        <v>#REF!</v>
      </c>
      <c r="AH163" s="9"/>
      <c r="AI163" s="9"/>
      <c r="AJ163" s="9"/>
      <c r="AK163" s="9"/>
    </row>
    <row r="164" spans="1:37" s="12" customFormat="1" ht="31.8" outlineLevel="1" x14ac:dyDescent="0.2">
      <c r="A164" s="61" t="s">
        <v>777</v>
      </c>
      <c r="B164" s="14" t="s">
        <v>1062</v>
      </c>
      <c r="C164" s="9" t="s">
        <v>48</v>
      </c>
      <c r="D164" s="25">
        <f t="shared" si="60"/>
        <v>45</v>
      </c>
      <c r="E164" s="54"/>
      <c r="F164" s="9"/>
      <c r="G164" s="33">
        <v>0</v>
      </c>
      <c r="H164" s="33">
        <v>0</v>
      </c>
      <c r="I164" s="9">
        <v>45</v>
      </c>
      <c r="J164" s="9">
        <v>0</v>
      </c>
      <c r="K164" s="9">
        <v>0</v>
      </c>
      <c r="L164" s="9">
        <v>0</v>
      </c>
      <c r="M164" s="9">
        <v>0</v>
      </c>
      <c r="N164" s="9">
        <v>0</v>
      </c>
      <c r="O164" s="9">
        <v>0</v>
      </c>
      <c r="P164" s="9">
        <v>0</v>
      </c>
      <c r="Q164" s="9">
        <v>0</v>
      </c>
      <c r="R164" s="9">
        <v>0</v>
      </c>
      <c r="S164" s="9">
        <v>0</v>
      </c>
      <c r="T164" s="9">
        <v>0</v>
      </c>
      <c r="U164" s="33">
        <v>0</v>
      </c>
      <c r="V164" s="9">
        <v>0</v>
      </c>
      <c r="W164" s="9">
        <v>0</v>
      </c>
      <c r="X164" s="9">
        <v>0</v>
      </c>
      <c r="Y164" s="9">
        <v>0</v>
      </c>
      <c r="Z164" s="9">
        <v>0</v>
      </c>
      <c r="AA164" s="9">
        <v>0</v>
      </c>
      <c r="AB164" s="9">
        <v>0</v>
      </c>
      <c r="AC164" s="9">
        <v>0</v>
      </c>
      <c r="AD164" s="53" t="e">
        <f>#REF!*D164</f>
        <v>#REF!</v>
      </c>
      <c r="AE164" s="53" t="e">
        <f>AD164-#REF!</f>
        <v>#REF!</v>
      </c>
      <c r="AF164" s="9"/>
      <c r="AG164" s="33" t="e">
        <f>#REF!-D164</f>
        <v>#REF!</v>
      </c>
      <c r="AH164" s="9"/>
      <c r="AI164" s="9"/>
      <c r="AJ164" s="9"/>
      <c r="AK164" s="9"/>
    </row>
    <row r="165" spans="1:37" s="12" customFormat="1" ht="22.8" outlineLevel="1" x14ac:dyDescent="0.2">
      <c r="A165" s="61" t="s">
        <v>778</v>
      </c>
      <c r="B165" s="14" t="s">
        <v>1048</v>
      </c>
      <c r="C165" s="9" t="s">
        <v>48</v>
      </c>
      <c r="D165" s="25">
        <f t="shared" si="60"/>
        <v>185</v>
      </c>
      <c r="E165" s="54"/>
      <c r="F165" s="9"/>
      <c r="G165" s="33">
        <v>0</v>
      </c>
      <c r="H165" s="33">
        <v>0</v>
      </c>
      <c r="I165" s="9">
        <v>185</v>
      </c>
      <c r="J165" s="9">
        <v>0</v>
      </c>
      <c r="K165" s="9">
        <v>0</v>
      </c>
      <c r="L165" s="9">
        <v>0</v>
      </c>
      <c r="M165" s="9">
        <v>0</v>
      </c>
      <c r="N165" s="9">
        <v>0</v>
      </c>
      <c r="O165" s="9">
        <v>0</v>
      </c>
      <c r="P165" s="9">
        <v>0</v>
      </c>
      <c r="Q165" s="9">
        <v>0</v>
      </c>
      <c r="R165" s="9">
        <v>0</v>
      </c>
      <c r="S165" s="9">
        <v>0</v>
      </c>
      <c r="T165" s="9">
        <v>0</v>
      </c>
      <c r="U165" s="33">
        <v>0</v>
      </c>
      <c r="V165" s="9">
        <v>0</v>
      </c>
      <c r="W165" s="9">
        <v>0</v>
      </c>
      <c r="X165" s="9">
        <v>0</v>
      </c>
      <c r="Y165" s="9">
        <v>0</v>
      </c>
      <c r="Z165" s="9">
        <v>0</v>
      </c>
      <c r="AA165" s="9">
        <v>0</v>
      </c>
      <c r="AB165" s="9">
        <v>0</v>
      </c>
      <c r="AC165" s="9">
        <v>0</v>
      </c>
      <c r="AD165" s="53" t="e">
        <f>#REF!*D165</f>
        <v>#REF!</v>
      </c>
      <c r="AE165" s="53" t="e">
        <f>AD165-#REF!</f>
        <v>#REF!</v>
      </c>
      <c r="AF165" s="9"/>
      <c r="AG165" s="33" t="e">
        <f>#REF!-D165</f>
        <v>#REF!</v>
      </c>
      <c r="AH165" s="9"/>
      <c r="AI165" s="9"/>
      <c r="AJ165" s="9"/>
      <c r="AK165" s="9"/>
    </row>
    <row r="166" spans="1:37" s="12" customFormat="1" ht="20.399999999999999" outlineLevel="1" x14ac:dyDescent="0.2">
      <c r="A166" s="61" t="s">
        <v>779</v>
      </c>
      <c r="B166" s="14" t="s">
        <v>465</v>
      </c>
      <c r="C166" s="9" t="s">
        <v>48</v>
      </c>
      <c r="D166" s="25">
        <f t="shared" si="60"/>
        <v>935</v>
      </c>
      <c r="E166" s="54"/>
      <c r="F166" s="9"/>
      <c r="G166" s="33">
        <v>0</v>
      </c>
      <c r="H166" s="33">
        <v>345</v>
      </c>
      <c r="I166" s="9">
        <v>150</v>
      </c>
      <c r="J166" s="9">
        <v>130</v>
      </c>
      <c r="K166" s="9">
        <f>200-75</f>
        <v>125</v>
      </c>
      <c r="L166" s="9">
        <f>135-50</f>
        <v>85</v>
      </c>
      <c r="M166" s="9">
        <v>50</v>
      </c>
      <c r="N166" s="9">
        <v>50</v>
      </c>
      <c r="O166" s="9">
        <v>0</v>
      </c>
      <c r="P166" s="9">
        <v>0</v>
      </c>
      <c r="Q166" s="9">
        <v>0</v>
      </c>
      <c r="R166" s="9">
        <v>0</v>
      </c>
      <c r="S166" s="9">
        <v>0</v>
      </c>
      <c r="T166" s="9">
        <v>0</v>
      </c>
      <c r="U166" s="33">
        <v>0</v>
      </c>
      <c r="V166" s="9">
        <v>0</v>
      </c>
      <c r="W166" s="9">
        <v>0</v>
      </c>
      <c r="X166" s="9">
        <v>0</v>
      </c>
      <c r="Y166" s="9">
        <v>0</v>
      </c>
      <c r="Z166" s="9">
        <v>0</v>
      </c>
      <c r="AA166" s="9">
        <v>0</v>
      </c>
      <c r="AB166" s="9">
        <v>0</v>
      </c>
      <c r="AC166" s="9">
        <v>0</v>
      </c>
      <c r="AD166" s="53" t="e">
        <f>#REF!*D166</f>
        <v>#REF!</v>
      </c>
      <c r="AE166" s="53" t="e">
        <f>AD166-#REF!</f>
        <v>#REF!</v>
      </c>
      <c r="AF166" s="9"/>
      <c r="AG166" s="33" t="e">
        <f>#REF!-D166</f>
        <v>#REF!</v>
      </c>
      <c r="AH166" s="9"/>
      <c r="AI166" s="9"/>
      <c r="AJ166" s="9"/>
      <c r="AK166" s="9"/>
    </row>
    <row r="167" spans="1:37" s="12" customFormat="1" ht="20.399999999999999" outlineLevel="1" x14ac:dyDescent="0.2">
      <c r="A167" s="61" t="s">
        <v>780</v>
      </c>
      <c r="B167" s="14" t="s">
        <v>455</v>
      </c>
      <c r="C167" s="9" t="s">
        <v>48</v>
      </c>
      <c r="D167" s="25">
        <f t="shared" si="60"/>
        <v>365</v>
      </c>
      <c r="E167" s="54"/>
      <c r="F167" s="9"/>
      <c r="G167" s="33">
        <v>0</v>
      </c>
      <c r="H167" s="33">
        <v>5</v>
      </c>
      <c r="I167" s="9">
        <v>0</v>
      </c>
      <c r="J167" s="9">
        <v>55</v>
      </c>
      <c r="K167" s="9">
        <v>55</v>
      </c>
      <c r="L167" s="9">
        <v>10</v>
      </c>
      <c r="M167" s="9">
        <v>55</v>
      </c>
      <c r="N167" s="9">
        <v>55</v>
      </c>
      <c r="O167" s="9">
        <v>0</v>
      </c>
      <c r="P167" s="9">
        <v>65</v>
      </c>
      <c r="Q167" s="9">
        <v>65</v>
      </c>
      <c r="R167" s="9">
        <v>0</v>
      </c>
      <c r="S167" s="9">
        <v>0</v>
      </c>
      <c r="T167" s="9">
        <v>0</v>
      </c>
      <c r="U167" s="33">
        <v>0</v>
      </c>
      <c r="V167" s="9">
        <v>0</v>
      </c>
      <c r="W167" s="9">
        <v>0</v>
      </c>
      <c r="X167" s="9">
        <v>0</v>
      </c>
      <c r="Y167" s="9">
        <v>0</v>
      </c>
      <c r="Z167" s="9">
        <v>0</v>
      </c>
      <c r="AA167" s="9">
        <v>0</v>
      </c>
      <c r="AB167" s="9">
        <v>0</v>
      </c>
      <c r="AC167" s="9">
        <v>0</v>
      </c>
      <c r="AD167" s="53" t="e">
        <f>#REF!*D167</f>
        <v>#REF!</v>
      </c>
      <c r="AE167" s="53" t="e">
        <f>AD167-#REF!</f>
        <v>#REF!</v>
      </c>
      <c r="AF167" s="9"/>
      <c r="AG167" s="33" t="e">
        <f>#REF!-D167</f>
        <v>#REF!</v>
      </c>
      <c r="AH167" s="9"/>
      <c r="AI167" s="9"/>
      <c r="AJ167" s="9"/>
      <c r="AK167" s="9"/>
    </row>
    <row r="168" spans="1:37" s="12" customFormat="1" ht="20.399999999999999" outlineLevel="1" x14ac:dyDescent="0.2">
      <c r="A168" s="61" t="s">
        <v>781</v>
      </c>
      <c r="B168" s="14" t="s">
        <v>454</v>
      </c>
      <c r="C168" s="9" t="s">
        <v>48</v>
      </c>
      <c r="D168" s="25">
        <f t="shared" si="60"/>
        <v>420</v>
      </c>
      <c r="E168" s="54"/>
      <c r="F168" s="9"/>
      <c r="G168" s="33">
        <v>0</v>
      </c>
      <c r="H168" s="33">
        <f>100</f>
        <v>100</v>
      </c>
      <c r="I168" s="9">
        <f>100</f>
        <v>100</v>
      </c>
      <c r="J168" s="9">
        <v>50</v>
      </c>
      <c r="K168" s="9">
        <v>150</v>
      </c>
      <c r="L168" s="9">
        <v>0</v>
      </c>
      <c r="M168" s="9">
        <v>0</v>
      </c>
      <c r="N168" s="9">
        <v>0</v>
      </c>
      <c r="O168" s="9">
        <v>0</v>
      </c>
      <c r="P168" s="9">
        <v>0</v>
      </c>
      <c r="Q168" s="9">
        <v>0</v>
      </c>
      <c r="R168" s="9">
        <v>0</v>
      </c>
      <c r="S168" s="9">
        <v>0</v>
      </c>
      <c r="T168" s="9">
        <v>0</v>
      </c>
      <c r="U168" s="33">
        <v>0</v>
      </c>
      <c r="V168" s="9">
        <v>0</v>
      </c>
      <c r="W168" s="9">
        <v>0</v>
      </c>
      <c r="X168" s="9">
        <v>0</v>
      </c>
      <c r="Y168" s="9">
        <v>0</v>
      </c>
      <c r="Z168" s="9">
        <v>0</v>
      </c>
      <c r="AA168" s="9">
        <v>0</v>
      </c>
      <c r="AB168" s="9">
        <v>20</v>
      </c>
      <c r="AC168" s="9">
        <v>0</v>
      </c>
      <c r="AD168" s="53" t="e">
        <f>#REF!*D168</f>
        <v>#REF!</v>
      </c>
      <c r="AE168" s="53" t="e">
        <f>AD168-#REF!</f>
        <v>#REF!</v>
      </c>
      <c r="AF168" s="9"/>
      <c r="AG168" s="33" t="e">
        <f>#REF!-D168</f>
        <v>#REF!</v>
      </c>
      <c r="AH168" s="9"/>
      <c r="AI168" s="9"/>
      <c r="AJ168" s="9"/>
      <c r="AK168" s="9"/>
    </row>
    <row r="169" spans="1:37" s="12" customFormat="1" ht="20.399999999999999" outlineLevel="1" x14ac:dyDescent="0.2">
      <c r="A169" s="61" t="s">
        <v>782</v>
      </c>
      <c r="B169" s="14" t="s">
        <v>456</v>
      </c>
      <c r="C169" s="9" t="s">
        <v>48</v>
      </c>
      <c r="D169" s="25">
        <f t="shared" si="60"/>
        <v>330</v>
      </c>
      <c r="E169" s="54"/>
      <c r="F169" s="9"/>
      <c r="G169" s="33">
        <v>0</v>
      </c>
      <c r="H169" s="33">
        <f>200+10</f>
        <v>210</v>
      </c>
      <c r="I169" s="9">
        <v>100</v>
      </c>
      <c r="J169" s="9">
        <v>0</v>
      </c>
      <c r="K169" s="9">
        <v>0</v>
      </c>
      <c r="L169" s="9">
        <v>0</v>
      </c>
      <c r="M169" s="9">
        <v>0</v>
      </c>
      <c r="N169" s="9">
        <v>0</v>
      </c>
      <c r="O169" s="9">
        <v>0</v>
      </c>
      <c r="P169" s="9">
        <v>0</v>
      </c>
      <c r="Q169" s="9">
        <v>0</v>
      </c>
      <c r="R169" s="9">
        <v>0</v>
      </c>
      <c r="S169" s="9">
        <v>0</v>
      </c>
      <c r="T169" s="9">
        <v>0</v>
      </c>
      <c r="U169" s="33">
        <v>0</v>
      </c>
      <c r="V169" s="9">
        <v>0</v>
      </c>
      <c r="W169" s="9">
        <v>0</v>
      </c>
      <c r="X169" s="9">
        <v>0</v>
      </c>
      <c r="Y169" s="9">
        <v>0</v>
      </c>
      <c r="Z169" s="9">
        <v>0</v>
      </c>
      <c r="AA169" s="9">
        <v>0</v>
      </c>
      <c r="AB169" s="9">
        <v>20</v>
      </c>
      <c r="AC169" s="9">
        <v>0</v>
      </c>
      <c r="AD169" s="53" t="e">
        <f>#REF!*D169</f>
        <v>#REF!</v>
      </c>
      <c r="AE169" s="53" t="e">
        <f>AD169-#REF!</f>
        <v>#REF!</v>
      </c>
      <c r="AF169" s="9"/>
      <c r="AG169" s="33" t="e">
        <f>#REF!-D169</f>
        <v>#REF!</v>
      </c>
      <c r="AH169" s="9"/>
      <c r="AI169" s="9"/>
      <c r="AJ169" s="9"/>
      <c r="AK169" s="9"/>
    </row>
    <row r="170" spans="1:37" s="12" customFormat="1" ht="22.8" outlineLevel="1" x14ac:dyDescent="0.2">
      <c r="A170" s="61" t="s">
        <v>783</v>
      </c>
      <c r="B170" s="14" t="s">
        <v>299</v>
      </c>
      <c r="C170" s="9" t="s">
        <v>48</v>
      </c>
      <c r="D170" s="25">
        <f t="shared" si="60"/>
        <v>280</v>
      </c>
      <c r="E170" s="54"/>
      <c r="F170" s="9"/>
      <c r="G170" s="33">
        <v>0</v>
      </c>
      <c r="H170" s="33">
        <f>35</f>
        <v>35</v>
      </c>
      <c r="I170" s="9">
        <v>60</v>
      </c>
      <c r="J170" s="9">
        <v>30</v>
      </c>
      <c r="K170" s="9">
        <v>45</v>
      </c>
      <c r="L170" s="9">
        <v>20</v>
      </c>
      <c r="M170" s="9">
        <v>5</v>
      </c>
      <c r="N170" s="9">
        <v>5</v>
      </c>
      <c r="O170" s="9">
        <v>10</v>
      </c>
      <c r="P170" s="9">
        <v>5</v>
      </c>
      <c r="Q170" s="9">
        <v>5</v>
      </c>
      <c r="R170" s="9">
        <v>0</v>
      </c>
      <c r="S170" s="9">
        <v>0</v>
      </c>
      <c r="T170" s="9">
        <v>0</v>
      </c>
      <c r="U170" s="33">
        <v>40</v>
      </c>
      <c r="V170" s="9">
        <v>0</v>
      </c>
      <c r="W170" s="9">
        <v>0</v>
      </c>
      <c r="X170" s="9">
        <v>0</v>
      </c>
      <c r="Y170" s="9">
        <v>20</v>
      </c>
      <c r="Z170" s="9">
        <v>0</v>
      </c>
      <c r="AA170" s="9">
        <v>0</v>
      </c>
      <c r="AB170" s="9">
        <v>0</v>
      </c>
      <c r="AC170" s="9">
        <v>0</v>
      </c>
      <c r="AD170" s="53" t="e">
        <f>#REF!*D170</f>
        <v>#REF!</v>
      </c>
      <c r="AE170" s="53" t="e">
        <f>AD170-#REF!</f>
        <v>#REF!</v>
      </c>
      <c r="AF170" s="9"/>
      <c r="AG170" s="33" t="e">
        <f>#REF!-D170</f>
        <v>#REF!</v>
      </c>
      <c r="AH170" s="9"/>
      <c r="AI170" s="9"/>
      <c r="AJ170" s="9"/>
      <c r="AK170" s="9"/>
    </row>
    <row r="171" spans="1:37" s="12" customFormat="1" ht="10.199999999999999" outlineLevel="1" x14ac:dyDescent="0.2">
      <c r="A171" s="61"/>
      <c r="B171" s="14"/>
      <c r="C171" s="9"/>
      <c r="D171" s="25"/>
      <c r="E171" s="54"/>
      <c r="F171" s="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53" t="e">
        <f>#REF!*D171</f>
        <v>#REF!</v>
      </c>
      <c r="AE171" s="53" t="e">
        <f>AD171-#REF!</f>
        <v>#REF!</v>
      </c>
      <c r="AF171" s="9"/>
      <c r="AG171" s="33" t="e">
        <f>#REF!-D171</f>
        <v>#REF!</v>
      </c>
      <c r="AH171" s="9"/>
      <c r="AI171" s="9"/>
      <c r="AJ171" s="9"/>
      <c r="AK171" s="9"/>
    </row>
    <row r="172" spans="1:37" x14ac:dyDescent="0.25">
      <c r="A172" s="18" t="s">
        <v>11</v>
      </c>
      <c r="B172" s="35" t="s">
        <v>379</v>
      </c>
      <c r="C172" s="18" t="s">
        <v>41</v>
      </c>
      <c r="D172" s="52" t="e">
        <f>#REF!/#REF!*100</f>
        <v>#REF!</v>
      </c>
      <c r="E172" s="54"/>
      <c r="AB172" s="214" t="s">
        <v>375</v>
      </c>
      <c r="AD172" s="53" t="e">
        <f>#REF!*D172</f>
        <v>#REF!</v>
      </c>
      <c r="AE172" s="53" t="e">
        <f>AD172-#REF!</f>
        <v>#REF!</v>
      </c>
      <c r="AG172" s="33" t="e">
        <f>#REF!-D172</f>
        <v>#REF!</v>
      </c>
    </row>
    <row r="173" spans="1:37" s="72" customFormat="1" ht="20.399999999999999" outlineLevel="1" x14ac:dyDescent="0.25">
      <c r="A173" s="61" t="s">
        <v>784</v>
      </c>
      <c r="B173" s="47" t="s">
        <v>482</v>
      </c>
      <c r="C173" s="9" t="s">
        <v>48</v>
      </c>
      <c r="D173" s="25">
        <f>SUM(G173:AC173)*3</f>
        <v>3516</v>
      </c>
      <c r="E173" s="54"/>
      <c r="F173" s="78"/>
      <c r="G173" s="33">
        <v>0</v>
      </c>
      <c r="H173" s="33">
        <v>110</v>
      </c>
      <c r="I173" s="9">
        <f>105-19</f>
        <v>86</v>
      </c>
      <c r="J173" s="9">
        <f>121-36</f>
        <v>85</v>
      </c>
      <c r="K173" s="9">
        <f>115-42</f>
        <v>73</v>
      </c>
      <c r="L173" s="9">
        <v>70</v>
      </c>
      <c r="M173" s="9">
        <v>42</v>
      </c>
      <c r="N173" s="9">
        <v>42</v>
      </c>
      <c r="O173" s="9">
        <v>45</v>
      </c>
      <c r="P173" s="9">
        <v>38</v>
      </c>
      <c r="Q173" s="9">
        <v>38</v>
      </c>
      <c r="R173" s="9">
        <f>7</f>
        <v>7</v>
      </c>
      <c r="S173" s="9">
        <v>0</v>
      </c>
      <c r="T173" s="9">
        <v>0</v>
      </c>
      <c r="U173" s="33">
        <v>96</v>
      </c>
      <c r="V173" s="9">
        <v>126</v>
      </c>
      <c r="W173" s="9">
        <v>44</v>
      </c>
      <c r="X173" s="9">
        <v>50</v>
      </c>
      <c r="Y173" s="9">
        <v>51</v>
      </c>
      <c r="Z173" s="9">
        <f>82+25</f>
        <v>107</v>
      </c>
      <c r="AA173" s="9">
        <v>51</v>
      </c>
      <c r="AB173" s="9">
        <v>11</v>
      </c>
      <c r="AC173" s="9">
        <v>0</v>
      </c>
      <c r="AD173" s="53" t="e">
        <f>#REF!*D173</f>
        <v>#REF!</v>
      </c>
      <c r="AE173" s="53" t="e">
        <f>AD173-#REF!</f>
        <v>#REF!</v>
      </c>
      <c r="AF173" s="9"/>
      <c r="AG173" s="33" t="e">
        <f>#REF!-D173</f>
        <v>#REF!</v>
      </c>
      <c r="AH173" s="9"/>
      <c r="AI173" s="9"/>
      <c r="AJ173" s="9"/>
      <c r="AK173" s="9"/>
    </row>
    <row r="174" spans="1:37" s="17" customFormat="1" ht="20.399999999999999" outlineLevel="1" x14ac:dyDescent="0.2">
      <c r="A174" s="61" t="s">
        <v>785</v>
      </c>
      <c r="B174" s="47" t="s">
        <v>484</v>
      </c>
      <c r="C174" s="9" t="s">
        <v>48</v>
      </c>
      <c r="D174" s="25">
        <f>SUM(G174:AC174)*3</f>
        <v>78</v>
      </c>
      <c r="E174" s="54"/>
      <c r="F174" s="9"/>
      <c r="G174" s="33">
        <v>0</v>
      </c>
      <c r="H174" s="33">
        <v>0</v>
      </c>
      <c r="I174" s="9">
        <f>78/3</f>
        <v>26</v>
      </c>
      <c r="J174" s="9">
        <v>0</v>
      </c>
      <c r="K174" s="9">
        <v>0</v>
      </c>
      <c r="L174" s="9">
        <v>0</v>
      </c>
      <c r="M174" s="9">
        <v>0</v>
      </c>
      <c r="N174" s="9">
        <v>0</v>
      </c>
      <c r="O174" s="9">
        <v>0</v>
      </c>
      <c r="P174" s="9">
        <v>0</v>
      </c>
      <c r="Q174" s="9">
        <v>0</v>
      </c>
      <c r="R174" s="9">
        <v>0</v>
      </c>
      <c r="S174" s="9">
        <v>0</v>
      </c>
      <c r="T174" s="9">
        <v>0</v>
      </c>
      <c r="U174" s="33">
        <v>0</v>
      </c>
      <c r="V174" s="9">
        <v>0</v>
      </c>
      <c r="W174" s="9">
        <v>0</v>
      </c>
      <c r="X174" s="9">
        <v>0</v>
      </c>
      <c r="Y174" s="9">
        <v>0</v>
      </c>
      <c r="Z174" s="9">
        <v>0</v>
      </c>
      <c r="AA174" s="9">
        <v>0</v>
      </c>
      <c r="AB174" s="9">
        <v>0</v>
      </c>
      <c r="AC174" s="9">
        <v>0</v>
      </c>
      <c r="AD174" s="53" t="e">
        <f>#REF!*D174</f>
        <v>#REF!</v>
      </c>
      <c r="AE174" s="53" t="e">
        <f>AD174-#REF!</f>
        <v>#REF!</v>
      </c>
      <c r="AF174" s="9"/>
      <c r="AG174" s="33" t="e">
        <f>#REF!-D174</f>
        <v>#REF!</v>
      </c>
      <c r="AH174" s="9"/>
      <c r="AI174" s="9"/>
      <c r="AJ174" s="9"/>
      <c r="AK174" s="9"/>
    </row>
    <row r="175" spans="1:37" s="50" customFormat="1" ht="20.399999999999999" outlineLevel="1" x14ac:dyDescent="0.2">
      <c r="A175" s="61" t="s">
        <v>786</v>
      </c>
      <c r="B175" s="47" t="s">
        <v>486</v>
      </c>
      <c r="C175" s="9" t="s">
        <v>48</v>
      </c>
      <c r="D175" s="25">
        <f>SUM(G175:AC175)*3</f>
        <v>15</v>
      </c>
      <c r="E175" s="54"/>
      <c r="F175" s="9"/>
      <c r="G175" s="33">
        <v>0</v>
      </c>
      <c r="H175" s="33">
        <v>0</v>
      </c>
      <c r="I175" s="9">
        <v>0</v>
      </c>
      <c r="J175" s="9">
        <v>0</v>
      </c>
      <c r="K175" s="9">
        <v>0</v>
      </c>
      <c r="L175" s="9">
        <v>0</v>
      </c>
      <c r="M175" s="9">
        <v>0</v>
      </c>
      <c r="N175" s="9">
        <v>0</v>
      </c>
      <c r="O175" s="9">
        <v>0</v>
      </c>
      <c r="P175" s="9">
        <v>0</v>
      </c>
      <c r="Q175" s="9">
        <v>0</v>
      </c>
      <c r="R175" s="9">
        <v>5</v>
      </c>
      <c r="S175" s="9">
        <v>0</v>
      </c>
      <c r="T175" s="9">
        <v>0</v>
      </c>
      <c r="U175" s="33">
        <v>0</v>
      </c>
      <c r="V175" s="9">
        <v>0</v>
      </c>
      <c r="W175" s="9">
        <v>0</v>
      </c>
      <c r="X175" s="9">
        <v>0</v>
      </c>
      <c r="Y175" s="9">
        <v>0</v>
      </c>
      <c r="Z175" s="9">
        <v>0</v>
      </c>
      <c r="AA175" s="9">
        <v>0</v>
      </c>
      <c r="AB175" s="9">
        <v>0</v>
      </c>
      <c r="AC175" s="9">
        <v>0</v>
      </c>
      <c r="AD175" s="53" t="e">
        <f>#REF!*D175</f>
        <v>#REF!</v>
      </c>
      <c r="AE175" s="53" t="e">
        <f>AD175-#REF!</f>
        <v>#REF!</v>
      </c>
      <c r="AF175" s="49"/>
      <c r="AG175" s="33" t="e">
        <f>#REF!-D175</f>
        <v>#REF!</v>
      </c>
      <c r="AH175" s="49"/>
      <c r="AI175" s="49"/>
      <c r="AJ175" s="49"/>
      <c r="AK175" s="49"/>
    </row>
    <row r="176" spans="1:37" s="12" customFormat="1" ht="20.399999999999999" outlineLevel="1" x14ac:dyDescent="0.2">
      <c r="A176" s="61" t="s">
        <v>787</v>
      </c>
      <c r="B176" s="14" t="s">
        <v>60</v>
      </c>
      <c r="C176" s="9" t="s">
        <v>47</v>
      </c>
      <c r="D176" s="25">
        <f t="shared" ref="D176:D215" si="61">SUM(G176:AC176)</f>
        <v>799</v>
      </c>
      <c r="E176" s="54"/>
      <c r="F176" s="78"/>
      <c r="G176" s="33">
        <v>0</v>
      </c>
      <c r="H176" s="33">
        <v>83</v>
      </c>
      <c r="I176" s="9">
        <f>80-15</f>
        <v>65</v>
      </c>
      <c r="J176" s="9">
        <f>80-24</f>
        <v>56</v>
      </c>
      <c r="K176" s="9">
        <f>71-26</f>
        <v>45</v>
      </c>
      <c r="L176" s="9">
        <v>49</v>
      </c>
      <c r="M176" s="9">
        <v>38</v>
      </c>
      <c r="N176" s="9">
        <v>38</v>
      </c>
      <c r="O176" s="9">
        <v>48</v>
      </c>
      <c r="P176" s="9">
        <v>38</v>
      </c>
      <c r="Q176" s="9">
        <v>38</v>
      </c>
      <c r="R176" s="9">
        <v>6</v>
      </c>
      <c r="S176" s="9">
        <v>0</v>
      </c>
      <c r="T176" s="9">
        <v>0</v>
      </c>
      <c r="U176" s="33">
        <f>33+17</f>
        <v>50</v>
      </c>
      <c r="V176" s="9">
        <f>38+23</f>
        <v>61</v>
      </c>
      <c r="W176" s="9">
        <f>19+10</f>
        <v>29</v>
      </c>
      <c r="X176" s="9">
        <f>11+18</f>
        <v>29</v>
      </c>
      <c r="Y176" s="9">
        <f>22+18</f>
        <v>40</v>
      </c>
      <c r="Z176" s="9">
        <f>23+21</f>
        <v>44</v>
      </c>
      <c r="AA176" s="9">
        <f>22+16</f>
        <v>38</v>
      </c>
      <c r="AB176" s="9">
        <v>4</v>
      </c>
      <c r="AC176" s="9">
        <v>0</v>
      </c>
      <c r="AD176" s="53" t="e">
        <f>#REF!*D176</f>
        <v>#REF!</v>
      </c>
      <c r="AE176" s="53" t="e">
        <f>AD176-#REF!</f>
        <v>#REF!</v>
      </c>
      <c r="AF176" s="9"/>
      <c r="AG176" s="33" t="e">
        <f>#REF!-D176</f>
        <v>#REF!</v>
      </c>
      <c r="AH176" s="9"/>
      <c r="AI176" s="9"/>
      <c r="AJ176" s="9"/>
      <c r="AK176" s="9"/>
    </row>
    <row r="177" spans="1:37" s="12" customFormat="1" ht="20.399999999999999" outlineLevel="1" x14ac:dyDescent="0.2">
      <c r="A177" s="61" t="s">
        <v>788</v>
      </c>
      <c r="B177" s="14" t="s">
        <v>62</v>
      </c>
      <c r="C177" s="9" t="s">
        <v>47</v>
      </c>
      <c r="D177" s="25">
        <f t="shared" si="61"/>
        <v>2</v>
      </c>
      <c r="E177" s="54"/>
      <c r="F177" s="78"/>
      <c r="G177" s="33">
        <v>0</v>
      </c>
      <c r="H177" s="33">
        <v>0</v>
      </c>
      <c r="I177" s="9">
        <v>2</v>
      </c>
      <c r="J177" s="9">
        <v>0</v>
      </c>
      <c r="K177" s="9">
        <v>0</v>
      </c>
      <c r="L177" s="9">
        <v>0</v>
      </c>
      <c r="M177" s="9">
        <v>0</v>
      </c>
      <c r="N177" s="9">
        <v>0</v>
      </c>
      <c r="O177" s="9">
        <v>0</v>
      </c>
      <c r="P177" s="9">
        <v>0</v>
      </c>
      <c r="Q177" s="9">
        <v>0</v>
      </c>
      <c r="R177" s="9">
        <v>0</v>
      </c>
      <c r="S177" s="9">
        <v>0</v>
      </c>
      <c r="T177" s="9">
        <v>0</v>
      </c>
      <c r="U177" s="33">
        <v>0</v>
      </c>
      <c r="V177" s="9">
        <v>0</v>
      </c>
      <c r="W177" s="9">
        <v>0</v>
      </c>
      <c r="X177" s="9">
        <v>0</v>
      </c>
      <c r="Y177" s="9">
        <v>0</v>
      </c>
      <c r="Z177" s="9">
        <v>0</v>
      </c>
      <c r="AA177" s="9">
        <v>0</v>
      </c>
      <c r="AB177" s="9">
        <v>0</v>
      </c>
      <c r="AC177" s="9">
        <v>0</v>
      </c>
      <c r="AD177" s="53" t="e">
        <f>#REF!*D177</f>
        <v>#REF!</v>
      </c>
      <c r="AE177" s="53" t="e">
        <f>AD177-#REF!</f>
        <v>#REF!</v>
      </c>
      <c r="AF177" s="9"/>
      <c r="AG177" s="33" t="e">
        <f>#REF!-D177</f>
        <v>#REF!</v>
      </c>
      <c r="AH177" s="9"/>
      <c r="AI177" s="9"/>
      <c r="AJ177" s="9"/>
      <c r="AK177" s="9"/>
    </row>
    <row r="178" spans="1:37" s="12" customFormat="1" ht="20.399999999999999" outlineLevel="1" x14ac:dyDescent="0.2">
      <c r="A178" s="61" t="s">
        <v>789</v>
      </c>
      <c r="B178" s="14" t="s">
        <v>318</v>
      </c>
      <c r="C178" s="9" t="s">
        <v>47</v>
      </c>
      <c r="D178" s="25">
        <f t="shared" si="61"/>
        <v>2</v>
      </c>
      <c r="E178" s="54"/>
      <c r="F178" s="78"/>
      <c r="G178" s="33">
        <v>0</v>
      </c>
      <c r="H178" s="33">
        <v>0</v>
      </c>
      <c r="I178" s="9">
        <v>0</v>
      </c>
      <c r="J178" s="9">
        <v>0</v>
      </c>
      <c r="K178" s="9">
        <v>0</v>
      </c>
      <c r="L178" s="9">
        <v>0</v>
      </c>
      <c r="M178" s="9">
        <v>0</v>
      </c>
      <c r="N178" s="9">
        <v>0</v>
      </c>
      <c r="O178" s="9">
        <v>0</v>
      </c>
      <c r="P178" s="9">
        <v>0</v>
      </c>
      <c r="Q178" s="9">
        <v>0</v>
      </c>
      <c r="R178" s="9">
        <v>2</v>
      </c>
      <c r="S178" s="9">
        <v>0</v>
      </c>
      <c r="T178" s="9">
        <v>0</v>
      </c>
      <c r="U178" s="33">
        <v>0</v>
      </c>
      <c r="V178" s="9">
        <v>0</v>
      </c>
      <c r="W178" s="9">
        <v>0</v>
      </c>
      <c r="X178" s="9">
        <v>0</v>
      </c>
      <c r="Y178" s="9">
        <v>0</v>
      </c>
      <c r="Z178" s="9">
        <v>0</v>
      </c>
      <c r="AA178" s="9">
        <v>0</v>
      </c>
      <c r="AB178" s="9">
        <v>0</v>
      </c>
      <c r="AC178" s="9">
        <v>0</v>
      </c>
      <c r="AD178" s="53" t="e">
        <f>#REF!*D178</f>
        <v>#REF!</v>
      </c>
      <c r="AE178" s="53" t="e">
        <f>AD178-#REF!</f>
        <v>#REF!</v>
      </c>
      <c r="AF178" s="9"/>
      <c r="AG178" s="33" t="e">
        <f>#REF!-D178</f>
        <v>#REF!</v>
      </c>
      <c r="AH178" s="9"/>
      <c r="AI178" s="9"/>
      <c r="AJ178" s="9"/>
      <c r="AK178" s="9"/>
    </row>
    <row r="179" spans="1:37" s="12" customFormat="1" ht="20.399999999999999" outlineLevel="1" x14ac:dyDescent="0.2">
      <c r="A179" s="61" t="s">
        <v>790</v>
      </c>
      <c r="B179" s="14" t="s">
        <v>64</v>
      </c>
      <c r="C179" s="9" t="s">
        <v>47</v>
      </c>
      <c r="D179" s="25">
        <f t="shared" si="61"/>
        <v>1971</v>
      </c>
      <c r="E179" s="54"/>
      <c r="F179" s="78"/>
      <c r="G179" s="88">
        <f t="shared" ref="G179:AC179" si="62">G176+G173</f>
        <v>0</v>
      </c>
      <c r="H179" s="88">
        <f t="shared" si="62"/>
        <v>193</v>
      </c>
      <c r="I179" s="88">
        <f t="shared" si="62"/>
        <v>151</v>
      </c>
      <c r="J179" s="88">
        <f t="shared" si="62"/>
        <v>141</v>
      </c>
      <c r="K179" s="88">
        <f t="shared" si="62"/>
        <v>118</v>
      </c>
      <c r="L179" s="88">
        <f t="shared" si="62"/>
        <v>119</v>
      </c>
      <c r="M179" s="88">
        <f t="shared" si="62"/>
        <v>80</v>
      </c>
      <c r="N179" s="88">
        <f t="shared" si="62"/>
        <v>80</v>
      </c>
      <c r="O179" s="88">
        <f t="shared" si="62"/>
        <v>93</v>
      </c>
      <c r="P179" s="88">
        <f t="shared" si="62"/>
        <v>76</v>
      </c>
      <c r="Q179" s="88">
        <f t="shared" si="62"/>
        <v>76</v>
      </c>
      <c r="R179" s="88">
        <f t="shared" si="62"/>
        <v>13</v>
      </c>
      <c r="S179" s="88">
        <f t="shared" si="62"/>
        <v>0</v>
      </c>
      <c r="T179" s="88">
        <f t="shared" si="62"/>
        <v>0</v>
      </c>
      <c r="U179" s="88">
        <f t="shared" si="62"/>
        <v>146</v>
      </c>
      <c r="V179" s="88">
        <f t="shared" si="62"/>
        <v>187</v>
      </c>
      <c r="W179" s="88">
        <f t="shared" si="62"/>
        <v>73</v>
      </c>
      <c r="X179" s="88">
        <f t="shared" si="62"/>
        <v>79</v>
      </c>
      <c r="Y179" s="88">
        <f t="shared" si="62"/>
        <v>91</v>
      </c>
      <c r="Z179" s="88">
        <f t="shared" si="62"/>
        <v>151</v>
      </c>
      <c r="AA179" s="88">
        <f t="shared" si="62"/>
        <v>89</v>
      </c>
      <c r="AB179" s="88">
        <f t="shared" si="62"/>
        <v>15</v>
      </c>
      <c r="AC179" s="88">
        <f t="shared" si="62"/>
        <v>0</v>
      </c>
      <c r="AD179" s="53" t="e">
        <f>#REF!*D179</f>
        <v>#REF!</v>
      </c>
      <c r="AE179" s="53" t="e">
        <f>AD179-#REF!</f>
        <v>#REF!</v>
      </c>
      <c r="AF179" s="49"/>
      <c r="AG179" s="33" t="e">
        <f>#REF!-D179</f>
        <v>#REF!</v>
      </c>
      <c r="AH179" s="9"/>
      <c r="AI179" s="9"/>
      <c r="AJ179" s="9"/>
      <c r="AK179" s="9"/>
    </row>
    <row r="180" spans="1:37" s="12" customFormat="1" ht="20.399999999999999" outlineLevel="1" x14ac:dyDescent="0.2">
      <c r="A180" s="61" t="s">
        <v>791</v>
      </c>
      <c r="B180" s="14" t="s">
        <v>66</v>
      </c>
      <c r="C180" s="9" t="s">
        <v>47</v>
      </c>
      <c r="D180" s="25">
        <f t="shared" si="61"/>
        <v>28</v>
      </c>
      <c r="E180" s="54"/>
      <c r="F180" s="78"/>
      <c r="G180" s="88">
        <f t="shared" ref="G180:AC180" si="63">G177+G174</f>
        <v>0</v>
      </c>
      <c r="H180" s="88">
        <f t="shared" si="63"/>
        <v>0</v>
      </c>
      <c r="I180" s="88">
        <f t="shared" si="63"/>
        <v>28</v>
      </c>
      <c r="J180" s="88">
        <f t="shared" si="63"/>
        <v>0</v>
      </c>
      <c r="K180" s="88">
        <f t="shared" si="63"/>
        <v>0</v>
      </c>
      <c r="L180" s="88">
        <f t="shared" si="63"/>
        <v>0</v>
      </c>
      <c r="M180" s="88">
        <f t="shared" si="63"/>
        <v>0</v>
      </c>
      <c r="N180" s="88">
        <f t="shared" si="63"/>
        <v>0</v>
      </c>
      <c r="O180" s="88">
        <f t="shared" si="63"/>
        <v>0</v>
      </c>
      <c r="P180" s="88">
        <f t="shared" si="63"/>
        <v>0</v>
      </c>
      <c r="Q180" s="88">
        <f t="shared" si="63"/>
        <v>0</v>
      </c>
      <c r="R180" s="88">
        <f t="shared" si="63"/>
        <v>0</v>
      </c>
      <c r="S180" s="88">
        <f t="shared" si="63"/>
        <v>0</v>
      </c>
      <c r="T180" s="88">
        <f t="shared" si="63"/>
        <v>0</v>
      </c>
      <c r="U180" s="88">
        <f t="shared" si="63"/>
        <v>0</v>
      </c>
      <c r="V180" s="88">
        <f t="shared" si="63"/>
        <v>0</v>
      </c>
      <c r="W180" s="88">
        <f t="shared" si="63"/>
        <v>0</v>
      </c>
      <c r="X180" s="88">
        <f t="shared" si="63"/>
        <v>0</v>
      </c>
      <c r="Y180" s="88">
        <f t="shared" si="63"/>
        <v>0</v>
      </c>
      <c r="Z180" s="88">
        <f t="shared" si="63"/>
        <v>0</v>
      </c>
      <c r="AA180" s="88">
        <f t="shared" si="63"/>
        <v>0</v>
      </c>
      <c r="AB180" s="88">
        <f t="shared" si="63"/>
        <v>0</v>
      </c>
      <c r="AC180" s="88">
        <f t="shared" si="63"/>
        <v>0</v>
      </c>
      <c r="AD180" s="53" t="e">
        <f>#REF!*D180</f>
        <v>#REF!</v>
      </c>
      <c r="AE180" s="53" t="e">
        <f>AD180-#REF!</f>
        <v>#REF!</v>
      </c>
      <c r="AF180" s="49"/>
      <c r="AG180" s="33" t="e">
        <f>#REF!-D180</f>
        <v>#REF!</v>
      </c>
      <c r="AH180" s="9"/>
      <c r="AI180" s="9"/>
      <c r="AJ180" s="9"/>
      <c r="AK180" s="9"/>
    </row>
    <row r="181" spans="1:37" s="12" customFormat="1" ht="20.399999999999999" outlineLevel="1" x14ac:dyDescent="0.2">
      <c r="A181" s="61" t="s">
        <v>792</v>
      </c>
      <c r="B181" s="14" t="s">
        <v>319</v>
      </c>
      <c r="C181" s="9" t="s">
        <v>47</v>
      </c>
      <c r="D181" s="25">
        <f t="shared" si="61"/>
        <v>7</v>
      </c>
      <c r="E181" s="54"/>
      <c r="F181" s="78"/>
      <c r="G181" s="88">
        <f t="shared" ref="G181:AC181" si="64">G178+G175</f>
        <v>0</v>
      </c>
      <c r="H181" s="88">
        <f t="shared" si="64"/>
        <v>0</v>
      </c>
      <c r="I181" s="88">
        <f t="shared" si="64"/>
        <v>0</v>
      </c>
      <c r="J181" s="88">
        <f t="shared" si="64"/>
        <v>0</v>
      </c>
      <c r="K181" s="88">
        <f t="shared" si="64"/>
        <v>0</v>
      </c>
      <c r="L181" s="88">
        <f t="shared" si="64"/>
        <v>0</v>
      </c>
      <c r="M181" s="88">
        <f t="shared" si="64"/>
        <v>0</v>
      </c>
      <c r="N181" s="88">
        <f t="shared" si="64"/>
        <v>0</v>
      </c>
      <c r="O181" s="88">
        <f t="shared" si="64"/>
        <v>0</v>
      </c>
      <c r="P181" s="88">
        <f t="shared" si="64"/>
        <v>0</v>
      </c>
      <c r="Q181" s="88">
        <f t="shared" si="64"/>
        <v>0</v>
      </c>
      <c r="R181" s="88">
        <f t="shared" si="64"/>
        <v>7</v>
      </c>
      <c r="S181" s="88">
        <f t="shared" si="64"/>
        <v>0</v>
      </c>
      <c r="T181" s="88">
        <f t="shared" si="64"/>
        <v>0</v>
      </c>
      <c r="U181" s="88">
        <f t="shared" si="64"/>
        <v>0</v>
      </c>
      <c r="V181" s="88">
        <f t="shared" si="64"/>
        <v>0</v>
      </c>
      <c r="W181" s="88">
        <f t="shared" si="64"/>
        <v>0</v>
      </c>
      <c r="X181" s="88">
        <f t="shared" si="64"/>
        <v>0</v>
      </c>
      <c r="Y181" s="88">
        <f t="shared" si="64"/>
        <v>0</v>
      </c>
      <c r="Z181" s="88">
        <f t="shared" si="64"/>
        <v>0</v>
      </c>
      <c r="AA181" s="88">
        <f t="shared" si="64"/>
        <v>0</v>
      </c>
      <c r="AB181" s="88">
        <f t="shared" si="64"/>
        <v>0</v>
      </c>
      <c r="AC181" s="88">
        <f t="shared" si="64"/>
        <v>0</v>
      </c>
      <c r="AD181" s="53" t="e">
        <f>#REF!*D181</f>
        <v>#REF!</v>
      </c>
      <c r="AE181" s="53" t="e">
        <f>AD181-#REF!</f>
        <v>#REF!</v>
      </c>
      <c r="AF181" s="49"/>
      <c r="AG181" s="33" t="e">
        <f>#REF!-D181</f>
        <v>#REF!</v>
      </c>
      <c r="AH181" s="9"/>
      <c r="AI181" s="9"/>
      <c r="AJ181" s="9"/>
      <c r="AK181" s="9"/>
    </row>
    <row r="182" spans="1:37" s="12" customFormat="1" ht="20.399999999999999" outlineLevel="1" x14ac:dyDescent="0.2">
      <c r="A182" s="61" t="s">
        <v>793</v>
      </c>
      <c r="B182" s="14" t="s">
        <v>477</v>
      </c>
      <c r="C182" s="9" t="s">
        <v>48</v>
      </c>
      <c r="D182" s="25">
        <f t="shared" si="61"/>
        <v>30</v>
      </c>
      <c r="E182" s="54"/>
      <c r="F182" s="78"/>
      <c r="G182" s="33">
        <v>0</v>
      </c>
      <c r="H182" s="33">
        <v>0</v>
      </c>
      <c r="I182" s="9">
        <v>0</v>
      </c>
      <c r="J182" s="9">
        <v>0</v>
      </c>
      <c r="K182" s="9">
        <v>0</v>
      </c>
      <c r="L182" s="9">
        <v>0</v>
      </c>
      <c r="M182" s="9">
        <v>0</v>
      </c>
      <c r="N182" s="9">
        <v>0</v>
      </c>
      <c r="O182" s="9">
        <v>0</v>
      </c>
      <c r="P182" s="9">
        <v>0</v>
      </c>
      <c r="Q182" s="9">
        <v>0</v>
      </c>
      <c r="R182" s="9">
        <v>30</v>
      </c>
      <c r="S182" s="9">
        <v>0</v>
      </c>
      <c r="T182" s="9">
        <v>0</v>
      </c>
      <c r="U182" s="33">
        <v>0</v>
      </c>
      <c r="V182" s="33">
        <v>0</v>
      </c>
      <c r="W182" s="33">
        <v>0</v>
      </c>
      <c r="X182" s="33">
        <v>0</v>
      </c>
      <c r="Y182" s="33">
        <v>0</v>
      </c>
      <c r="Z182" s="33">
        <v>0</v>
      </c>
      <c r="AA182" s="33">
        <v>0</v>
      </c>
      <c r="AB182" s="9">
        <v>0</v>
      </c>
      <c r="AC182" s="9">
        <v>0</v>
      </c>
      <c r="AD182" s="53" t="e">
        <f>#REF!*D182</f>
        <v>#REF!</v>
      </c>
      <c r="AE182" s="53" t="e">
        <f>AD182-#REF!</f>
        <v>#REF!</v>
      </c>
      <c r="AF182" s="9"/>
      <c r="AG182" s="33" t="e">
        <f>#REF!-D182</f>
        <v>#REF!</v>
      </c>
      <c r="AH182" s="9"/>
      <c r="AI182" s="9"/>
      <c r="AJ182" s="9"/>
      <c r="AK182" s="9"/>
    </row>
    <row r="183" spans="1:37" s="12" customFormat="1" ht="20.399999999999999" outlineLevel="1" x14ac:dyDescent="0.2">
      <c r="A183" s="61" t="s">
        <v>794</v>
      </c>
      <c r="B183" s="14" t="s">
        <v>677</v>
      </c>
      <c r="C183" s="9" t="s">
        <v>48</v>
      </c>
      <c r="D183" s="25">
        <f t="shared" si="61"/>
        <v>1180</v>
      </c>
      <c r="E183" s="54"/>
      <c r="F183" s="78"/>
      <c r="G183" s="33">
        <v>0</v>
      </c>
      <c r="H183" s="33">
        <v>141</v>
      </c>
      <c r="I183" s="9">
        <f>81-15</f>
        <v>66</v>
      </c>
      <c r="J183" s="9">
        <f>113-33</f>
        <v>80</v>
      </c>
      <c r="K183" s="9">
        <f>141-51</f>
        <v>90</v>
      </c>
      <c r="L183" s="9">
        <v>59</v>
      </c>
      <c r="M183" s="9">
        <v>78</v>
      </c>
      <c r="N183" s="9">
        <v>78</v>
      </c>
      <c r="O183" s="9">
        <v>93</v>
      </c>
      <c r="P183" s="9">
        <v>87</v>
      </c>
      <c r="Q183" s="9">
        <v>87</v>
      </c>
      <c r="R183" s="9">
        <v>0</v>
      </c>
      <c r="S183" s="9">
        <v>0</v>
      </c>
      <c r="T183" s="9">
        <v>0</v>
      </c>
      <c r="U183" s="33">
        <v>72</v>
      </c>
      <c r="V183" s="9">
        <v>63</v>
      </c>
      <c r="W183" s="9">
        <v>33</v>
      </c>
      <c r="X183" s="9">
        <v>18</v>
      </c>
      <c r="Y183" s="9">
        <v>36</v>
      </c>
      <c r="Z183" s="9">
        <v>45</v>
      </c>
      <c r="AA183" s="9">
        <v>36</v>
      </c>
      <c r="AB183" s="9">
        <v>18</v>
      </c>
      <c r="AC183" s="9">
        <v>0</v>
      </c>
      <c r="AD183" s="53" t="e">
        <f>#REF!*D183</f>
        <v>#REF!</v>
      </c>
      <c r="AE183" s="53" t="e">
        <f>AD183-#REF!</f>
        <v>#REF!</v>
      </c>
      <c r="AF183" s="9"/>
      <c r="AG183" s="33" t="e">
        <f>#REF!-D183</f>
        <v>#REF!</v>
      </c>
      <c r="AH183" s="9"/>
      <c r="AI183" s="9"/>
      <c r="AJ183" s="9"/>
      <c r="AK183" s="9"/>
    </row>
    <row r="184" spans="1:37" s="12" customFormat="1" ht="20.399999999999999" outlineLevel="1" x14ac:dyDescent="0.2">
      <c r="A184" s="61" t="s">
        <v>795</v>
      </c>
      <c r="B184" s="95" t="s">
        <v>451</v>
      </c>
      <c r="C184" s="9" t="s">
        <v>47</v>
      </c>
      <c r="D184" s="25">
        <f t="shared" si="61"/>
        <v>393.33333333333337</v>
      </c>
      <c r="E184" s="54"/>
      <c r="F184" s="78"/>
      <c r="G184" s="88">
        <f t="shared" ref="G184:AC184" si="65">G183/3</f>
        <v>0</v>
      </c>
      <c r="H184" s="88">
        <f t="shared" si="65"/>
        <v>47</v>
      </c>
      <c r="I184" s="88">
        <f t="shared" si="65"/>
        <v>22</v>
      </c>
      <c r="J184" s="88">
        <f t="shared" si="65"/>
        <v>26.666666666666668</v>
      </c>
      <c r="K184" s="88">
        <f t="shared" si="65"/>
        <v>30</v>
      </c>
      <c r="L184" s="88">
        <f t="shared" si="65"/>
        <v>19.666666666666668</v>
      </c>
      <c r="M184" s="88">
        <f t="shared" si="65"/>
        <v>26</v>
      </c>
      <c r="N184" s="88">
        <f t="shared" si="65"/>
        <v>26</v>
      </c>
      <c r="O184" s="88">
        <f t="shared" si="65"/>
        <v>31</v>
      </c>
      <c r="P184" s="88">
        <f t="shared" si="65"/>
        <v>29</v>
      </c>
      <c r="Q184" s="88">
        <f t="shared" si="65"/>
        <v>29</v>
      </c>
      <c r="R184" s="88">
        <f t="shared" si="65"/>
        <v>0</v>
      </c>
      <c r="S184" s="88">
        <f t="shared" si="65"/>
        <v>0</v>
      </c>
      <c r="T184" s="88">
        <f t="shared" si="65"/>
        <v>0</v>
      </c>
      <c r="U184" s="88">
        <f t="shared" si="65"/>
        <v>24</v>
      </c>
      <c r="V184" s="88">
        <f t="shared" si="65"/>
        <v>21</v>
      </c>
      <c r="W184" s="88">
        <f t="shared" si="65"/>
        <v>11</v>
      </c>
      <c r="X184" s="88">
        <f t="shared" si="65"/>
        <v>6</v>
      </c>
      <c r="Y184" s="88">
        <f t="shared" si="65"/>
        <v>12</v>
      </c>
      <c r="Z184" s="88">
        <f t="shared" si="65"/>
        <v>15</v>
      </c>
      <c r="AA184" s="88">
        <f t="shared" si="65"/>
        <v>12</v>
      </c>
      <c r="AB184" s="88">
        <f t="shared" si="65"/>
        <v>6</v>
      </c>
      <c r="AC184" s="88">
        <f t="shared" si="65"/>
        <v>0</v>
      </c>
      <c r="AD184" s="53" t="e">
        <f>#REF!*D184</f>
        <v>#REF!</v>
      </c>
      <c r="AE184" s="53" t="e">
        <f>AD184-#REF!</f>
        <v>#REF!</v>
      </c>
      <c r="AF184" s="9"/>
      <c r="AG184" s="33" t="e">
        <f>#REF!-D184</f>
        <v>#REF!</v>
      </c>
      <c r="AH184" s="9"/>
      <c r="AI184" s="9"/>
      <c r="AJ184" s="9"/>
      <c r="AK184" s="9"/>
    </row>
    <row r="185" spans="1:37" s="12" customFormat="1" ht="20.399999999999999" outlineLevel="1" x14ac:dyDescent="0.2">
      <c r="A185" s="61" t="s">
        <v>796</v>
      </c>
      <c r="B185" s="14" t="s">
        <v>68</v>
      </c>
      <c r="C185" s="9" t="s">
        <v>36</v>
      </c>
      <c r="D185" s="25">
        <f t="shared" si="61"/>
        <v>96</v>
      </c>
      <c r="E185" s="54"/>
      <c r="F185" s="78"/>
      <c r="G185" s="33">
        <v>0</v>
      </c>
      <c r="H185" s="33">
        <v>9</v>
      </c>
      <c r="I185" s="9">
        <v>7</v>
      </c>
      <c r="J185" s="9">
        <v>6</v>
      </c>
      <c r="K185" s="9">
        <v>5</v>
      </c>
      <c r="L185" s="9">
        <v>4</v>
      </c>
      <c r="M185" s="9">
        <v>8</v>
      </c>
      <c r="N185" s="9">
        <v>8</v>
      </c>
      <c r="O185" s="9">
        <v>8</v>
      </c>
      <c r="P185" s="9">
        <v>8</v>
      </c>
      <c r="Q185" s="9">
        <v>8</v>
      </c>
      <c r="R185" s="9">
        <v>0</v>
      </c>
      <c r="S185" s="9">
        <v>0</v>
      </c>
      <c r="T185" s="9">
        <v>0</v>
      </c>
      <c r="U185" s="33">
        <v>3</v>
      </c>
      <c r="V185" s="9">
        <v>3</v>
      </c>
      <c r="W185" s="9">
        <v>3</v>
      </c>
      <c r="X185" s="9">
        <v>3</v>
      </c>
      <c r="Y185" s="9">
        <v>3</v>
      </c>
      <c r="Z185" s="9">
        <v>3</v>
      </c>
      <c r="AA185" s="9">
        <v>3</v>
      </c>
      <c r="AB185" s="9">
        <v>4</v>
      </c>
      <c r="AC185" s="9">
        <v>0</v>
      </c>
      <c r="AD185" s="53" t="e">
        <f>#REF!*D185</f>
        <v>#REF!</v>
      </c>
      <c r="AE185" s="53" t="e">
        <f>AD185-#REF!</f>
        <v>#REF!</v>
      </c>
      <c r="AF185" s="9"/>
      <c r="AG185" s="33" t="e">
        <f>#REF!-D185</f>
        <v>#REF!</v>
      </c>
      <c r="AH185" s="9"/>
      <c r="AI185" s="9"/>
      <c r="AJ185" s="9"/>
      <c r="AK185" s="9"/>
    </row>
    <row r="186" spans="1:37" s="12" customFormat="1" ht="20.399999999999999" outlineLevel="1" x14ac:dyDescent="0.2">
      <c r="A186" s="61" t="s">
        <v>797</v>
      </c>
      <c r="B186" s="14" t="s">
        <v>228</v>
      </c>
      <c r="C186" s="9" t="s">
        <v>36</v>
      </c>
      <c r="D186" s="25">
        <f t="shared" si="61"/>
        <v>2</v>
      </c>
      <c r="E186" s="54"/>
      <c r="F186" s="78"/>
      <c r="G186" s="33">
        <v>0</v>
      </c>
      <c r="H186" s="33">
        <v>0</v>
      </c>
      <c r="I186" s="9">
        <v>2</v>
      </c>
      <c r="J186" s="9">
        <v>0</v>
      </c>
      <c r="K186" s="9">
        <v>0</v>
      </c>
      <c r="L186" s="9">
        <v>0</v>
      </c>
      <c r="M186" s="9">
        <v>0</v>
      </c>
      <c r="N186" s="9">
        <v>0</v>
      </c>
      <c r="O186" s="9">
        <v>0</v>
      </c>
      <c r="P186" s="9">
        <v>0</v>
      </c>
      <c r="Q186" s="9">
        <v>0</v>
      </c>
      <c r="R186" s="9">
        <v>0</v>
      </c>
      <c r="S186" s="9">
        <v>0</v>
      </c>
      <c r="T186" s="9">
        <v>0</v>
      </c>
      <c r="U186" s="33">
        <v>0</v>
      </c>
      <c r="V186" s="9">
        <v>0</v>
      </c>
      <c r="W186" s="9">
        <v>0</v>
      </c>
      <c r="X186" s="9">
        <v>0</v>
      </c>
      <c r="Y186" s="9">
        <v>0</v>
      </c>
      <c r="Z186" s="9">
        <v>0</v>
      </c>
      <c r="AA186" s="9">
        <v>0</v>
      </c>
      <c r="AB186" s="9">
        <v>0</v>
      </c>
      <c r="AC186" s="9">
        <v>0</v>
      </c>
      <c r="AD186" s="53" t="e">
        <f>#REF!*D186</f>
        <v>#REF!</v>
      </c>
      <c r="AE186" s="53" t="e">
        <f>AD186-#REF!</f>
        <v>#REF!</v>
      </c>
      <c r="AF186" s="9"/>
      <c r="AG186" s="33" t="e">
        <f>#REF!-D186</f>
        <v>#REF!</v>
      </c>
      <c r="AH186" s="9"/>
      <c r="AI186" s="9"/>
      <c r="AJ186" s="9"/>
      <c r="AK186" s="9"/>
    </row>
    <row r="187" spans="1:37" s="12" customFormat="1" ht="20.399999999999999" outlineLevel="1" x14ac:dyDescent="0.2">
      <c r="A187" s="61" t="s">
        <v>798</v>
      </c>
      <c r="B187" s="14" t="s">
        <v>320</v>
      </c>
      <c r="C187" s="9" t="s">
        <v>36</v>
      </c>
      <c r="D187" s="25">
        <f t="shared" si="61"/>
        <v>5</v>
      </c>
      <c r="E187" s="54"/>
      <c r="F187" s="78"/>
      <c r="G187" s="33">
        <v>0</v>
      </c>
      <c r="H187" s="33">
        <v>0</v>
      </c>
      <c r="I187" s="9">
        <v>0</v>
      </c>
      <c r="J187" s="9">
        <v>0</v>
      </c>
      <c r="K187" s="9">
        <v>0</v>
      </c>
      <c r="L187" s="9">
        <v>0</v>
      </c>
      <c r="M187" s="9">
        <v>0</v>
      </c>
      <c r="N187" s="9">
        <v>0</v>
      </c>
      <c r="O187" s="9">
        <v>0</v>
      </c>
      <c r="P187" s="9">
        <v>0</v>
      </c>
      <c r="Q187" s="9">
        <v>0</v>
      </c>
      <c r="R187" s="9">
        <v>5</v>
      </c>
      <c r="S187" s="9">
        <v>0</v>
      </c>
      <c r="T187" s="9">
        <v>0</v>
      </c>
      <c r="U187" s="33">
        <v>0</v>
      </c>
      <c r="V187" s="9">
        <v>0</v>
      </c>
      <c r="W187" s="9">
        <v>0</v>
      </c>
      <c r="X187" s="9">
        <v>0</v>
      </c>
      <c r="Y187" s="9">
        <v>0</v>
      </c>
      <c r="Z187" s="9">
        <v>0</v>
      </c>
      <c r="AA187" s="9">
        <v>0</v>
      </c>
      <c r="AB187" s="9">
        <v>0</v>
      </c>
      <c r="AC187" s="9">
        <v>0</v>
      </c>
      <c r="AD187" s="53" t="e">
        <f>#REF!*D187</f>
        <v>#REF!</v>
      </c>
      <c r="AE187" s="53" t="e">
        <f>AD187-#REF!</f>
        <v>#REF!</v>
      </c>
      <c r="AF187" s="9"/>
      <c r="AG187" s="33" t="e">
        <f>#REF!-D187</f>
        <v>#REF!</v>
      </c>
      <c r="AH187" s="9"/>
      <c r="AI187" s="9"/>
      <c r="AJ187" s="9"/>
      <c r="AK187" s="9"/>
    </row>
    <row r="188" spans="1:37" s="17" customFormat="1" ht="30.6" outlineLevel="1" x14ac:dyDescent="0.2">
      <c r="A188" s="61" t="s">
        <v>799</v>
      </c>
      <c r="B188" s="63" t="s">
        <v>2945</v>
      </c>
      <c r="C188" s="9" t="s">
        <v>48</v>
      </c>
      <c r="D188" s="25">
        <f t="shared" si="61"/>
        <v>84</v>
      </c>
      <c r="E188" s="54"/>
      <c r="F188" s="9"/>
      <c r="G188" s="33">
        <v>0</v>
      </c>
      <c r="H188" s="33">
        <v>0</v>
      </c>
      <c r="I188" s="9">
        <v>0</v>
      </c>
      <c r="J188" s="9">
        <v>0</v>
      </c>
      <c r="K188" s="9">
        <v>0</v>
      </c>
      <c r="L188" s="9">
        <v>0</v>
      </c>
      <c r="M188" s="9">
        <v>0</v>
      </c>
      <c r="N188" s="9">
        <v>0</v>
      </c>
      <c r="O188" s="9">
        <v>0</v>
      </c>
      <c r="P188" s="9">
        <v>0</v>
      </c>
      <c r="Q188" s="9">
        <v>0</v>
      </c>
      <c r="R188" s="9">
        <v>0</v>
      </c>
      <c r="S188" s="9">
        <v>0</v>
      </c>
      <c r="T188" s="9">
        <v>0</v>
      </c>
      <c r="U188" s="33">
        <v>0</v>
      </c>
      <c r="V188" s="9">
        <v>0</v>
      </c>
      <c r="W188" s="9">
        <v>0</v>
      </c>
      <c r="X188" s="9">
        <v>0</v>
      </c>
      <c r="Y188" s="9">
        <v>0</v>
      </c>
      <c r="Z188" s="9">
        <v>84</v>
      </c>
      <c r="AA188" s="9">
        <v>0</v>
      </c>
      <c r="AB188" s="9">
        <v>0</v>
      </c>
      <c r="AC188" s="9">
        <v>0</v>
      </c>
      <c r="AD188" s="53" t="e">
        <f>#REF!*D188</f>
        <v>#REF!</v>
      </c>
      <c r="AE188" s="53" t="e">
        <f>AD188-#REF!</f>
        <v>#REF!</v>
      </c>
      <c r="AF188" s="8"/>
      <c r="AG188" s="33" t="e">
        <f>#REF!-D188</f>
        <v>#REF!</v>
      </c>
      <c r="AH188" s="8"/>
      <c r="AI188" s="8"/>
      <c r="AJ188" s="8"/>
      <c r="AK188" s="8"/>
    </row>
    <row r="189" spans="1:37" s="17" customFormat="1" ht="36.75" customHeight="1" outlineLevel="1" x14ac:dyDescent="0.2">
      <c r="A189" s="61" t="s">
        <v>800</v>
      </c>
      <c r="B189" s="47" t="s">
        <v>457</v>
      </c>
      <c r="C189" s="9" t="s">
        <v>48</v>
      </c>
      <c r="D189" s="25">
        <f t="shared" si="61"/>
        <v>84</v>
      </c>
      <c r="E189" s="54"/>
      <c r="F189" s="9"/>
      <c r="G189" s="88">
        <f t="shared" ref="G189:AC189" si="66">G188</f>
        <v>0</v>
      </c>
      <c r="H189" s="88">
        <f t="shared" si="66"/>
        <v>0</v>
      </c>
      <c r="I189" s="88">
        <f t="shared" si="66"/>
        <v>0</v>
      </c>
      <c r="J189" s="88">
        <f t="shared" si="66"/>
        <v>0</v>
      </c>
      <c r="K189" s="88">
        <f t="shared" si="66"/>
        <v>0</v>
      </c>
      <c r="L189" s="88">
        <f t="shared" si="66"/>
        <v>0</v>
      </c>
      <c r="M189" s="88">
        <f t="shared" si="66"/>
        <v>0</v>
      </c>
      <c r="N189" s="88">
        <f t="shared" si="66"/>
        <v>0</v>
      </c>
      <c r="O189" s="88">
        <f t="shared" si="66"/>
        <v>0</v>
      </c>
      <c r="P189" s="88">
        <f t="shared" si="66"/>
        <v>0</v>
      </c>
      <c r="Q189" s="88">
        <f t="shared" si="66"/>
        <v>0</v>
      </c>
      <c r="R189" s="88">
        <f t="shared" si="66"/>
        <v>0</v>
      </c>
      <c r="S189" s="88">
        <f t="shared" si="66"/>
        <v>0</v>
      </c>
      <c r="T189" s="88">
        <f t="shared" si="66"/>
        <v>0</v>
      </c>
      <c r="U189" s="88">
        <f t="shared" si="66"/>
        <v>0</v>
      </c>
      <c r="V189" s="88">
        <f t="shared" si="66"/>
        <v>0</v>
      </c>
      <c r="W189" s="88">
        <f t="shared" si="66"/>
        <v>0</v>
      </c>
      <c r="X189" s="88">
        <f t="shared" si="66"/>
        <v>0</v>
      </c>
      <c r="Y189" s="88">
        <f t="shared" si="66"/>
        <v>0</v>
      </c>
      <c r="Z189" s="88">
        <f t="shared" si="66"/>
        <v>84</v>
      </c>
      <c r="AA189" s="88">
        <f t="shared" si="66"/>
        <v>0</v>
      </c>
      <c r="AB189" s="88">
        <f t="shared" si="66"/>
        <v>0</v>
      </c>
      <c r="AC189" s="88">
        <f t="shared" si="66"/>
        <v>0</v>
      </c>
      <c r="AD189" s="53" t="e">
        <f>#REF!*D189</f>
        <v>#REF!</v>
      </c>
      <c r="AE189" s="53" t="e">
        <f>AD189-#REF!</f>
        <v>#REF!</v>
      </c>
      <c r="AF189" s="8"/>
      <c r="AG189" s="33" t="e">
        <f>#REF!-D189</f>
        <v>#REF!</v>
      </c>
      <c r="AH189" s="8"/>
      <c r="AI189" s="8"/>
      <c r="AJ189" s="8"/>
      <c r="AK189" s="8"/>
    </row>
    <row r="190" spans="1:37" s="17" customFormat="1" ht="30.6" outlineLevel="1" x14ac:dyDescent="0.2">
      <c r="A190" s="61" t="s">
        <v>801</v>
      </c>
      <c r="B190" s="14" t="s">
        <v>458</v>
      </c>
      <c r="C190" s="8" t="s">
        <v>47</v>
      </c>
      <c r="D190" s="25">
        <f t="shared" si="61"/>
        <v>5</v>
      </c>
      <c r="E190" s="54"/>
      <c r="F190" s="9"/>
      <c r="G190" s="33">
        <v>0</v>
      </c>
      <c r="H190" s="33">
        <v>0</v>
      </c>
      <c r="I190" s="9">
        <v>0</v>
      </c>
      <c r="J190" s="9">
        <v>0</v>
      </c>
      <c r="K190" s="9">
        <v>0</v>
      </c>
      <c r="L190" s="9">
        <v>0</v>
      </c>
      <c r="M190" s="9">
        <v>0</v>
      </c>
      <c r="N190" s="9">
        <v>0</v>
      </c>
      <c r="O190" s="9">
        <v>0</v>
      </c>
      <c r="P190" s="9">
        <v>0</v>
      </c>
      <c r="Q190" s="9">
        <v>0</v>
      </c>
      <c r="R190" s="9">
        <v>0</v>
      </c>
      <c r="S190" s="9">
        <v>0</v>
      </c>
      <c r="T190" s="49">
        <v>0</v>
      </c>
      <c r="U190" s="33">
        <v>0</v>
      </c>
      <c r="V190" s="9">
        <v>0</v>
      </c>
      <c r="W190" s="9">
        <v>0</v>
      </c>
      <c r="X190" s="9">
        <v>0</v>
      </c>
      <c r="Y190" s="9">
        <v>0</v>
      </c>
      <c r="Z190" s="9">
        <v>5</v>
      </c>
      <c r="AA190" s="9">
        <v>0</v>
      </c>
      <c r="AB190" s="9">
        <v>0</v>
      </c>
      <c r="AC190" s="9">
        <v>0</v>
      </c>
      <c r="AD190" s="53" t="e">
        <f>#REF!*D190</f>
        <v>#REF!</v>
      </c>
      <c r="AE190" s="53" t="e">
        <f>AD190-#REF!</f>
        <v>#REF!</v>
      </c>
      <c r="AF190" s="8"/>
      <c r="AG190" s="33" t="e">
        <f>#REF!-D190</f>
        <v>#REF!</v>
      </c>
      <c r="AH190" s="8"/>
      <c r="AI190" s="8"/>
      <c r="AJ190" s="8"/>
      <c r="AK190" s="8"/>
    </row>
    <row r="191" spans="1:37" s="17" customFormat="1" ht="30.6" outlineLevel="1" x14ac:dyDescent="0.2">
      <c r="A191" s="61" t="s">
        <v>802</v>
      </c>
      <c r="B191" s="14" t="s">
        <v>459</v>
      </c>
      <c r="C191" s="8" t="s">
        <v>47</v>
      </c>
      <c r="D191" s="25">
        <f t="shared" si="61"/>
        <v>2</v>
      </c>
      <c r="E191" s="54"/>
      <c r="F191" s="9"/>
      <c r="G191" s="33">
        <v>0</v>
      </c>
      <c r="H191" s="33">
        <v>0</v>
      </c>
      <c r="I191" s="9">
        <v>0</v>
      </c>
      <c r="J191" s="9">
        <v>0</v>
      </c>
      <c r="K191" s="9">
        <v>0</v>
      </c>
      <c r="L191" s="9">
        <v>0</v>
      </c>
      <c r="M191" s="9">
        <v>0</v>
      </c>
      <c r="N191" s="9">
        <v>0</v>
      </c>
      <c r="O191" s="9">
        <v>0</v>
      </c>
      <c r="P191" s="9">
        <v>0</v>
      </c>
      <c r="Q191" s="9">
        <v>0</v>
      </c>
      <c r="R191" s="9">
        <v>0</v>
      </c>
      <c r="S191" s="9">
        <v>0</v>
      </c>
      <c r="T191" s="49">
        <v>0</v>
      </c>
      <c r="U191" s="33">
        <v>0</v>
      </c>
      <c r="V191" s="9">
        <v>0</v>
      </c>
      <c r="W191" s="9">
        <v>0</v>
      </c>
      <c r="X191" s="9">
        <v>0</v>
      </c>
      <c r="Y191" s="9">
        <v>0</v>
      </c>
      <c r="Z191" s="9">
        <v>2</v>
      </c>
      <c r="AA191" s="9">
        <v>0</v>
      </c>
      <c r="AB191" s="9">
        <v>0</v>
      </c>
      <c r="AC191" s="9">
        <v>0</v>
      </c>
      <c r="AD191" s="53" t="e">
        <f>#REF!*D191</f>
        <v>#REF!</v>
      </c>
      <c r="AE191" s="53" t="e">
        <f>AD191-#REF!</f>
        <v>#REF!</v>
      </c>
      <c r="AF191" s="8"/>
      <c r="AG191" s="33" t="e">
        <f>#REF!-D191</f>
        <v>#REF!</v>
      </c>
      <c r="AH191" s="8"/>
      <c r="AI191" s="8"/>
      <c r="AJ191" s="8"/>
      <c r="AK191" s="8"/>
    </row>
    <row r="192" spans="1:37" s="17" customFormat="1" ht="30.6" outlineLevel="1" x14ac:dyDescent="0.2">
      <c r="A192" s="61" t="s">
        <v>803</v>
      </c>
      <c r="B192" s="235" t="s">
        <v>2468</v>
      </c>
      <c r="C192" s="8" t="s">
        <v>48</v>
      </c>
      <c r="D192" s="25">
        <f t="shared" si="61"/>
        <v>1782</v>
      </c>
      <c r="E192" s="54"/>
      <c r="F192" s="9"/>
      <c r="G192" s="33">
        <v>0</v>
      </c>
      <c r="H192" s="33">
        <v>177</v>
      </c>
      <c r="I192" s="9">
        <f>201-48</f>
        <v>153</v>
      </c>
      <c r="J192" s="9">
        <f>235+11-72</f>
        <v>174</v>
      </c>
      <c r="K192" s="9">
        <f>232+11-90</f>
        <v>153</v>
      </c>
      <c r="L192" s="9">
        <v>141</v>
      </c>
      <c r="M192" s="9">
        <v>75</v>
      </c>
      <c r="N192" s="9">
        <v>75</v>
      </c>
      <c r="O192" s="9">
        <v>75</v>
      </c>
      <c r="P192" s="9">
        <v>108</v>
      </c>
      <c r="Q192" s="9">
        <v>108</v>
      </c>
      <c r="R192" s="9">
        <v>48</v>
      </c>
      <c r="S192" s="9">
        <v>0</v>
      </c>
      <c r="T192" s="49">
        <v>0</v>
      </c>
      <c r="U192" s="33">
        <v>78</v>
      </c>
      <c r="V192" s="9">
        <v>78</v>
      </c>
      <c r="W192" s="9">
        <v>84</v>
      </c>
      <c r="X192" s="9">
        <v>54</v>
      </c>
      <c r="Y192" s="9">
        <v>54</v>
      </c>
      <c r="Z192" s="9">
        <f>84+9</f>
        <v>93</v>
      </c>
      <c r="AA192" s="9">
        <v>54</v>
      </c>
      <c r="AB192" s="9">
        <v>0</v>
      </c>
      <c r="AC192" s="9">
        <v>0</v>
      </c>
      <c r="AD192" s="53" t="e">
        <f>#REF!*D192</f>
        <v>#REF!</v>
      </c>
      <c r="AE192" s="53" t="e">
        <f>AD192-#REF!</f>
        <v>#REF!</v>
      </c>
      <c r="AF192" s="8"/>
      <c r="AG192" s="33" t="e">
        <f>#REF!-D192</f>
        <v>#REF!</v>
      </c>
      <c r="AH192" s="8"/>
      <c r="AI192" s="8"/>
      <c r="AJ192" s="8"/>
      <c r="AK192" s="8"/>
    </row>
    <row r="193" spans="1:37" s="17" customFormat="1" ht="20.399999999999999" outlineLevel="1" x14ac:dyDescent="0.2">
      <c r="A193" s="61" t="s">
        <v>804</v>
      </c>
      <c r="B193" s="47" t="s">
        <v>2499</v>
      </c>
      <c r="C193" s="9" t="s">
        <v>47</v>
      </c>
      <c r="D193" s="25">
        <f t="shared" si="61"/>
        <v>594</v>
      </c>
      <c r="E193" s="54"/>
      <c r="F193" s="9"/>
      <c r="G193" s="88">
        <f t="shared" ref="G193:AC193" si="67">G192/3</f>
        <v>0</v>
      </c>
      <c r="H193" s="88">
        <f t="shared" si="67"/>
        <v>59</v>
      </c>
      <c r="I193" s="88">
        <f t="shared" si="67"/>
        <v>51</v>
      </c>
      <c r="J193" s="88">
        <f t="shared" si="67"/>
        <v>58</v>
      </c>
      <c r="K193" s="88">
        <f t="shared" si="67"/>
        <v>51</v>
      </c>
      <c r="L193" s="88">
        <f t="shared" si="67"/>
        <v>47</v>
      </c>
      <c r="M193" s="88">
        <f t="shared" si="67"/>
        <v>25</v>
      </c>
      <c r="N193" s="88">
        <f t="shared" si="67"/>
        <v>25</v>
      </c>
      <c r="O193" s="88">
        <f t="shared" si="67"/>
        <v>25</v>
      </c>
      <c r="P193" s="88">
        <f t="shared" si="67"/>
        <v>36</v>
      </c>
      <c r="Q193" s="88">
        <f t="shared" si="67"/>
        <v>36</v>
      </c>
      <c r="R193" s="88">
        <f t="shared" si="67"/>
        <v>16</v>
      </c>
      <c r="S193" s="88">
        <f t="shared" si="67"/>
        <v>0</v>
      </c>
      <c r="T193" s="88">
        <f t="shared" si="67"/>
        <v>0</v>
      </c>
      <c r="U193" s="88">
        <f t="shared" si="67"/>
        <v>26</v>
      </c>
      <c r="V193" s="88">
        <f t="shared" si="67"/>
        <v>26</v>
      </c>
      <c r="W193" s="88">
        <f t="shared" si="67"/>
        <v>28</v>
      </c>
      <c r="X193" s="88">
        <f t="shared" si="67"/>
        <v>18</v>
      </c>
      <c r="Y193" s="88">
        <f t="shared" si="67"/>
        <v>18</v>
      </c>
      <c r="Z193" s="88">
        <f t="shared" si="67"/>
        <v>31</v>
      </c>
      <c r="AA193" s="88">
        <f t="shared" si="67"/>
        <v>18</v>
      </c>
      <c r="AB193" s="88">
        <f t="shared" si="67"/>
        <v>0</v>
      </c>
      <c r="AC193" s="88">
        <f t="shared" si="67"/>
        <v>0</v>
      </c>
      <c r="AD193" s="53" t="e">
        <f>#REF!*D193</f>
        <v>#REF!</v>
      </c>
      <c r="AE193" s="53" t="e">
        <f>AD193-#REF!</f>
        <v>#REF!</v>
      </c>
      <c r="AF193" s="8"/>
      <c r="AG193" s="33" t="e">
        <f>#REF!-D193</f>
        <v>#REF!</v>
      </c>
      <c r="AH193" s="8"/>
      <c r="AI193" s="8"/>
      <c r="AJ193" s="8"/>
      <c r="AK193" s="8"/>
    </row>
    <row r="194" spans="1:37" s="17" customFormat="1" ht="20.399999999999999" outlineLevel="1" x14ac:dyDescent="0.2">
      <c r="A194" s="61" t="s">
        <v>805</v>
      </c>
      <c r="B194" s="47" t="s">
        <v>2470</v>
      </c>
      <c r="C194" s="9" t="s">
        <v>47</v>
      </c>
      <c r="D194" s="25">
        <f t="shared" si="61"/>
        <v>48</v>
      </c>
      <c r="E194" s="54"/>
      <c r="F194" s="9"/>
      <c r="G194" s="33">
        <v>0</v>
      </c>
      <c r="H194" s="33">
        <v>5</v>
      </c>
      <c r="I194" s="33">
        <v>4</v>
      </c>
      <c r="J194" s="33">
        <v>6</v>
      </c>
      <c r="K194" s="33">
        <v>5</v>
      </c>
      <c r="L194" s="33">
        <v>6</v>
      </c>
      <c r="M194" s="33">
        <v>1</v>
      </c>
      <c r="N194" s="33">
        <v>1</v>
      </c>
      <c r="O194" s="33">
        <v>1</v>
      </c>
      <c r="P194" s="33">
        <v>3</v>
      </c>
      <c r="Q194" s="33">
        <v>3</v>
      </c>
      <c r="R194" s="33">
        <v>0</v>
      </c>
      <c r="S194" s="33">
        <v>0</v>
      </c>
      <c r="T194" s="33">
        <v>0</v>
      </c>
      <c r="U194" s="33">
        <v>2</v>
      </c>
      <c r="V194" s="33">
        <v>2</v>
      </c>
      <c r="W194" s="33">
        <v>2</v>
      </c>
      <c r="X194" s="33">
        <v>1</v>
      </c>
      <c r="Y194" s="33">
        <v>1</v>
      </c>
      <c r="Z194" s="9">
        <v>4</v>
      </c>
      <c r="AA194" s="9">
        <v>1</v>
      </c>
      <c r="AB194" s="9">
        <v>0</v>
      </c>
      <c r="AC194" s="9">
        <v>0</v>
      </c>
      <c r="AD194" s="53" t="e">
        <f>#REF!*D194</f>
        <v>#REF!</v>
      </c>
      <c r="AE194" s="53" t="e">
        <f>AD194-#REF!</f>
        <v>#REF!</v>
      </c>
      <c r="AF194" s="8"/>
      <c r="AG194" s="33" t="e">
        <f>#REF!-D194</f>
        <v>#REF!</v>
      </c>
      <c r="AH194" s="8"/>
      <c r="AI194" s="8"/>
      <c r="AJ194" s="8"/>
      <c r="AK194" s="8"/>
    </row>
    <row r="195" spans="1:37" s="17" customFormat="1" ht="20.399999999999999" outlineLevel="1" x14ac:dyDescent="0.2">
      <c r="A195" s="61" t="s">
        <v>806</v>
      </c>
      <c r="B195" s="47" t="s">
        <v>2472</v>
      </c>
      <c r="C195" s="9" t="s">
        <v>47</v>
      </c>
      <c r="D195" s="25">
        <f t="shared" si="61"/>
        <v>80</v>
      </c>
      <c r="E195" s="54"/>
      <c r="F195" s="9"/>
      <c r="G195" s="33">
        <v>0</v>
      </c>
      <c r="H195" s="33">
        <v>7</v>
      </c>
      <c r="I195" s="33">
        <v>6</v>
      </c>
      <c r="J195" s="33">
        <v>8</v>
      </c>
      <c r="K195" s="33">
        <v>7</v>
      </c>
      <c r="L195" s="33">
        <v>7</v>
      </c>
      <c r="M195" s="33">
        <v>3</v>
      </c>
      <c r="N195" s="33">
        <v>3</v>
      </c>
      <c r="O195" s="33">
        <v>3</v>
      </c>
      <c r="P195" s="33">
        <v>5</v>
      </c>
      <c r="Q195" s="33">
        <v>5</v>
      </c>
      <c r="R195" s="33">
        <v>2</v>
      </c>
      <c r="S195" s="33">
        <v>0</v>
      </c>
      <c r="T195" s="33">
        <v>0</v>
      </c>
      <c r="U195" s="33">
        <v>4</v>
      </c>
      <c r="V195" s="33">
        <v>4</v>
      </c>
      <c r="W195" s="33">
        <v>5</v>
      </c>
      <c r="X195" s="33">
        <v>3</v>
      </c>
      <c r="Y195" s="33">
        <v>3</v>
      </c>
      <c r="Z195" s="9">
        <v>2</v>
      </c>
      <c r="AA195" s="9">
        <v>3</v>
      </c>
      <c r="AB195" s="9">
        <v>0</v>
      </c>
      <c r="AC195" s="9">
        <v>0</v>
      </c>
      <c r="AD195" s="53" t="e">
        <f>#REF!*D195</f>
        <v>#REF!</v>
      </c>
      <c r="AE195" s="53" t="e">
        <f>AD195-#REF!</f>
        <v>#REF!</v>
      </c>
      <c r="AF195" s="8"/>
      <c r="AG195" s="33" t="e">
        <f>#REF!-D195</f>
        <v>#REF!</v>
      </c>
      <c r="AH195" s="8"/>
      <c r="AI195" s="8"/>
      <c r="AJ195" s="8"/>
      <c r="AK195" s="8"/>
    </row>
    <row r="196" spans="1:37" s="17" customFormat="1" ht="30.6" outlineLevel="1" x14ac:dyDescent="0.2">
      <c r="A196" s="61" t="s">
        <v>807</v>
      </c>
      <c r="B196" s="47" t="s">
        <v>2473</v>
      </c>
      <c r="C196" s="9" t="s">
        <v>47</v>
      </c>
      <c r="D196" s="25">
        <f t="shared" si="61"/>
        <v>743</v>
      </c>
      <c r="E196" s="54"/>
      <c r="F196" s="9"/>
      <c r="G196" s="33">
        <v>0</v>
      </c>
      <c r="H196" s="33">
        <v>68</v>
      </c>
      <c r="I196" s="33">
        <f>65-8</f>
        <v>57</v>
      </c>
      <c r="J196" s="33">
        <f>82-24</f>
        <v>58</v>
      </c>
      <c r="K196" s="33">
        <f>73-27</f>
        <v>46</v>
      </c>
      <c r="L196" s="33">
        <v>50</v>
      </c>
      <c r="M196" s="33">
        <v>34</v>
      </c>
      <c r="N196" s="33">
        <v>34</v>
      </c>
      <c r="O196" s="33">
        <v>45</v>
      </c>
      <c r="P196" s="33">
        <v>35</v>
      </c>
      <c r="Q196" s="33">
        <v>35</v>
      </c>
      <c r="R196" s="33">
        <v>6</v>
      </c>
      <c r="S196" s="33">
        <v>0</v>
      </c>
      <c r="T196" s="33">
        <v>0</v>
      </c>
      <c r="U196" s="33">
        <v>42</v>
      </c>
      <c r="V196" s="33">
        <v>54</v>
      </c>
      <c r="W196" s="33">
        <v>32</v>
      </c>
      <c r="X196" s="33">
        <v>26</v>
      </c>
      <c r="Y196" s="33">
        <v>33</v>
      </c>
      <c r="Z196" s="9">
        <f>45+10</f>
        <v>55</v>
      </c>
      <c r="AA196" s="9">
        <v>33</v>
      </c>
      <c r="AB196" s="9">
        <v>0</v>
      </c>
      <c r="AC196" s="9">
        <v>0</v>
      </c>
      <c r="AD196" s="53" t="e">
        <f>#REF!*D196</f>
        <v>#REF!</v>
      </c>
      <c r="AE196" s="53" t="e">
        <f>AD196-#REF!</f>
        <v>#REF!</v>
      </c>
      <c r="AF196" s="8"/>
      <c r="AG196" s="33" t="e">
        <f>#REF!-D196</f>
        <v>#REF!</v>
      </c>
      <c r="AH196" s="8"/>
      <c r="AI196" s="8"/>
      <c r="AJ196" s="8"/>
      <c r="AK196" s="8"/>
    </row>
    <row r="197" spans="1:37" s="17" customFormat="1" ht="20.399999999999999" outlineLevel="1" x14ac:dyDescent="0.2">
      <c r="A197" s="61" t="s">
        <v>808</v>
      </c>
      <c r="B197" s="47" t="s">
        <v>2476</v>
      </c>
      <c r="C197" s="9" t="s">
        <v>47</v>
      </c>
      <c r="D197" s="25">
        <f t="shared" si="61"/>
        <v>1048.2352941176471</v>
      </c>
      <c r="E197" s="54"/>
      <c r="F197" s="9"/>
      <c r="G197" s="88">
        <f t="shared" ref="G197:AC197" si="68">G192/1.7</f>
        <v>0</v>
      </c>
      <c r="H197" s="88">
        <f t="shared" si="68"/>
        <v>104.11764705882354</v>
      </c>
      <c r="I197" s="88">
        <f t="shared" si="68"/>
        <v>90</v>
      </c>
      <c r="J197" s="88">
        <f t="shared" si="68"/>
        <v>102.35294117647059</v>
      </c>
      <c r="K197" s="88">
        <f t="shared" si="68"/>
        <v>90</v>
      </c>
      <c r="L197" s="88">
        <f t="shared" si="68"/>
        <v>82.941176470588232</v>
      </c>
      <c r="M197" s="88">
        <f t="shared" si="68"/>
        <v>44.117647058823529</v>
      </c>
      <c r="N197" s="88">
        <f t="shared" si="68"/>
        <v>44.117647058823529</v>
      </c>
      <c r="O197" s="88">
        <f t="shared" si="68"/>
        <v>44.117647058823529</v>
      </c>
      <c r="P197" s="88">
        <f t="shared" si="68"/>
        <v>63.529411764705884</v>
      </c>
      <c r="Q197" s="88">
        <f t="shared" si="68"/>
        <v>63.529411764705884</v>
      </c>
      <c r="R197" s="88">
        <f t="shared" si="68"/>
        <v>28.235294117647058</v>
      </c>
      <c r="S197" s="88">
        <f t="shared" si="68"/>
        <v>0</v>
      </c>
      <c r="T197" s="88">
        <f t="shared" si="68"/>
        <v>0</v>
      </c>
      <c r="U197" s="88">
        <f t="shared" si="68"/>
        <v>45.882352941176471</v>
      </c>
      <c r="V197" s="88">
        <f t="shared" si="68"/>
        <v>45.882352941176471</v>
      </c>
      <c r="W197" s="88">
        <f t="shared" si="68"/>
        <v>49.411764705882355</v>
      </c>
      <c r="X197" s="88">
        <f t="shared" si="68"/>
        <v>31.764705882352942</v>
      </c>
      <c r="Y197" s="88">
        <f t="shared" si="68"/>
        <v>31.764705882352942</v>
      </c>
      <c r="Z197" s="88">
        <f t="shared" si="68"/>
        <v>54.705882352941181</v>
      </c>
      <c r="AA197" s="88">
        <f t="shared" si="68"/>
        <v>31.764705882352942</v>
      </c>
      <c r="AB197" s="88">
        <f t="shared" si="68"/>
        <v>0</v>
      </c>
      <c r="AC197" s="88">
        <f t="shared" si="68"/>
        <v>0</v>
      </c>
      <c r="AD197" s="53" t="e">
        <f>#REF!*D197</f>
        <v>#REF!</v>
      </c>
      <c r="AE197" s="53" t="e">
        <f>AD197-#REF!</f>
        <v>#REF!</v>
      </c>
      <c r="AF197" s="8"/>
      <c r="AG197" s="33" t="e">
        <f>#REF!-D197</f>
        <v>#REF!</v>
      </c>
      <c r="AH197" s="8"/>
      <c r="AI197" s="8"/>
      <c r="AJ197" s="8"/>
      <c r="AK197" s="8"/>
    </row>
    <row r="198" spans="1:37" s="17" customFormat="1" ht="20.399999999999999" outlineLevel="1" x14ac:dyDescent="0.2">
      <c r="A198" s="61" t="s">
        <v>809</v>
      </c>
      <c r="B198" s="14" t="s">
        <v>424</v>
      </c>
      <c r="C198" s="8" t="s">
        <v>47</v>
      </c>
      <c r="D198" s="25">
        <f t="shared" si="61"/>
        <v>1019</v>
      </c>
      <c r="E198" s="54"/>
      <c r="F198" s="9"/>
      <c r="G198" s="88">
        <f t="shared" ref="G198:AC198" si="69">MROUND(G192/1.75,1)</f>
        <v>0</v>
      </c>
      <c r="H198" s="88">
        <f t="shared" si="69"/>
        <v>101</v>
      </c>
      <c r="I198" s="88">
        <f t="shared" si="69"/>
        <v>87</v>
      </c>
      <c r="J198" s="88">
        <f t="shared" si="69"/>
        <v>99</v>
      </c>
      <c r="K198" s="88">
        <f t="shared" si="69"/>
        <v>87</v>
      </c>
      <c r="L198" s="88">
        <f t="shared" si="69"/>
        <v>81</v>
      </c>
      <c r="M198" s="88">
        <f t="shared" si="69"/>
        <v>43</v>
      </c>
      <c r="N198" s="88">
        <f t="shared" si="69"/>
        <v>43</v>
      </c>
      <c r="O198" s="88">
        <f t="shared" si="69"/>
        <v>43</v>
      </c>
      <c r="P198" s="88">
        <f t="shared" si="69"/>
        <v>62</v>
      </c>
      <c r="Q198" s="88">
        <f t="shared" si="69"/>
        <v>62</v>
      </c>
      <c r="R198" s="88">
        <f t="shared" si="69"/>
        <v>27</v>
      </c>
      <c r="S198" s="88">
        <f t="shared" si="69"/>
        <v>0</v>
      </c>
      <c r="T198" s="88">
        <f t="shared" si="69"/>
        <v>0</v>
      </c>
      <c r="U198" s="88">
        <f t="shared" si="69"/>
        <v>45</v>
      </c>
      <c r="V198" s="88">
        <f t="shared" si="69"/>
        <v>45</v>
      </c>
      <c r="W198" s="88">
        <f t="shared" si="69"/>
        <v>48</v>
      </c>
      <c r="X198" s="88">
        <f t="shared" si="69"/>
        <v>31</v>
      </c>
      <c r="Y198" s="88">
        <f t="shared" si="69"/>
        <v>31</v>
      </c>
      <c r="Z198" s="88">
        <f t="shared" si="69"/>
        <v>53</v>
      </c>
      <c r="AA198" s="88">
        <f t="shared" si="69"/>
        <v>31</v>
      </c>
      <c r="AB198" s="88">
        <f t="shared" si="69"/>
        <v>0</v>
      </c>
      <c r="AC198" s="88">
        <f t="shared" si="69"/>
        <v>0</v>
      </c>
      <c r="AD198" s="53" t="e">
        <f>#REF!*D198</f>
        <v>#REF!</v>
      </c>
      <c r="AE198" s="53" t="e">
        <f>AD198-#REF!</f>
        <v>#REF!</v>
      </c>
      <c r="AF198" s="8"/>
      <c r="AG198" s="33" t="e">
        <f>#REF!-D198</f>
        <v>#REF!</v>
      </c>
      <c r="AH198" s="8"/>
      <c r="AI198" s="8"/>
      <c r="AJ198" s="8"/>
      <c r="AK198" s="8"/>
    </row>
    <row r="199" spans="1:37" s="12" customFormat="1" ht="20.399999999999999" outlineLevel="1" x14ac:dyDescent="0.2">
      <c r="A199" s="61" t="s">
        <v>810</v>
      </c>
      <c r="B199" s="14" t="s">
        <v>69</v>
      </c>
      <c r="C199" s="9" t="s">
        <v>47</v>
      </c>
      <c r="D199" s="25">
        <f t="shared" si="61"/>
        <v>2038</v>
      </c>
      <c r="E199" s="54"/>
      <c r="F199" s="78"/>
      <c r="G199" s="88">
        <f t="shared" ref="G199:AC199" si="70">G198*2</f>
        <v>0</v>
      </c>
      <c r="H199" s="88">
        <f t="shared" si="70"/>
        <v>202</v>
      </c>
      <c r="I199" s="88">
        <f t="shared" si="70"/>
        <v>174</v>
      </c>
      <c r="J199" s="88">
        <f t="shared" si="70"/>
        <v>198</v>
      </c>
      <c r="K199" s="88">
        <f t="shared" si="70"/>
        <v>174</v>
      </c>
      <c r="L199" s="88">
        <f t="shared" si="70"/>
        <v>162</v>
      </c>
      <c r="M199" s="88">
        <f t="shared" si="70"/>
        <v>86</v>
      </c>
      <c r="N199" s="88">
        <f t="shared" si="70"/>
        <v>86</v>
      </c>
      <c r="O199" s="88">
        <f t="shared" si="70"/>
        <v>86</v>
      </c>
      <c r="P199" s="88">
        <f t="shared" si="70"/>
        <v>124</v>
      </c>
      <c r="Q199" s="88">
        <f t="shared" si="70"/>
        <v>124</v>
      </c>
      <c r="R199" s="88">
        <f t="shared" si="70"/>
        <v>54</v>
      </c>
      <c r="S199" s="88">
        <f t="shared" si="70"/>
        <v>0</v>
      </c>
      <c r="T199" s="88">
        <f t="shared" si="70"/>
        <v>0</v>
      </c>
      <c r="U199" s="88">
        <f t="shared" si="70"/>
        <v>90</v>
      </c>
      <c r="V199" s="88">
        <f t="shared" si="70"/>
        <v>90</v>
      </c>
      <c r="W199" s="88">
        <f t="shared" si="70"/>
        <v>96</v>
      </c>
      <c r="X199" s="88">
        <f t="shared" si="70"/>
        <v>62</v>
      </c>
      <c r="Y199" s="88">
        <f t="shared" si="70"/>
        <v>62</v>
      </c>
      <c r="Z199" s="88">
        <f t="shared" si="70"/>
        <v>106</v>
      </c>
      <c r="AA199" s="88">
        <f t="shared" si="70"/>
        <v>62</v>
      </c>
      <c r="AB199" s="88">
        <f t="shared" si="70"/>
        <v>0</v>
      </c>
      <c r="AC199" s="88">
        <f t="shared" si="70"/>
        <v>0</v>
      </c>
      <c r="AD199" s="53" t="e">
        <f>#REF!*D199</f>
        <v>#REF!</v>
      </c>
      <c r="AE199" s="53" t="e">
        <f>AD199-#REF!</f>
        <v>#REF!</v>
      </c>
      <c r="AF199" s="9"/>
      <c r="AG199" s="33" t="e">
        <f>#REF!-D199</f>
        <v>#REF!</v>
      </c>
      <c r="AH199" s="9"/>
      <c r="AI199" s="9"/>
      <c r="AJ199" s="9"/>
      <c r="AK199" s="9"/>
    </row>
    <row r="200" spans="1:37" s="12" customFormat="1" ht="20.399999999999999" outlineLevel="1" x14ac:dyDescent="0.2">
      <c r="A200" s="61" t="s">
        <v>811</v>
      </c>
      <c r="B200" s="14" t="s">
        <v>1032</v>
      </c>
      <c r="C200" s="9" t="s">
        <v>47</v>
      </c>
      <c r="D200" s="25">
        <f t="shared" si="61"/>
        <v>6114</v>
      </c>
      <c r="E200" s="54"/>
      <c r="F200" s="78"/>
      <c r="G200" s="88">
        <f t="shared" ref="G200:AC200" si="71">G198*6</f>
        <v>0</v>
      </c>
      <c r="H200" s="88">
        <f t="shared" si="71"/>
        <v>606</v>
      </c>
      <c r="I200" s="88">
        <f t="shared" si="71"/>
        <v>522</v>
      </c>
      <c r="J200" s="88">
        <f t="shared" si="71"/>
        <v>594</v>
      </c>
      <c r="K200" s="88">
        <f t="shared" si="71"/>
        <v>522</v>
      </c>
      <c r="L200" s="88">
        <f t="shared" si="71"/>
        <v>486</v>
      </c>
      <c r="M200" s="88">
        <f t="shared" si="71"/>
        <v>258</v>
      </c>
      <c r="N200" s="88">
        <f t="shared" si="71"/>
        <v>258</v>
      </c>
      <c r="O200" s="88">
        <f t="shared" si="71"/>
        <v>258</v>
      </c>
      <c r="P200" s="88">
        <f t="shared" si="71"/>
        <v>372</v>
      </c>
      <c r="Q200" s="88">
        <f t="shared" si="71"/>
        <v>372</v>
      </c>
      <c r="R200" s="88">
        <f t="shared" si="71"/>
        <v>162</v>
      </c>
      <c r="S200" s="88">
        <f t="shared" si="71"/>
        <v>0</v>
      </c>
      <c r="T200" s="88">
        <f t="shared" si="71"/>
        <v>0</v>
      </c>
      <c r="U200" s="88">
        <f t="shared" si="71"/>
        <v>270</v>
      </c>
      <c r="V200" s="88">
        <f t="shared" si="71"/>
        <v>270</v>
      </c>
      <c r="W200" s="88">
        <f t="shared" si="71"/>
        <v>288</v>
      </c>
      <c r="X200" s="88">
        <f t="shared" si="71"/>
        <v>186</v>
      </c>
      <c r="Y200" s="88">
        <f t="shared" si="71"/>
        <v>186</v>
      </c>
      <c r="Z200" s="88">
        <f t="shared" si="71"/>
        <v>318</v>
      </c>
      <c r="AA200" s="88">
        <f t="shared" si="71"/>
        <v>186</v>
      </c>
      <c r="AB200" s="88">
        <f t="shared" si="71"/>
        <v>0</v>
      </c>
      <c r="AC200" s="88">
        <f t="shared" si="71"/>
        <v>0</v>
      </c>
      <c r="AD200" s="53" t="e">
        <f>#REF!*D200</f>
        <v>#REF!</v>
      </c>
      <c r="AE200" s="53" t="e">
        <f>AD200-#REF!</f>
        <v>#REF!</v>
      </c>
      <c r="AF200" s="9"/>
      <c r="AG200" s="33" t="e">
        <f>#REF!-D200</f>
        <v>#REF!</v>
      </c>
      <c r="AH200" s="9"/>
      <c r="AI200" s="9"/>
      <c r="AJ200" s="9"/>
      <c r="AK200" s="9"/>
    </row>
    <row r="201" spans="1:37" s="17" customFormat="1" ht="20.399999999999999" outlineLevel="1" x14ac:dyDescent="0.2">
      <c r="A201" s="61" t="s">
        <v>812</v>
      </c>
      <c r="B201" s="14" t="s">
        <v>1033</v>
      </c>
      <c r="C201" s="8" t="s">
        <v>48</v>
      </c>
      <c r="D201" s="25">
        <f t="shared" si="61"/>
        <v>564</v>
      </c>
      <c r="E201" s="54"/>
      <c r="F201" s="9"/>
      <c r="G201" s="88">
        <f t="shared" ref="G201:AC201" si="72">MROUND(G198*0.55,3)</f>
        <v>0</v>
      </c>
      <c r="H201" s="88">
        <f t="shared" si="72"/>
        <v>57</v>
      </c>
      <c r="I201" s="88">
        <f t="shared" si="72"/>
        <v>48</v>
      </c>
      <c r="J201" s="88">
        <f t="shared" si="72"/>
        <v>54</v>
      </c>
      <c r="K201" s="88">
        <f t="shared" si="72"/>
        <v>48</v>
      </c>
      <c r="L201" s="88">
        <f t="shared" si="72"/>
        <v>45</v>
      </c>
      <c r="M201" s="88">
        <f t="shared" si="72"/>
        <v>24</v>
      </c>
      <c r="N201" s="88">
        <f t="shared" si="72"/>
        <v>24</v>
      </c>
      <c r="O201" s="88">
        <f t="shared" si="72"/>
        <v>24</v>
      </c>
      <c r="P201" s="88">
        <f t="shared" si="72"/>
        <v>33</v>
      </c>
      <c r="Q201" s="88">
        <f t="shared" si="72"/>
        <v>33</v>
      </c>
      <c r="R201" s="88">
        <f t="shared" si="72"/>
        <v>15</v>
      </c>
      <c r="S201" s="88">
        <f t="shared" si="72"/>
        <v>0</v>
      </c>
      <c r="T201" s="88">
        <f t="shared" si="72"/>
        <v>0</v>
      </c>
      <c r="U201" s="88">
        <f t="shared" si="72"/>
        <v>24</v>
      </c>
      <c r="V201" s="88">
        <f t="shared" si="72"/>
        <v>24</v>
      </c>
      <c r="W201" s="88">
        <f t="shared" si="72"/>
        <v>27</v>
      </c>
      <c r="X201" s="88">
        <f t="shared" si="72"/>
        <v>18</v>
      </c>
      <c r="Y201" s="88">
        <f t="shared" si="72"/>
        <v>18</v>
      </c>
      <c r="Z201" s="88">
        <f t="shared" si="72"/>
        <v>30</v>
      </c>
      <c r="AA201" s="88">
        <f t="shared" si="72"/>
        <v>18</v>
      </c>
      <c r="AB201" s="88">
        <f t="shared" si="72"/>
        <v>0</v>
      </c>
      <c r="AC201" s="88">
        <f t="shared" si="72"/>
        <v>0</v>
      </c>
      <c r="AD201" s="53" t="e">
        <f>#REF!*D201</f>
        <v>#REF!</v>
      </c>
      <c r="AE201" s="53" t="e">
        <f>AD201-#REF!</f>
        <v>#REF!</v>
      </c>
      <c r="AF201" s="8"/>
      <c r="AG201" s="33" t="e">
        <f>#REF!-D201</f>
        <v>#REF!</v>
      </c>
      <c r="AH201" s="8"/>
      <c r="AI201" s="8"/>
      <c r="AJ201" s="8"/>
      <c r="AK201" s="8"/>
    </row>
    <row r="202" spans="1:37" s="17" customFormat="1" ht="26.25" customHeight="1" outlineLevel="1" x14ac:dyDescent="0.2">
      <c r="A202" s="61" t="s">
        <v>813</v>
      </c>
      <c r="B202" s="47" t="s">
        <v>425</v>
      </c>
      <c r="C202" s="8" t="s">
        <v>47</v>
      </c>
      <c r="D202" s="25">
        <f t="shared" si="61"/>
        <v>4310</v>
      </c>
      <c r="E202" s="54"/>
      <c r="F202" s="9"/>
      <c r="G202" s="88">
        <f t="shared" ref="G202:AC202" si="73">G194*6+G195*2+G196*2+G193*4</f>
        <v>0</v>
      </c>
      <c r="H202" s="88">
        <f t="shared" si="73"/>
        <v>416</v>
      </c>
      <c r="I202" s="88">
        <f t="shared" si="73"/>
        <v>354</v>
      </c>
      <c r="J202" s="88">
        <f t="shared" si="73"/>
        <v>400</v>
      </c>
      <c r="K202" s="88">
        <f t="shared" si="73"/>
        <v>340</v>
      </c>
      <c r="L202" s="88">
        <f t="shared" si="73"/>
        <v>338</v>
      </c>
      <c r="M202" s="88">
        <f t="shared" si="73"/>
        <v>180</v>
      </c>
      <c r="N202" s="88">
        <f t="shared" si="73"/>
        <v>180</v>
      </c>
      <c r="O202" s="88">
        <f t="shared" si="73"/>
        <v>202</v>
      </c>
      <c r="P202" s="88">
        <f t="shared" si="73"/>
        <v>242</v>
      </c>
      <c r="Q202" s="88">
        <f t="shared" si="73"/>
        <v>242</v>
      </c>
      <c r="R202" s="88">
        <f t="shared" si="73"/>
        <v>80</v>
      </c>
      <c r="S202" s="88">
        <f t="shared" si="73"/>
        <v>0</v>
      </c>
      <c r="T202" s="88">
        <f t="shared" si="73"/>
        <v>0</v>
      </c>
      <c r="U202" s="88">
        <f t="shared" si="73"/>
        <v>208</v>
      </c>
      <c r="V202" s="88">
        <f t="shared" si="73"/>
        <v>232</v>
      </c>
      <c r="W202" s="88">
        <f t="shared" si="73"/>
        <v>198</v>
      </c>
      <c r="X202" s="88">
        <f t="shared" si="73"/>
        <v>136</v>
      </c>
      <c r="Y202" s="88">
        <f t="shared" si="73"/>
        <v>150</v>
      </c>
      <c r="Z202" s="88">
        <f t="shared" si="73"/>
        <v>262</v>
      </c>
      <c r="AA202" s="88">
        <f t="shared" si="73"/>
        <v>150</v>
      </c>
      <c r="AB202" s="88">
        <f t="shared" si="73"/>
        <v>0</v>
      </c>
      <c r="AC202" s="88">
        <f t="shared" si="73"/>
        <v>0</v>
      </c>
      <c r="AD202" s="53" t="e">
        <f>#REF!*D202</f>
        <v>#REF!</v>
      </c>
      <c r="AE202" s="53" t="e">
        <f>AD202-#REF!</f>
        <v>#REF!</v>
      </c>
      <c r="AF202" s="8"/>
      <c r="AG202" s="33" t="e">
        <f>#REF!-D202</f>
        <v>#REF!</v>
      </c>
      <c r="AH202" s="8"/>
      <c r="AI202" s="8"/>
      <c r="AJ202" s="8"/>
      <c r="AK202" s="8"/>
    </row>
    <row r="203" spans="1:37" s="12" customFormat="1" ht="10.199999999999999" outlineLevel="1" x14ac:dyDescent="0.2">
      <c r="A203" s="61" t="s">
        <v>814</v>
      </c>
      <c r="B203" s="11" t="s">
        <v>56</v>
      </c>
      <c r="C203" s="9" t="s">
        <v>57</v>
      </c>
      <c r="D203" s="25">
        <f t="shared" si="61"/>
        <v>35</v>
      </c>
      <c r="E203" s="54"/>
      <c r="F203" s="78"/>
      <c r="G203" s="88">
        <f t="shared" ref="G203:AC203" si="74">MROUND(SUM(G173:G175)*3/100,1)</f>
        <v>0</v>
      </c>
      <c r="H203" s="88">
        <f t="shared" si="74"/>
        <v>3</v>
      </c>
      <c r="I203" s="88">
        <f t="shared" si="74"/>
        <v>3</v>
      </c>
      <c r="J203" s="88">
        <f t="shared" si="74"/>
        <v>3</v>
      </c>
      <c r="K203" s="88">
        <f t="shared" si="74"/>
        <v>2</v>
      </c>
      <c r="L203" s="88">
        <f t="shared" si="74"/>
        <v>2</v>
      </c>
      <c r="M203" s="88">
        <f t="shared" si="74"/>
        <v>1</v>
      </c>
      <c r="N203" s="88">
        <f t="shared" si="74"/>
        <v>1</v>
      </c>
      <c r="O203" s="88">
        <f t="shared" si="74"/>
        <v>1</v>
      </c>
      <c r="P203" s="88">
        <f t="shared" si="74"/>
        <v>1</v>
      </c>
      <c r="Q203" s="88">
        <f t="shared" si="74"/>
        <v>1</v>
      </c>
      <c r="R203" s="88">
        <f t="shared" si="74"/>
        <v>0</v>
      </c>
      <c r="S203" s="88">
        <f t="shared" si="74"/>
        <v>0</v>
      </c>
      <c r="T203" s="88">
        <f t="shared" si="74"/>
        <v>0</v>
      </c>
      <c r="U203" s="88">
        <f t="shared" si="74"/>
        <v>3</v>
      </c>
      <c r="V203" s="88">
        <f t="shared" si="74"/>
        <v>4</v>
      </c>
      <c r="W203" s="88">
        <f t="shared" si="74"/>
        <v>1</v>
      </c>
      <c r="X203" s="88">
        <f t="shared" si="74"/>
        <v>2</v>
      </c>
      <c r="Y203" s="88">
        <f t="shared" si="74"/>
        <v>2</v>
      </c>
      <c r="Z203" s="88">
        <f t="shared" si="74"/>
        <v>3</v>
      </c>
      <c r="AA203" s="88">
        <f t="shared" si="74"/>
        <v>2</v>
      </c>
      <c r="AB203" s="88">
        <f t="shared" si="74"/>
        <v>0</v>
      </c>
      <c r="AC203" s="88">
        <f t="shared" si="74"/>
        <v>0</v>
      </c>
      <c r="AD203" s="53" t="e">
        <f>#REF!*D203</f>
        <v>#REF!</v>
      </c>
      <c r="AE203" s="53" t="e">
        <f>AD203-#REF!</f>
        <v>#REF!</v>
      </c>
      <c r="AF203" s="9"/>
      <c r="AG203" s="33" t="e">
        <f>#REF!-D203</f>
        <v>#REF!</v>
      </c>
    </row>
    <row r="204" spans="1:37" s="12" customFormat="1" ht="20.399999999999999" outlineLevel="1" x14ac:dyDescent="0.2">
      <c r="A204" s="61" t="s">
        <v>815</v>
      </c>
      <c r="B204" s="14" t="s">
        <v>2477</v>
      </c>
      <c r="C204" s="9" t="s">
        <v>47</v>
      </c>
      <c r="D204" s="25">
        <f t="shared" si="61"/>
        <v>454</v>
      </c>
      <c r="E204" s="54"/>
      <c r="F204" s="78"/>
      <c r="G204" s="33">
        <v>0</v>
      </c>
      <c r="H204" s="33">
        <v>31</v>
      </c>
      <c r="I204" s="9">
        <v>0</v>
      </c>
      <c r="J204" s="9">
        <v>0</v>
      </c>
      <c r="K204" s="9">
        <v>0</v>
      </c>
      <c r="L204" s="9">
        <v>0</v>
      </c>
      <c r="M204" s="9">
        <v>0</v>
      </c>
      <c r="N204" s="9">
        <v>0</v>
      </c>
      <c r="O204" s="9">
        <v>0</v>
      </c>
      <c r="P204" s="9">
        <v>0</v>
      </c>
      <c r="Q204" s="9">
        <v>0</v>
      </c>
      <c r="R204" s="9">
        <v>0</v>
      </c>
      <c r="S204" s="9">
        <v>0</v>
      </c>
      <c r="T204" s="9">
        <v>0</v>
      </c>
      <c r="U204" s="33">
        <v>66</v>
      </c>
      <c r="V204" s="9">
        <v>133</v>
      </c>
      <c r="W204" s="9">
        <f>41</f>
        <v>41</v>
      </c>
      <c r="X204" s="9">
        <v>37</v>
      </c>
      <c r="Y204" s="9">
        <v>37</v>
      </c>
      <c r="Z204" s="9">
        <v>54</v>
      </c>
      <c r="AA204" s="9">
        <v>37</v>
      </c>
      <c r="AB204" s="9">
        <v>18</v>
      </c>
      <c r="AC204" s="9">
        <v>0</v>
      </c>
      <c r="AD204" s="53" t="e">
        <f>#REF!*D204</f>
        <v>#REF!</v>
      </c>
      <c r="AE204" s="53" t="e">
        <f>AD204-#REF!</f>
        <v>#REF!</v>
      </c>
      <c r="AF204" s="9"/>
      <c r="AG204" s="33" t="e">
        <f>#REF!-D204</f>
        <v>#REF!</v>
      </c>
      <c r="AH204" s="9"/>
      <c r="AI204" s="9"/>
      <c r="AJ204" s="9"/>
      <c r="AK204" s="9"/>
    </row>
    <row r="205" spans="1:37" s="12" customFormat="1" ht="20.399999999999999" outlineLevel="1" x14ac:dyDescent="0.2">
      <c r="A205" s="61" t="s">
        <v>816</v>
      </c>
      <c r="B205" s="14" t="s">
        <v>2479</v>
      </c>
      <c r="C205" s="9" t="s">
        <v>47</v>
      </c>
      <c r="D205" s="25">
        <f t="shared" si="61"/>
        <v>113</v>
      </c>
      <c r="E205" s="54"/>
      <c r="F205" s="78"/>
      <c r="G205" s="33">
        <v>0</v>
      </c>
      <c r="H205" s="33">
        <v>56</v>
      </c>
      <c r="I205" s="9">
        <v>38</v>
      </c>
      <c r="J205" s="9">
        <v>0</v>
      </c>
      <c r="K205" s="9">
        <v>0</v>
      </c>
      <c r="L205" s="9">
        <v>0</v>
      </c>
      <c r="M205" s="9">
        <v>0</v>
      </c>
      <c r="N205" s="9">
        <v>0</v>
      </c>
      <c r="O205" s="9">
        <v>0</v>
      </c>
      <c r="P205" s="9">
        <v>0</v>
      </c>
      <c r="Q205" s="9">
        <v>0</v>
      </c>
      <c r="R205" s="9">
        <v>0</v>
      </c>
      <c r="S205" s="9">
        <v>0</v>
      </c>
      <c r="T205" s="9">
        <v>0</v>
      </c>
      <c r="U205" s="33">
        <v>19</v>
      </c>
      <c r="V205" s="9">
        <v>0</v>
      </c>
      <c r="W205" s="9">
        <v>0</v>
      </c>
      <c r="X205" s="9">
        <v>0</v>
      </c>
      <c r="Y205" s="9">
        <v>0</v>
      </c>
      <c r="Z205" s="9">
        <v>0</v>
      </c>
      <c r="AA205" s="9">
        <v>0</v>
      </c>
      <c r="AB205" s="9">
        <v>0</v>
      </c>
      <c r="AC205" s="9">
        <v>0</v>
      </c>
      <c r="AD205" s="53" t="e">
        <f>#REF!*D205</f>
        <v>#REF!</v>
      </c>
      <c r="AE205" s="53" t="e">
        <f>AD205-#REF!</f>
        <v>#REF!</v>
      </c>
      <c r="AF205" s="9"/>
      <c r="AG205" s="33" t="e">
        <f>#REF!-D205</f>
        <v>#REF!</v>
      </c>
      <c r="AH205" s="9"/>
      <c r="AI205" s="9"/>
      <c r="AJ205" s="9"/>
      <c r="AK205" s="9"/>
    </row>
    <row r="206" spans="1:37" s="12" customFormat="1" ht="20.399999999999999" outlineLevel="1" x14ac:dyDescent="0.2">
      <c r="A206" s="61" t="s">
        <v>817</v>
      </c>
      <c r="B206" s="14" t="s">
        <v>2480</v>
      </c>
      <c r="C206" s="9" t="s">
        <v>47</v>
      </c>
      <c r="D206" s="25">
        <f t="shared" si="61"/>
        <v>113</v>
      </c>
      <c r="E206" s="54"/>
      <c r="F206" s="78"/>
      <c r="G206" s="33">
        <v>0</v>
      </c>
      <c r="H206" s="33">
        <v>56</v>
      </c>
      <c r="I206" s="9">
        <v>38</v>
      </c>
      <c r="J206" s="9">
        <v>0</v>
      </c>
      <c r="K206" s="9">
        <v>0</v>
      </c>
      <c r="L206" s="9">
        <v>0</v>
      </c>
      <c r="M206" s="9">
        <v>0</v>
      </c>
      <c r="N206" s="9">
        <v>0</v>
      </c>
      <c r="O206" s="9">
        <v>0</v>
      </c>
      <c r="P206" s="9">
        <v>0</v>
      </c>
      <c r="Q206" s="9">
        <v>0</v>
      </c>
      <c r="R206" s="9">
        <v>0</v>
      </c>
      <c r="S206" s="9">
        <v>0</v>
      </c>
      <c r="T206" s="9">
        <v>0</v>
      </c>
      <c r="U206" s="33">
        <v>19</v>
      </c>
      <c r="V206" s="9">
        <v>0</v>
      </c>
      <c r="W206" s="9">
        <v>0</v>
      </c>
      <c r="X206" s="9">
        <v>0</v>
      </c>
      <c r="Y206" s="9">
        <v>0</v>
      </c>
      <c r="Z206" s="9">
        <v>0</v>
      </c>
      <c r="AA206" s="9">
        <v>0</v>
      </c>
      <c r="AB206" s="9">
        <v>0</v>
      </c>
      <c r="AC206" s="9">
        <v>0</v>
      </c>
      <c r="AD206" s="53" t="e">
        <f>#REF!*D206</f>
        <v>#REF!</v>
      </c>
      <c r="AE206" s="53" t="e">
        <f>AD206-#REF!</f>
        <v>#REF!</v>
      </c>
      <c r="AF206" s="9"/>
      <c r="AG206" s="33" t="e">
        <f>#REF!-D206</f>
        <v>#REF!</v>
      </c>
      <c r="AH206" s="9"/>
      <c r="AI206" s="9"/>
      <c r="AJ206" s="9"/>
      <c r="AK206" s="9"/>
    </row>
    <row r="207" spans="1:37" s="12" customFormat="1" ht="20.399999999999999" outlineLevel="1" x14ac:dyDescent="0.2">
      <c r="A207" s="61" t="s">
        <v>818</v>
      </c>
      <c r="B207" s="14" t="s">
        <v>69</v>
      </c>
      <c r="C207" s="9" t="s">
        <v>47</v>
      </c>
      <c r="D207" s="25">
        <f t="shared" si="61"/>
        <v>680</v>
      </c>
      <c r="E207" s="54"/>
      <c r="F207" s="78"/>
      <c r="G207" s="88">
        <f t="shared" ref="G207:AC207" si="75">SUM(G204:G206)</f>
        <v>0</v>
      </c>
      <c r="H207" s="88">
        <f t="shared" si="75"/>
        <v>143</v>
      </c>
      <c r="I207" s="88">
        <f t="shared" si="75"/>
        <v>76</v>
      </c>
      <c r="J207" s="88">
        <f t="shared" si="75"/>
        <v>0</v>
      </c>
      <c r="K207" s="88">
        <f t="shared" si="75"/>
        <v>0</v>
      </c>
      <c r="L207" s="88">
        <f t="shared" si="75"/>
        <v>0</v>
      </c>
      <c r="M207" s="88">
        <f t="shared" si="75"/>
        <v>0</v>
      </c>
      <c r="N207" s="88">
        <f t="shared" si="75"/>
        <v>0</v>
      </c>
      <c r="O207" s="88">
        <f t="shared" si="75"/>
        <v>0</v>
      </c>
      <c r="P207" s="88">
        <f t="shared" si="75"/>
        <v>0</v>
      </c>
      <c r="Q207" s="88">
        <f t="shared" si="75"/>
        <v>0</v>
      </c>
      <c r="R207" s="88">
        <f t="shared" si="75"/>
        <v>0</v>
      </c>
      <c r="S207" s="88">
        <f t="shared" si="75"/>
        <v>0</v>
      </c>
      <c r="T207" s="88">
        <f t="shared" si="75"/>
        <v>0</v>
      </c>
      <c r="U207" s="88">
        <f t="shared" si="75"/>
        <v>104</v>
      </c>
      <c r="V207" s="88">
        <f t="shared" si="75"/>
        <v>133</v>
      </c>
      <c r="W207" s="88">
        <f t="shared" si="75"/>
        <v>41</v>
      </c>
      <c r="X207" s="88">
        <f t="shared" si="75"/>
        <v>37</v>
      </c>
      <c r="Y207" s="88">
        <f t="shared" si="75"/>
        <v>37</v>
      </c>
      <c r="Z207" s="88">
        <f t="shared" si="75"/>
        <v>54</v>
      </c>
      <c r="AA207" s="88">
        <f t="shared" si="75"/>
        <v>37</v>
      </c>
      <c r="AB207" s="88">
        <f t="shared" si="75"/>
        <v>18</v>
      </c>
      <c r="AC207" s="88">
        <f t="shared" si="75"/>
        <v>0</v>
      </c>
      <c r="AD207" s="53" t="e">
        <f>#REF!*D207</f>
        <v>#REF!</v>
      </c>
      <c r="AE207" s="53" t="e">
        <f>AD207-#REF!</f>
        <v>#REF!</v>
      </c>
      <c r="AF207" s="9"/>
      <c r="AG207" s="33" t="e">
        <f>#REF!-D207</f>
        <v>#REF!</v>
      </c>
      <c r="AH207" s="9"/>
      <c r="AI207" s="9"/>
      <c r="AJ207" s="9"/>
      <c r="AK207" s="9"/>
    </row>
    <row r="208" spans="1:37" s="12" customFormat="1" ht="20.399999999999999" outlineLevel="1" x14ac:dyDescent="0.2">
      <c r="A208" s="61" t="s">
        <v>819</v>
      </c>
      <c r="B208" s="14" t="s">
        <v>1032</v>
      </c>
      <c r="C208" s="9" t="s">
        <v>47</v>
      </c>
      <c r="D208" s="25">
        <f t="shared" si="61"/>
        <v>680</v>
      </c>
      <c r="E208" s="54"/>
      <c r="F208" s="78"/>
      <c r="G208" s="88">
        <f t="shared" ref="G208:AC208" si="76">G207</f>
        <v>0</v>
      </c>
      <c r="H208" s="88">
        <f t="shared" si="76"/>
        <v>143</v>
      </c>
      <c r="I208" s="88">
        <f t="shared" si="76"/>
        <v>76</v>
      </c>
      <c r="J208" s="88">
        <f t="shared" si="76"/>
        <v>0</v>
      </c>
      <c r="K208" s="88">
        <f t="shared" si="76"/>
        <v>0</v>
      </c>
      <c r="L208" s="88">
        <f t="shared" si="76"/>
        <v>0</v>
      </c>
      <c r="M208" s="88">
        <f t="shared" si="76"/>
        <v>0</v>
      </c>
      <c r="N208" s="88">
        <f t="shared" si="76"/>
        <v>0</v>
      </c>
      <c r="O208" s="88">
        <f t="shared" si="76"/>
        <v>0</v>
      </c>
      <c r="P208" s="88">
        <f t="shared" si="76"/>
        <v>0</v>
      </c>
      <c r="Q208" s="88">
        <f t="shared" si="76"/>
        <v>0</v>
      </c>
      <c r="R208" s="88">
        <f t="shared" si="76"/>
        <v>0</v>
      </c>
      <c r="S208" s="88">
        <f t="shared" si="76"/>
        <v>0</v>
      </c>
      <c r="T208" s="88">
        <f t="shared" si="76"/>
        <v>0</v>
      </c>
      <c r="U208" s="88">
        <f t="shared" si="76"/>
        <v>104</v>
      </c>
      <c r="V208" s="88">
        <f t="shared" si="76"/>
        <v>133</v>
      </c>
      <c r="W208" s="88">
        <f t="shared" si="76"/>
        <v>41</v>
      </c>
      <c r="X208" s="88">
        <f t="shared" si="76"/>
        <v>37</v>
      </c>
      <c r="Y208" s="88">
        <f t="shared" si="76"/>
        <v>37</v>
      </c>
      <c r="Z208" s="88">
        <f t="shared" si="76"/>
        <v>54</v>
      </c>
      <c r="AA208" s="88">
        <f t="shared" si="76"/>
        <v>37</v>
      </c>
      <c r="AB208" s="88">
        <f t="shared" si="76"/>
        <v>18</v>
      </c>
      <c r="AC208" s="88">
        <f t="shared" si="76"/>
        <v>0</v>
      </c>
      <c r="AD208" s="53" t="e">
        <f>#REF!*D208</f>
        <v>#REF!</v>
      </c>
      <c r="AE208" s="53" t="e">
        <f>AD208-#REF!</f>
        <v>#REF!</v>
      </c>
      <c r="AF208" s="9"/>
      <c r="AG208" s="33" t="e">
        <f>#REF!-D208</f>
        <v>#REF!</v>
      </c>
      <c r="AH208" s="9"/>
      <c r="AI208" s="9"/>
      <c r="AJ208" s="9"/>
      <c r="AK208" s="9"/>
    </row>
    <row r="209" spans="1:37" s="17" customFormat="1" ht="30.6" outlineLevel="1" x14ac:dyDescent="0.2">
      <c r="A209" s="61" t="s">
        <v>820</v>
      </c>
      <c r="B209" s="14" t="s">
        <v>158</v>
      </c>
      <c r="C209" s="8" t="s">
        <v>47</v>
      </c>
      <c r="D209" s="25">
        <f t="shared" si="61"/>
        <v>274</v>
      </c>
      <c r="E209" s="54"/>
      <c r="F209" s="78"/>
      <c r="G209" s="33">
        <v>0</v>
      </c>
      <c r="H209" s="33">
        <v>30</v>
      </c>
      <c r="I209" s="9">
        <f>27-4</f>
        <v>23</v>
      </c>
      <c r="J209" s="9">
        <v>6</v>
      </c>
      <c r="K209" s="9">
        <v>100</v>
      </c>
      <c r="L209" s="9">
        <v>6</v>
      </c>
      <c r="M209" s="9">
        <v>14</v>
      </c>
      <c r="N209" s="9">
        <v>14</v>
      </c>
      <c r="O209" s="9">
        <v>9</v>
      </c>
      <c r="P209" s="9">
        <v>5</v>
      </c>
      <c r="Q209" s="9">
        <v>5</v>
      </c>
      <c r="R209" s="9">
        <v>3</v>
      </c>
      <c r="S209" s="9">
        <v>0</v>
      </c>
      <c r="T209" s="9">
        <v>0</v>
      </c>
      <c r="U209" s="33">
        <v>4</v>
      </c>
      <c r="V209" s="9">
        <v>10</v>
      </c>
      <c r="W209" s="9">
        <v>2</v>
      </c>
      <c r="X209" s="9">
        <v>4</v>
      </c>
      <c r="Y209" s="9">
        <v>6</v>
      </c>
      <c r="Z209" s="9">
        <f>4+14</f>
        <v>18</v>
      </c>
      <c r="AA209" s="9">
        <v>6</v>
      </c>
      <c r="AB209" s="9">
        <v>9</v>
      </c>
      <c r="AC209" s="9">
        <v>0</v>
      </c>
      <c r="AD209" s="53" t="e">
        <f>#REF!*D209</f>
        <v>#REF!</v>
      </c>
      <c r="AE209" s="53" t="e">
        <f>AD209-#REF!</f>
        <v>#REF!</v>
      </c>
      <c r="AF209" s="8"/>
      <c r="AG209" s="33" t="e">
        <f>#REF!-D209</f>
        <v>#REF!</v>
      </c>
      <c r="AH209" s="8"/>
      <c r="AI209" s="8"/>
      <c r="AJ209" s="8"/>
      <c r="AK209" s="8"/>
    </row>
    <row r="210" spans="1:37" s="17" customFormat="1" ht="26.25" customHeight="1" outlineLevel="1" x14ac:dyDescent="0.2">
      <c r="A210" s="61" t="s">
        <v>821</v>
      </c>
      <c r="B210" s="47" t="s">
        <v>159</v>
      </c>
      <c r="C210" s="8" t="s">
        <v>47</v>
      </c>
      <c r="D210" s="25">
        <f t="shared" si="61"/>
        <v>822</v>
      </c>
      <c r="E210" s="54"/>
      <c r="F210" s="78"/>
      <c r="G210" s="33">
        <v>0</v>
      </c>
      <c r="H210" s="88">
        <f t="shared" ref="H210:AC210" si="77">H209*3</f>
        <v>90</v>
      </c>
      <c r="I210" s="88">
        <f t="shared" si="77"/>
        <v>69</v>
      </c>
      <c r="J210" s="88">
        <f t="shared" si="77"/>
        <v>18</v>
      </c>
      <c r="K210" s="88">
        <f t="shared" si="77"/>
        <v>300</v>
      </c>
      <c r="L210" s="88">
        <f t="shared" si="77"/>
        <v>18</v>
      </c>
      <c r="M210" s="88">
        <f t="shared" si="77"/>
        <v>42</v>
      </c>
      <c r="N210" s="88">
        <f t="shared" si="77"/>
        <v>42</v>
      </c>
      <c r="O210" s="88">
        <f t="shared" si="77"/>
        <v>27</v>
      </c>
      <c r="P210" s="88">
        <f t="shared" si="77"/>
        <v>15</v>
      </c>
      <c r="Q210" s="88">
        <f t="shared" si="77"/>
        <v>15</v>
      </c>
      <c r="R210" s="88">
        <f t="shared" si="77"/>
        <v>9</v>
      </c>
      <c r="S210" s="88">
        <f t="shared" si="77"/>
        <v>0</v>
      </c>
      <c r="T210" s="88">
        <f t="shared" si="77"/>
        <v>0</v>
      </c>
      <c r="U210" s="88">
        <f t="shared" si="77"/>
        <v>12</v>
      </c>
      <c r="V210" s="88">
        <f t="shared" si="77"/>
        <v>30</v>
      </c>
      <c r="W210" s="88">
        <f t="shared" si="77"/>
        <v>6</v>
      </c>
      <c r="X210" s="88">
        <f t="shared" si="77"/>
        <v>12</v>
      </c>
      <c r="Y210" s="88">
        <f t="shared" si="77"/>
        <v>18</v>
      </c>
      <c r="Z210" s="88">
        <f t="shared" si="77"/>
        <v>54</v>
      </c>
      <c r="AA210" s="88">
        <f t="shared" si="77"/>
        <v>18</v>
      </c>
      <c r="AB210" s="88">
        <f t="shared" si="77"/>
        <v>27</v>
      </c>
      <c r="AC210" s="88">
        <f t="shared" si="77"/>
        <v>0</v>
      </c>
      <c r="AD210" s="53" t="e">
        <f>#REF!*D210</f>
        <v>#REF!</v>
      </c>
      <c r="AE210" s="53" t="e">
        <f>AD210-#REF!</f>
        <v>#REF!</v>
      </c>
      <c r="AF210" s="8"/>
      <c r="AG210" s="33" t="e">
        <f>#REF!-D210</f>
        <v>#REF!</v>
      </c>
      <c r="AH210" s="8"/>
      <c r="AI210" s="8"/>
      <c r="AJ210" s="8"/>
      <c r="AK210" s="8"/>
    </row>
    <row r="211" spans="1:37" s="17" customFormat="1" ht="25.5" customHeight="1" outlineLevel="1" x14ac:dyDescent="0.2">
      <c r="A211" s="61" t="s">
        <v>822</v>
      </c>
      <c r="B211" s="47" t="s">
        <v>469</v>
      </c>
      <c r="C211" s="8" t="s">
        <v>47</v>
      </c>
      <c r="D211" s="25">
        <f t="shared" si="61"/>
        <v>2</v>
      </c>
      <c r="E211" s="54"/>
      <c r="F211" s="78"/>
      <c r="G211" s="33">
        <v>0</v>
      </c>
      <c r="H211" s="33">
        <v>0</v>
      </c>
      <c r="I211" s="9">
        <v>2</v>
      </c>
      <c r="J211" s="9">
        <v>0</v>
      </c>
      <c r="K211" s="9">
        <v>0</v>
      </c>
      <c r="L211" s="9">
        <v>0</v>
      </c>
      <c r="M211" s="9">
        <v>0</v>
      </c>
      <c r="N211" s="9">
        <v>0</v>
      </c>
      <c r="O211" s="9">
        <v>0</v>
      </c>
      <c r="P211" s="9">
        <v>0</v>
      </c>
      <c r="Q211" s="9">
        <v>0</v>
      </c>
      <c r="R211" s="9">
        <v>0</v>
      </c>
      <c r="S211" s="9">
        <v>0</v>
      </c>
      <c r="T211" s="9">
        <v>0</v>
      </c>
      <c r="U211" s="33">
        <v>0</v>
      </c>
      <c r="V211" s="9">
        <v>0</v>
      </c>
      <c r="W211" s="9">
        <v>0</v>
      </c>
      <c r="X211" s="9">
        <v>0</v>
      </c>
      <c r="Y211" s="9">
        <v>0</v>
      </c>
      <c r="Z211" s="9">
        <v>0</v>
      </c>
      <c r="AA211" s="9">
        <v>0</v>
      </c>
      <c r="AB211" s="9">
        <v>0</v>
      </c>
      <c r="AC211" s="9">
        <v>0</v>
      </c>
      <c r="AD211" s="53" t="e">
        <f>#REF!*D211</f>
        <v>#REF!</v>
      </c>
      <c r="AE211" s="53" t="e">
        <f>AD211-#REF!</f>
        <v>#REF!</v>
      </c>
      <c r="AF211" s="8"/>
      <c r="AG211" s="33" t="e">
        <f>#REF!-D211</f>
        <v>#REF!</v>
      </c>
      <c r="AH211" s="8"/>
      <c r="AI211" s="8"/>
      <c r="AJ211" s="8"/>
      <c r="AK211" s="8"/>
    </row>
    <row r="212" spans="1:37" s="17" customFormat="1" ht="20.399999999999999" outlineLevel="1" x14ac:dyDescent="0.2">
      <c r="A212" s="61" t="s">
        <v>3129</v>
      </c>
      <c r="B212" s="47" t="s">
        <v>470</v>
      </c>
      <c r="C212" s="8" t="s">
        <v>47</v>
      </c>
      <c r="D212" s="25">
        <f t="shared" si="61"/>
        <v>4</v>
      </c>
      <c r="E212" s="54"/>
      <c r="F212" s="78"/>
      <c r="G212" s="33">
        <v>0</v>
      </c>
      <c r="H212" s="33">
        <v>0</v>
      </c>
      <c r="I212" s="9">
        <v>0</v>
      </c>
      <c r="J212" s="9">
        <v>0</v>
      </c>
      <c r="K212" s="9">
        <v>0</v>
      </c>
      <c r="L212" s="9">
        <v>0</v>
      </c>
      <c r="M212" s="9">
        <v>0</v>
      </c>
      <c r="N212" s="9">
        <v>0</v>
      </c>
      <c r="O212" s="9">
        <v>0</v>
      </c>
      <c r="P212" s="9">
        <v>0</v>
      </c>
      <c r="Q212" s="9">
        <v>0</v>
      </c>
      <c r="R212" s="9">
        <v>4</v>
      </c>
      <c r="S212" s="9">
        <v>0</v>
      </c>
      <c r="T212" s="9">
        <v>0</v>
      </c>
      <c r="U212" s="33">
        <v>0</v>
      </c>
      <c r="V212" s="9">
        <v>0</v>
      </c>
      <c r="W212" s="9">
        <v>0</v>
      </c>
      <c r="X212" s="9">
        <v>0</v>
      </c>
      <c r="Y212" s="9">
        <v>0</v>
      </c>
      <c r="Z212" s="9">
        <v>0</v>
      </c>
      <c r="AA212" s="9">
        <v>0</v>
      </c>
      <c r="AB212" s="9">
        <v>0</v>
      </c>
      <c r="AC212" s="9">
        <v>0</v>
      </c>
      <c r="AD212" s="53" t="e">
        <f>#REF!*D212</f>
        <v>#REF!</v>
      </c>
      <c r="AE212" s="53" t="e">
        <f>AD212-#REF!</f>
        <v>#REF!</v>
      </c>
      <c r="AF212" s="8"/>
      <c r="AG212" s="33" t="e">
        <f>#REF!-D212</f>
        <v>#REF!</v>
      </c>
      <c r="AH212" s="8"/>
      <c r="AI212" s="8"/>
      <c r="AJ212" s="8"/>
      <c r="AK212" s="8"/>
    </row>
    <row r="213" spans="1:37" s="12" customFormat="1" ht="20.399999999999999" outlineLevel="1" x14ac:dyDescent="0.2">
      <c r="A213" s="61" t="s">
        <v>3130</v>
      </c>
      <c r="B213" s="14" t="s">
        <v>474</v>
      </c>
      <c r="C213" s="9" t="s">
        <v>47</v>
      </c>
      <c r="D213" s="25">
        <f t="shared" si="61"/>
        <v>195</v>
      </c>
      <c r="E213" s="54"/>
      <c r="F213" s="78"/>
      <c r="G213" s="33">
        <v>0</v>
      </c>
      <c r="H213" s="33">
        <v>25</v>
      </c>
      <c r="I213" s="9">
        <f>21-6</f>
        <v>15</v>
      </c>
      <c r="J213" s="9">
        <v>10</v>
      </c>
      <c r="K213" s="9">
        <v>9</v>
      </c>
      <c r="L213" s="9">
        <v>14</v>
      </c>
      <c r="M213" s="9">
        <f>8+17</f>
        <v>25</v>
      </c>
      <c r="N213" s="9">
        <f>8+17</f>
        <v>25</v>
      </c>
      <c r="O213" s="9">
        <f>9+16</f>
        <v>25</v>
      </c>
      <c r="P213" s="9">
        <f>11+2</f>
        <v>13</v>
      </c>
      <c r="Q213" s="9">
        <f>11+2</f>
        <v>13</v>
      </c>
      <c r="R213" s="9">
        <v>0</v>
      </c>
      <c r="S213" s="9">
        <v>0</v>
      </c>
      <c r="T213" s="9">
        <v>0</v>
      </c>
      <c r="U213" s="33">
        <v>2</v>
      </c>
      <c r="V213" s="9">
        <v>3</v>
      </c>
      <c r="W213" s="9">
        <v>2</v>
      </c>
      <c r="X213" s="9">
        <v>3</v>
      </c>
      <c r="Y213" s="9">
        <v>5</v>
      </c>
      <c r="Z213" s="9">
        <v>2</v>
      </c>
      <c r="AA213" s="9">
        <v>3</v>
      </c>
      <c r="AB213" s="9">
        <v>1</v>
      </c>
      <c r="AC213" s="9">
        <v>0</v>
      </c>
      <c r="AD213" s="53" t="e">
        <f>#REF!*D213</f>
        <v>#REF!</v>
      </c>
      <c r="AE213" s="53" t="e">
        <f>AD213-#REF!</f>
        <v>#REF!</v>
      </c>
      <c r="AF213" s="9"/>
      <c r="AG213" s="33" t="e">
        <f>#REF!-D213</f>
        <v>#REF!</v>
      </c>
      <c r="AH213" s="9"/>
      <c r="AI213" s="9"/>
      <c r="AJ213" s="9"/>
      <c r="AK213" s="9"/>
    </row>
    <row r="214" spans="1:37" s="12" customFormat="1" ht="20.399999999999999" outlineLevel="1" x14ac:dyDescent="0.2">
      <c r="A214" s="61" t="s">
        <v>3131</v>
      </c>
      <c r="B214" s="14" t="s">
        <v>70</v>
      </c>
      <c r="C214" s="9" t="s">
        <v>47</v>
      </c>
      <c r="D214" s="25">
        <f t="shared" si="61"/>
        <v>624</v>
      </c>
      <c r="E214" s="54"/>
      <c r="F214" s="78"/>
      <c r="G214" s="88">
        <f t="shared" ref="G214:AC214" si="78">SUM(G224:G226)</f>
        <v>0</v>
      </c>
      <c r="H214" s="88">
        <f t="shared" si="78"/>
        <v>72</v>
      </c>
      <c r="I214" s="88">
        <f t="shared" si="78"/>
        <v>45</v>
      </c>
      <c r="J214" s="88">
        <f t="shared" si="78"/>
        <v>61</v>
      </c>
      <c r="K214" s="88">
        <f t="shared" si="78"/>
        <v>44</v>
      </c>
      <c r="L214" s="88">
        <f t="shared" si="78"/>
        <v>47</v>
      </c>
      <c r="M214" s="88">
        <f t="shared" si="78"/>
        <v>13</v>
      </c>
      <c r="N214" s="88">
        <f t="shared" si="78"/>
        <v>13</v>
      </c>
      <c r="O214" s="88">
        <f t="shared" si="78"/>
        <v>25</v>
      </c>
      <c r="P214" s="88">
        <f t="shared" si="78"/>
        <v>31</v>
      </c>
      <c r="Q214" s="88">
        <f t="shared" si="78"/>
        <v>31</v>
      </c>
      <c r="R214" s="88">
        <f t="shared" si="78"/>
        <v>0</v>
      </c>
      <c r="S214" s="88">
        <f t="shared" si="78"/>
        <v>0</v>
      </c>
      <c r="T214" s="88">
        <f t="shared" si="78"/>
        <v>0</v>
      </c>
      <c r="U214" s="88">
        <f t="shared" si="78"/>
        <v>57</v>
      </c>
      <c r="V214" s="88">
        <f t="shared" si="78"/>
        <v>53</v>
      </c>
      <c r="W214" s="88">
        <f t="shared" si="78"/>
        <v>25</v>
      </c>
      <c r="X214" s="88">
        <f t="shared" si="78"/>
        <v>21</v>
      </c>
      <c r="Y214" s="88">
        <f t="shared" si="78"/>
        <v>33</v>
      </c>
      <c r="Z214" s="88">
        <f t="shared" si="78"/>
        <v>33</v>
      </c>
      <c r="AA214" s="88">
        <f t="shared" si="78"/>
        <v>14</v>
      </c>
      <c r="AB214" s="88">
        <f t="shared" si="78"/>
        <v>6</v>
      </c>
      <c r="AC214" s="88">
        <f t="shared" si="78"/>
        <v>0</v>
      </c>
      <c r="AD214" s="53" t="e">
        <f>#REF!*D214</f>
        <v>#REF!</v>
      </c>
      <c r="AE214" s="53" t="e">
        <f>AD214-#REF!</f>
        <v>#REF!</v>
      </c>
      <c r="AF214" s="9"/>
      <c r="AG214" s="33" t="e">
        <f>#REF!-D214</f>
        <v>#REF!</v>
      </c>
      <c r="AH214" s="9"/>
      <c r="AI214" s="9"/>
      <c r="AJ214" s="9"/>
      <c r="AK214" s="9"/>
    </row>
    <row r="215" spans="1:37" s="17" customFormat="1" ht="20.399999999999999" outlineLevel="1" x14ac:dyDescent="0.2">
      <c r="A215" s="61" t="s">
        <v>3132</v>
      </c>
      <c r="B215" s="14" t="s">
        <v>71</v>
      </c>
      <c r="C215" s="8" t="s">
        <v>47</v>
      </c>
      <c r="D215" s="25">
        <f t="shared" si="61"/>
        <v>14</v>
      </c>
      <c r="E215" s="54"/>
      <c r="F215" s="9"/>
      <c r="G215" s="33">
        <v>0</v>
      </c>
      <c r="H215" s="33">
        <v>2</v>
      </c>
      <c r="I215" s="9">
        <v>5</v>
      </c>
      <c r="J215" s="9">
        <v>0</v>
      </c>
      <c r="K215" s="9">
        <v>0</v>
      </c>
      <c r="L215" s="9">
        <v>0</v>
      </c>
      <c r="M215" s="9">
        <v>0</v>
      </c>
      <c r="N215" s="9">
        <v>0</v>
      </c>
      <c r="O215" s="9">
        <v>1</v>
      </c>
      <c r="P215" s="9">
        <v>0</v>
      </c>
      <c r="Q215" s="9">
        <v>0</v>
      </c>
      <c r="R215" s="9">
        <v>0</v>
      </c>
      <c r="S215" s="9">
        <v>0</v>
      </c>
      <c r="T215" s="9">
        <v>0</v>
      </c>
      <c r="U215" s="33">
        <v>1</v>
      </c>
      <c r="V215" s="9">
        <v>1</v>
      </c>
      <c r="W215" s="9">
        <v>0</v>
      </c>
      <c r="X215" s="9">
        <v>0</v>
      </c>
      <c r="Y215" s="9">
        <v>1</v>
      </c>
      <c r="Z215" s="9">
        <v>1</v>
      </c>
      <c r="AA215" s="9">
        <v>1</v>
      </c>
      <c r="AB215" s="9">
        <v>1</v>
      </c>
      <c r="AC215" s="9">
        <v>0</v>
      </c>
      <c r="AD215" s="53" t="e">
        <f>#REF!*D215</f>
        <v>#REF!</v>
      </c>
      <c r="AE215" s="53" t="e">
        <f>AD215-#REF!</f>
        <v>#REF!</v>
      </c>
      <c r="AF215" s="8"/>
      <c r="AG215" s="33" t="e">
        <f>#REF!-D215</f>
        <v>#REF!</v>
      </c>
      <c r="AH215" s="8"/>
      <c r="AI215" s="8"/>
      <c r="AJ215" s="8"/>
      <c r="AK215" s="8"/>
    </row>
    <row r="216" spans="1:37" outlineLevel="1" x14ac:dyDescent="0.25">
      <c r="A216" s="61"/>
      <c r="E216" s="54"/>
      <c r="H216" s="8"/>
      <c r="I216" s="8"/>
      <c r="J216" s="8"/>
      <c r="K216" s="8"/>
      <c r="L216" s="8"/>
      <c r="M216" s="8"/>
      <c r="N216" s="8"/>
      <c r="O216" s="8"/>
      <c r="P216" s="8"/>
      <c r="Q216" s="8"/>
      <c r="R216" s="8"/>
      <c r="S216" s="8"/>
      <c r="T216" s="8"/>
      <c r="U216" s="8"/>
      <c r="V216" s="8"/>
      <c r="W216" s="8"/>
      <c r="X216" s="8"/>
      <c r="Y216" s="8"/>
      <c r="Z216" s="8"/>
      <c r="AA216" s="8"/>
      <c r="AB216" s="8"/>
      <c r="AC216" s="8"/>
      <c r="AD216" s="53" t="e">
        <f>#REF!*D216</f>
        <v>#REF!</v>
      </c>
      <c r="AE216" s="53" t="e">
        <f>AD216-#REF!</f>
        <v>#REF!</v>
      </c>
      <c r="AG216" s="33" t="e">
        <f>#REF!-D216</f>
        <v>#REF!</v>
      </c>
    </row>
    <row r="217" spans="1:37" x14ac:dyDescent="0.25">
      <c r="A217" s="18" t="s">
        <v>46</v>
      </c>
      <c r="B217" s="35" t="s">
        <v>453</v>
      </c>
      <c r="C217" s="18" t="s">
        <v>41</v>
      </c>
      <c r="D217" s="52" t="e">
        <f>#REF!/#REF!*100</f>
        <v>#REF!</v>
      </c>
      <c r="E217" s="54"/>
      <c r="H217" s="8"/>
      <c r="I217" s="8"/>
      <c r="J217" s="8"/>
      <c r="K217" s="8"/>
      <c r="L217" s="8"/>
      <c r="M217" s="8"/>
      <c r="N217" s="8"/>
      <c r="O217" s="8"/>
      <c r="P217" s="8"/>
      <c r="Q217" s="8"/>
      <c r="R217" s="8"/>
      <c r="S217" s="8"/>
      <c r="T217" s="8"/>
      <c r="U217" s="8"/>
      <c r="V217" s="8"/>
      <c r="W217" s="8"/>
      <c r="X217" s="8"/>
      <c r="Y217" s="8"/>
      <c r="Z217" s="8"/>
      <c r="AA217" s="8"/>
      <c r="AB217" s="214" t="s">
        <v>375</v>
      </c>
      <c r="AC217" s="8"/>
      <c r="AD217" s="53" t="e">
        <f>#REF!*D217</f>
        <v>#REF!</v>
      </c>
      <c r="AE217" s="53" t="e">
        <f>AD217-#REF!</f>
        <v>#REF!</v>
      </c>
      <c r="AG217" s="33" t="e">
        <f>#REF!-D217</f>
        <v>#REF!</v>
      </c>
    </row>
    <row r="218" spans="1:37" s="12" customFormat="1" ht="31.8" outlineLevel="1" x14ac:dyDescent="0.2">
      <c r="A218" s="61" t="s">
        <v>823</v>
      </c>
      <c r="B218" s="14" t="s">
        <v>1059</v>
      </c>
      <c r="C218" s="9" t="s">
        <v>48</v>
      </c>
      <c r="D218" s="25">
        <f>SUM(G218:AC218)</f>
        <v>38400</v>
      </c>
      <c r="E218" s="54"/>
      <c r="F218" s="9"/>
      <c r="G218" s="33">
        <v>0</v>
      </c>
      <c r="H218" s="33">
        <v>4890</v>
      </c>
      <c r="I218" s="9">
        <f>5170-1100</f>
        <v>4070</v>
      </c>
      <c r="J218" s="9">
        <f>5120-1550</f>
        <v>3570</v>
      </c>
      <c r="K218" s="9">
        <f>5400-2000</f>
        <v>3400</v>
      </c>
      <c r="L218" s="9">
        <v>2800</v>
      </c>
      <c r="M218" s="9">
        <v>1680</v>
      </c>
      <c r="N218" s="9">
        <v>1680</v>
      </c>
      <c r="O218" s="9">
        <v>2050</v>
      </c>
      <c r="P218" s="9">
        <v>2100</v>
      </c>
      <c r="Q218" s="9">
        <v>2100</v>
      </c>
      <c r="R218" s="9">
        <v>320</v>
      </c>
      <c r="S218" s="9">
        <v>0</v>
      </c>
      <c r="T218" s="9">
        <v>0</v>
      </c>
      <c r="U218" s="33">
        <v>1830</v>
      </c>
      <c r="V218" s="9">
        <v>2450</v>
      </c>
      <c r="W218" s="9">
        <v>1000</v>
      </c>
      <c r="X218" s="9">
        <v>850</v>
      </c>
      <c r="Y218" s="9">
        <v>900</v>
      </c>
      <c r="Z218" s="9">
        <v>1650</v>
      </c>
      <c r="AA218" s="9">
        <v>900</v>
      </c>
      <c r="AB218" s="9">
        <v>160</v>
      </c>
      <c r="AC218" s="9">
        <v>0</v>
      </c>
      <c r="AD218" s="53" t="e">
        <f>#REF!*D218</f>
        <v>#REF!</v>
      </c>
      <c r="AE218" s="53" t="e">
        <f>AD218-#REF!</f>
        <v>#REF!</v>
      </c>
      <c r="AF218" s="9"/>
      <c r="AG218" s="33" t="e">
        <f>#REF!-D218</f>
        <v>#REF!</v>
      </c>
      <c r="AH218" s="9"/>
      <c r="AI218" s="9"/>
      <c r="AJ218" s="9"/>
      <c r="AK218" s="9"/>
    </row>
    <row r="219" spans="1:37" s="12" customFormat="1" ht="31.8" outlineLevel="1" x14ac:dyDescent="0.2">
      <c r="A219" s="61" t="s">
        <v>824</v>
      </c>
      <c r="B219" s="14" t="s">
        <v>1060</v>
      </c>
      <c r="C219" s="9" t="s">
        <v>48</v>
      </c>
      <c r="D219" s="25">
        <f>SUM(G219:AC219)</f>
        <v>2060</v>
      </c>
      <c r="E219" s="54"/>
      <c r="F219" s="9"/>
      <c r="G219" s="33">
        <v>0</v>
      </c>
      <c r="H219" s="33">
        <v>0</v>
      </c>
      <c r="I219" s="9">
        <v>210</v>
      </c>
      <c r="J219" s="9">
        <v>0</v>
      </c>
      <c r="K219" s="9">
        <v>0</v>
      </c>
      <c r="L219" s="9">
        <v>0</v>
      </c>
      <c r="M219" s="9">
        <v>0</v>
      </c>
      <c r="N219" s="9">
        <v>0</v>
      </c>
      <c r="O219" s="9">
        <v>0</v>
      </c>
      <c r="P219" s="9">
        <v>0</v>
      </c>
      <c r="Q219" s="9">
        <v>0</v>
      </c>
      <c r="R219" s="9">
        <v>0</v>
      </c>
      <c r="S219" s="9">
        <v>0</v>
      </c>
      <c r="T219" s="9">
        <v>0</v>
      </c>
      <c r="U219" s="33">
        <v>0</v>
      </c>
      <c r="V219" s="9">
        <v>0</v>
      </c>
      <c r="W219" s="9">
        <v>0</v>
      </c>
      <c r="X219" s="9">
        <v>0</v>
      </c>
      <c r="Y219" s="9">
        <v>0</v>
      </c>
      <c r="Z219" s="9">
        <v>1850</v>
      </c>
      <c r="AA219" s="9">
        <v>0</v>
      </c>
      <c r="AB219" s="9">
        <v>0</v>
      </c>
      <c r="AC219" s="9">
        <v>0</v>
      </c>
      <c r="AD219" s="53" t="e">
        <f>#REF!*D219</f>
        <v>#REF!</v>
      </c>
      <c r="AE219" s="53" t="e">
        <f>AD219-#REF!</f>
        <v>#REF!</v>
      </c>
      <c r="AF219" s="9"/>
      <c r="AG219" s="33" t="e">
        <f>#REF!-D219</f>
        <v>#REF!</v>
      </c>
      <c r="AH219" s="9"/>
      <c r="AI219" s="9"/>
      <c r="AJ219" s="9"/>
      <c r="AK219" s="9"/>
    </row>
    <row r="220" spans="1:37" s="12" customFormat="1" ht="22.8" outlineLevel="1" x14ac:dyDescent="0.2">
      <c r="A220" s="61" t="s">
        <v>825</v>
      </c>
      <c r="B220" s="14" t="s">
        <v>1047</v>
      </c>
      <c r="C220" s="9" t="s">
        <v>48</v>
      </c>
      <c r="D220" s="25">
        <f>SUM(G220:AC220)</f>
        <v>370</v>
      </c>
      <c r="E220" s="54"/>
      <c r="F220" s="9"/>
      <c r="G220" s="33">
        <v>0</v>
      </c>
      <c r="H220" s="33">
        <v>0</v>
      </c>
      <c r="I220" s="9">
        <v>260</v>
      </c>
      <c r="J220" s="9">
        <v>0</v>
      </c>
      <c r="K220" s="9">
        <v>0</v>
      </c>
      <c r="L220" s="9">
        <v>0</v>
      </c>
      <c r="M220" s="9">
        <v>0</v>
      </c>
      <c r="N220" s="9">
        <v>0</v>
      </c>
      <c r="O220" s="9">
        <v>0</v>
      </c>
      <c r="P220" s="9">
        <v>0</v>
      </c>
      <c r="Q220" s="9">
        <v>0</v>
      </c>
      <c r="R220" s="9">
        <v>0</v>
      </c>
      <c r="S220" s="9">
        <v>0</v>
      </c>
      <c r="T220" s="9">
        <v>0</v>
      </c>
      <c r="U220" s="33">
        <v>0</v>
      </c>
      <c r="V220" s="9">
        <v>0</v>
      </c>
      <c r="W220" s="9">
        <v>0</v>
      </c>
      <c r="X220" s="9">
        <v>0</v>
      </c>
      <c r="Y220" s="9">
        <v>0</v>
      </c>
      <c r="Z220" s="9">
        <v>110</v>
      </c>
      <c r="AA220" s="9">
        <v>0</v>
      </c>
      <c r="AB220" s="9">
        <v>0</v>
      </c>
      <c r="AC220" s="9">
        <v>0</v>
      </c>
      <c r="AD220" s="53" t="e">
        <f>#REF!*D220</f>
        <v>#REF!</v>
      </c>
      <c r="AE220" s="53" t="e">
        <f>AD220-#REF!</f>
        <v>#REF!</v>
      </c>
      <c r="AF220" s="9"/>
      <c r="AG220" s="33" t="e">
        <f>#REF!-D220</f>
        <v>#REF!</v>
      </c>
      <c r="AH220" s="9"/>
      <c r="AI220" s="9"/>
      <c r="AJ220" s="9"/>
      <c r="AK220" s="9"/>
    </row>
    <row r="221" spans="1:37" s="12" customFormat="1" ht="22.8" outlineLevel="1" x14ac:dyDescent="0.2">
      <c r="A221" s="61" t="s">
        <v>826</v>
      </c>
      <c r="B221" s="14" t="s">
        <v>1051</v>
      </c>
      <c r="C221" s="9" t="s">
        <v>48</v>
      </c>
      <c r="D221" s="25">
        <f>SUM(G221:AC221)</f>
        <v>70</v>
      </c>
      <c r="E221" s="54"/>
      <c r="F221" s="9"/>
      <c r="G221" s="33">
        <v>0</v>
      </c>
      <c r="H221" s="33">
        <v>0</v>
      </c>
      <c r="I221" s="9">
        <v>0</v>
      </c>
      <c r="J221" s="9">
        <v>0</v>
      </c>
      <c r="K221" s="9">
        <v>0</v>
      </c>
      <c r="L221" s="9">
        <v>0</v>
      </c>
      <c r="M221" s="9">
        <v>0</v>
      </c>
      <c r="N221" s="9">
        <v>0</v>
      </c>
      <c r="O221" s="9">
        <v>0</v>
      </c>
      <c r="P221" s="9">
        <v>0</v>
      </c>
      <c r="Q221" s="9">
        <v>0</v>
      </c>
      <c r="R221" s="9">
        <v>70</v>
      </c>
      <c r="S221" s="9">
        <v>0</v>
      </c>
      <c r="T221" s="9">
        <v>0</v>
      </c>
      <c r="U221" s="33">
        <v>0</v>
      </c>
      <c r="V221" s="9">
        <v>0</v>
      </c>
      <c r="W221" s="9">
        <v>0</v>
      </c>
      <c r="X221" s="9">
        <v>0</v>
      </c>
      <c r="Y221" s="9">
        <v>0</v>
      </c>
      <c r="Z221" s="9">
        <v>0</v>
      </c>
      <c r="AA221" s="9">
        <v>0</v>
      </c>
      <c r="AB221" s="9">
        <v>0</v>
      </c>
      <c r="AC221" s="9">
        <v>0</v>
      </c>
      <c r="AD221" s="53" t="e">
        <f>#REF!*D221</f>
        <v>#REF!</v>
      </c>
      <c r="AE221" s="53" t="e">
        <f>AD221-#REF!</f>
        <v>#REF!</v>
      </c>
      <c r="AF221" s="9"/>
      <c r="AG221" s="33" t="e">
        <f>#REF!-D221</f>
        <v>#REF!</v>
      </c>
      <c r="AH221" s="9"/>
      <c r="AI221" s="9"/>
      <c r="AJ221" s="9"/>
      <c r="AK221" s="9"/>
    </row>
    <row r="222" spans="1:37" s="12" customFormat="1" ht="10.199999999999999" outlineLevel="1" x14ac:dyDescent="0.2">
      <c r="A222" s="61"/>
      <c r="B222" s="14"/>
      <c r="C222" s="9"/>
      <c r="D222" s="25"/>
      <c r="E222" s="54"/>
      <c r="F222" s="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53" t="e">
        <f>#REF!*D222</f>
        <v>#REF!</v>
      </c>
      <c r="AE222" s="53" t="e">
        <f>AD222-#REF!</f>
        <v>#REF!</v>
      </c>
      <c r="AF222" s="9"/>
      <c r="AG222" s="33" t="e">
        <f>#REF!-D222</f>
        <v>#REF!</v>
      </c>
      <c r="AH222" s="9"/>
      <c r="AI222" s="9"/>
      <c r="AJ222" s="9"/>
      <c r="AK222" s="9"/>
    </row>
    <row r="223" spans="1:37" x14ac:dyDescent="0.25">
      <c r="A223" s="18" t="s">
        <v>25</v>
      </c>
      <c r="B223" s="35" t="s">
        <v>2800</v>
      </c>
      <c r="C223" s="18" t="s">
        <v>41</v>
      </c>
      <c r="D223" s="52" t="e">
        <f>#REF!/#REF!*100</f>
        <v>#REF!</v>
      </c>
      <c r="E223" s="54"/>
      <c r="H223" s="8"/>
      <c r="I223" s="8"/>
      <c r="J223" s="8"/>
      <c r="K223" s="8"/>
      <c r="L223" s="8"/>
      <c r="M223" s="8"/>
      <c r="N223" s="8"/>
      <c r="O223" s="8"/>
      <c r="P223" s="8"/>
      <c r="Q223" s="8"/>
      <c r="R223" s="8"/>
      <c r="S223" s="8"/>
      <c r="T223" s="8"/>
      <c r="U223" s="8"/>
      <c r="V223" s="8"/>
      <c r="W223" s="8"/>
      <c r="X223" s="8"/>
      <c r="Y223" s="8"/>
      <c r="Z223" s="8"/>
      <c r="AA223" s="8"/>
      <c r="AB223" s="214" t="s">
        <v>375</v>
      </c>
      <c r="AC223" s="8"/>
      <c r="AD223" s="53" t="e">
        <f>#REF!*D223</f>
        <v>#REF!</v>
      </c>
      <c r="AE223" s="53" t="e">
        <f>AD223-#REF!</f>
        <v>#REF!</v>
      </c>
      <c r="AG223" s="33" t="e">
        <f>#REF!-D223</f>
        <v>#REF!</v>
      </c>
    </row>
    <row r="224" spans="1:37" s="12" customFormat="1" ht="20.399999999999999" outlineLevel="1" x14ac:dyDescent="0.2">
      <c r="A224" s="61" t="s">
        <v>827</v>
      </c>
      <c r="B224" s="14" t="s">
        <v>471</v>
      </c>
      <c r="C224" s="9" t="s">
        <v>47</v>
      </c>
      <c r="D224" s="25">
        <f t="shared" ref="D224:D236" si="79">SUM(G224:AC224)</f>
        <v>75</v>
      </c>
      <c r="E224" s="54"/>
      <c r="F224" s="78"/>
      <c r="G224" s="33">
        <v>0</v>
      </c>
      <c r="H224" s="33">
        <v>4</v>
      </c>
      <c r="I224" s="9">
        <v>0</v>
      </c>
      <c r="J224" s="9">
        <v>0</v>
      </c>
      <c r="K224" s="9">
        <v>2</v>
      </c>
      <c r="L224" s="9">
        <v>3</v>
      </c>
      <c r="M224" s="9">
        <v>3</v>
      </c>
      <c r="N224" s="9">
        <v>3</v>
      </c>
      <c r="O224" s="9">
        <v>6</v>
      </c>
      <c r="P224" s="9">
        <v>7</v>
      </c>
      <c r="Q224" s="9">
        <v>7</v>
      </c>
      <c r="R224" s="9">
        <v>0</v>
      </c>
      <c r="S224" s="9">
        <v>0</v>
      </c>
      <c r="T224" s="9">
        <v>0</v>
      </c>
      <c r="U224" s="33">
        <v>9</v>
      </c>
      <c r="V224" s="9">
        <v>8</v>
      </c>
      <c r="W224" s="9">
        <v>3</v>
      </c>
      <c r="X224" s="9">
        <v>3</v>
      </c>
      <c r="Y224" s="9">
        <v>6</v>
      </c>
      <c r="Z224" s="9">
        <v>7</v>
      </c>
      <c r="AA224" s="9">
        <v>3</v>
      </c>
      <c r="AB224" s="9">
        <v>1</v>
      </c>
      <c r="AC224" s="9">
        <v>0</v>
      </c>
      <c r="AD224" s="53" t="e">
        <f>#REF!*D224</f>
        <v>#REF!</v>
      </c>
      <c r="AE224" s="53" t="e">
        <f>AD224-#REF!</f>
        <v>#REF!</v>
      </c>
      <c r="AF224" s="9"/>
      <c r="AG224" s="33" t="e">
        <f>#REF!-D224</f>
        <v>#REF!</v>
      </c>
      <c r="AH224" s="9"/>
      <c r="AI224" s="9"/>
      <c r="AJ224" s="9"/>
      <c r="AK224" s="9"/>
    </row>
    <row r="225" spans="1:37" s="12" customFormat="1" ht="20.399999999999999" outlineLevel="1" x14ac:dyDescent="0.2">
      <c r="A225" s="61" t="s">
        <v>828</v>
      </c>
      <c r="B225" s="14" t="s">
        <v>472</v>
      </c>
      <c r="C225" s="9" t="s">
        <v>47</v>
      </c>
      <c r="D225" s="25">
        <f t="shared" si="79"/>
        <v>500</v>
      </c>
      <c r="E225" s="54"/>
      <c r="F225" s="78"/>
      <c r="G225" s="33">
        <v>0</v>
      </c>
      <c r="H225" s="33">
        <v>57</v>
      </c>
      <c r="I225" s="9">
        <f>55-10</f>
        <v>45</v>
      </c>
      <c r="J225" s="9">
        <f>82-24</f>
        <v>58</v>
      </c>
      <c r="K225" s="9">
        <v>30</v>
      </c>
      <c r="L225" s="9">
        <v>37</v>
      </c>
      <c r="M225" s="9">
        <v>10</v>
      </c>
      <c r="N225" s="9">
        <v>10</v>
      </c>
      <c r="O225" s="9">
        <v>19</v>
      </c>
      <c r="P225" s="9">
        <v>24</v>
      </c>
      <c r="Q225" s="9">
        <v>24</v>
      </c>
      <c r="R225" s="9">
        <v>0</v>
      </c>
      <c r="S225" s="9">
        <v>0</v>
      </c>
      <c r="T225" s="9">
        <v>0</v>
      </c>
      <c r="U225" s="33">
        <v>48</v>
      </c>
      <c r="V225" s="9">
        <v>45</v>
      </c>
      <c r="W225" s="9">
        <v>20</v>
      </c>
      <c r="X225" s="9">
        <v>11</v>
      </c>
      <c r="Y225" s="9">
        <v>20</v>
      </c>
      <c r="Z225" s="9">
        <v>26</v>
      </c>
      <c r="AA225" s="9">
        <v>11</v>
      </c>
      <c r="AB225" s="9">
        <v>5</v>
      </c>
      <c r="AC225" s="9">
        <v>0</v>
      </c>
      <c r="AD225" s="53" t="e">
        <f>#REF!*D225</f>
        <v>#REF!</v>
      </c>
      <c r="AE225" s="53" t="e">
        <f>AD225-#REF!</f>
        <v>#REF!</v>
      </c>
      <c r="AF225" s="9"/>
      <c r="AG225" s="33" t="e">
        <f>#REF!-D225</f>
        <v>#REF!</v>
      </c>
      <c r="AH225" s="9"/>
      <c r="AI225" s="9"/>
      <c r="AJ225" s="9"/>
      <c r="AK225" s="9"/>
    </row>
    <row r="226" spans="1:37" s="12" customFormat="1" ht="30.6" outlineLevel="1" x14ac:dyDescent="0.2">
      <c r="A226" s="61" t="s">
        <v>829</v>
      </c>
      <c r="B226" s="14" t="s">
        <v>476</v>
      </c>
      <c r="C226" s="9" t="s">
        <v>47</v>
      </c>
      <c r="D226" s="25">
        <f t="shared" si="79"/>
        <v>49</v>
      </c>
      <c r="E226" s="54"/>
      <c r="F226" s="78"/>
      <c r="G226" s="33">
        <v>0</v>
      </c>
      <c r="H226" s="33">
        <v>11</v>
      </c>
      <c r="I226" s="9">
        <v>0</v>
      </c>
      <c r="J226" s="9">
        <v>3</v>
      </c>
      <c r="K226" s="9">
        <v>12</v>
      </c>
      <c r="L226" s="9">
        <v>7</v>
      </c>
      <c r="M226" s="9">
        <v>0</v>
      </c>
      <c r="N226" s="9">
        <v>0</v>
      </c>
      <c r="O226" s="9">
        <v>0</v>
      </c>
      <c r="P226" s="9">
        <v>0</v>
      </c>
      <c r="Q226" s="9">
        <v>0</v>
      </c>
      <c r="R226" s="9">
        <v>0</v>
      </c>
      <c r="S226" s="9">
        <v>0</v>
      </c>
      <c r="T226" s="9">
        <v>0</v>
      </c>
      <c r="U226" s="33">
        <v>0</v>
      </c>
      <c r="V226" s="9">
        <v>0</v>
      </c>
      <c r="W226" s="9">
        <v>2</v>
      </c>
      <c r="X226" s="9">
        <v>7</v>
      </c>
      <c r="Y226" s="9">
        <v>7</v>
      </c>
      <c r="Z226" s="9">
        <v>0</v>
      </c>
      <c r="AA226" s="9">
        <v>0</v>
      </c>
      <c r="AB226" s="9">
        <v>0</v>
      </c>
      <c r="AC226" s="9">
        <v>0</v>
      </c>
      <c r="AD226" s="53" t="e">
        <f>#REF!*D226</f>
        <v>#REF!</v>
      </c>
      <c r="AE226" s="53" t="e">
        <f>AD226-#REF!</f>
        <v>#REF!</v>
      </c>
      <c r="AF226" s="9"/>
      <c r="AG226" s="33" t="e">
        <f>#REF!-D226</f>
        <v>#REF!</v>
      </c>
      <c r="AH226" s="9"/>
      <c r="AI226" s="9"/>
      <c r="AJ226" s="9"/>
      <c r="AK226" s="9"/>
    </row>
    <row r="227" spans="1:37" s="12" customFormat="1" ht="27.75" customHeight="1" outlineLevel="1" x14ac:dyDescent="0.2">
      <c r="A227" s="61" t="s">
        <v>830</v>
      </c>
      <c r="B227" s="47" t="s">
        <v>473</v>
      </c>
      <c r="C227" s="9" t="s">
        <v>47</v>
      </c>
      <c r="D227" s="25">
        <f t="shared" si="79"/>
        <v>4</v>
      </c>
      <c r="E227" s="54"/>
      <c r="F227" s="78"/>
      <c r="G227" s="33">
        <v>0</v>
      </c>
      <c r="H227" s="33">
        <v>0</v>
      </c>
      <c r="I227" s="9">
        <v>0</v>
      </c>
      <c r="J227" s="9">
        <v>0</v>
      </c>
      <c r="K227" s="9">
        <v>0</v>
      </c>
      <c r="L227" s="9">
        <v>0</v>
      </c>
      <c r="M227" s="9">
        <v>0</v>
      </c>
      <c r="N227" s="9">
        <v>0</v>
      </c>
      <c r="O227" s="9">
        <v>0</v>
      </c>
      <c r="P227" s="9">
        <v>2</v>
      </c>
      <c r="Q227" s="9">
        <v>2</v>
      </c>
      <c r="R227" s="9">
        <v>0</v>
      </c>
      <c r="S227" s="9">
        <v>0</v>
      </c>
      <c r="T227" s="9">
        <v>0</v>
      </c>
      <c r="U227" s="33">
        <v>0</v>
      </c>
      <c r="V227" s="9">
        <v>0</v>
      </c>
      <c r="W227" s="9">
        <v>0</v>
      </c>
      <c r="X227" s="9">
        <v>0</v>
      </c>
      <c r="Y227" s="9">
        <v>0</v>
      </c>
      <c r="Z227" s="9">
        <v>0</v>
      </c>
      <c r="AA227" s="9">
        <v>0</v>
      </c>
      <c r="AB227" s="9">
        <v>0</v>
      </c>
      <c r="AC227" s="9">
        <v>0</v>
      </c>
      <c r="AD227" s="53" t="e">
        <f>#REF!*D227</f>
        <v>#REF!</v>
      </c>
      <c r="AE227" s="53" t="e">
        <f>AD227-#REF!</f>
        <v>#REF!</v>
      </c>
      <c r="AF227" s="9"/>
      <c r="AG227" s="33" t="e">
        <f>#REF!-D227</f>
        <v>#REF!</v>
      </c>
      <c r="AH227" s="9"/>
      <c r="AI227" s="9"/>
      <c r="AJ227" s="9"/>
      <c r="AK227" s="9"/>
    </row>
    <row r="228" spans="1:37" s="17" customFormat="1" ht="30.6" outlineLevel="1" x14ac:dyDescent="0.2">
      <c r="A228" s="61" t="s">
        <v>831</v>
      </c>
      <c r="B228" s="14" t="s">
        <v>475</v>
      </c>
      <c r="C228" s="8" t="s">
        <v>47</v>
      </c>
      <c r="D228" s="25">
        <f t="shared" si="79"/>
        <v>1</v>
      </c>
      <c r="E228" s="54"/>
      <c r="F228" s="9"/>
      <c r="G228" s="33">
        <v>0</v>
      </c>
      <c r="H228" s="33">
        <v>0</v>
      </c>
      <c r="I228" s="9">
        <v>1</v>
      </c>
      <c r="J228" s="9">
        <v>0</v>
      </c>
      <c r="K228" s="9">
        <v>0</v>
      </c>
      <c r="L228" s="9">
        <v>0</v>
      </c>
      <c r="M228" s="9">
        <v>0</v>
      </c>
      <c r="N228" s="9">
        <v>0</v>
      </c>
      <c r="O228" s="9">
        <v>0</v>
      </c>
      <c r="P228" s="9">
        <v>0</v>
      </c>
      <c r="Q228" s="9">
        <v>0</v>
      </c>
      <c r="R228" s="9">
        <v>0</v>
      </c>
      <c r="S228" s="9">
        <v>0</v>
      </c>
      <c r="T228" s="9">
        <v>0</v>
      </c>
      <c r="U228" s="33">
        <v>0</v>
      </c>
      <c r="V228" s="9">
        <v>0</v>
      </c>
      <c r="W228" s="9">
        <v>0</v>
      </c>
      <c r="X228" s="9">
        <v>0</v>
      </c>
      <c r="Y228" s="9">
        <v>0</v>
      </c>
      <c r="Z228" s="9">
        <v>0</v>
      </c>
      <c r="AA228" s="9">
        <v>0</v>
      </c>
      <c r="AB228" s="9">
        <v>0</v>
      </c>
      <c r="AC228" s="9">
        <v>0</v>
      </c>
      <c r="AD228" s="53" t="e">
        <f>#REF!*D228</f>
        <v>#REF!</v>
      </c>
      <c r="AE228" s="53" t="e">
        <f>AD228-#REF!</f>
        <v>#REF!</v>
      </c>
      <c r="AF228" s="8"/>
      <c r="AG228" s="33" t="e">
        <f>#REF!-D228</f>
        <v>#REF!</v>
      </c>
      <c r="AH228" s="8"/>
      <c r="AI228" s="8"/>
      <c r="AJ228" s="8"/>
      <c r="AK228" s="8"/>
    </row>
    <row r="229" spans="1:37" s="12" customFormat="1" ht="20.399999999999999" outlineLevel="1" x14ac:dyDescent="0.2">
      <c r="A229" s="61" t="s">
        <v>832</v>
      </c>
      <c r="B229" s="14" t="s">
        <v>441</v>
      </c>
      <c r="C229" s="9" t="s">
        <v>48</v>
      </c>
      <c r="D229" s="25">
        <f t="shared" si="79"/>
        <v>255</v>
      </c>
      <c r="E229" s="54"/>
      <c r="F229" s="78"/>
      <c r="G229" s="33">
        <v>0</v>
      </c>
      <c r="H229" s="33">
        <v>51</v>
      </c>
      <c r="I229" s="9">
        <f>51-9</f>
        <v>42</v>
      </c>
      <c r="J229" s="9">
        <v>24</v>
      </c>
      <c r="K229" s="9">
        <f>51-18</f>
        <v>33</v>
      </c>
      <c r="L229" s="9">
        <v>0</v>
      </c>
      <c r="M229" s="9">
        <v>0</v>
      </c>
      <c r="N229" s="9">
        <v>0</v>
      </c>
      <c r="O229" s="9">
        <v>0</v>
      </c>
      <c r="P229" s="9">
        <v>0</v>
      </c>
      <c r="Q229" s="9">
        <v>0</v>
      </c>
      <c r="R229" s="9">
        <v>0</v>
      </c>
      <c r="S229" s="9">
        <v>0</v>
      </c>
      <c r="T229" s="9">
        <v>0</v>
      </c>
      <c r="U229" s="33">
        <v>0</v>
      </c>
      <c r="V229" s="9">
        <v>93</v>
      </c>
      <c r="W229" s="9">
        <v>12</v>
      </c>
      <c r="X229" s="9">
        <v>0</v>
      </c>
      <c r="Y229" s="9">
        <v>0</v>
      </c>
      <c r="Z229" s="9">
        <v>0</v>
      </c>
      <c r="AA229" s="9">
        <v>0</v>
      </c>
      <c r="AB229" s="9">
        <v>0</v>
      </c>
      <c r="AC229" s="9">
        <v>0</v>
      </c>
      <c r="AD229" s="53" t="e">
        <f>#REF!*D229</f>
        <v>#REF!</v>
      </c>
      <c r="AE229" s="53" t="e">
        <f>AD229-#REF!</f>
        <v>#REF!</v>
      </c>
      <c r="AF229" s="9"/>
      <c r="AG229" s="33" t="e">
        <f>#REF!-D229</f>
        <v>#REF!</v>
      </c>
      <c r="AH229" s="9"/>
      <c r="AI229" s="9"/>
      <c r="AJ229" s="9"/>
      <c r="AK229" s="9"/>
    </row>
    <row r="230" spans="1:37" s="12" customFormat="1" ht="20.399999999999999" outlineLevel="1" x14ac:dyDescent="0.2">
      <c r="A230" s="61" t="s">
        <v>833</v>
      </c>
      <c r="B230" s="14" t="s">
        <v>442</v>
      </c>
      <c r="C230" s="9" t="s">
        <v>48</v>
      </c>
      <c r="D230" s="25">
        <f t="shared" si="79"/>
        <v>255</v>
      </c>
      <c r="E230" s="54"/>
      <c r="F230" s="78"/>
      <c r="G230" s="33">
        <v>0</v>
      </c>
      <c r="H230" s="33">
        <v>51</v>
      </c>
      <c r="I230" s="9">
        <f>51-9</f>
        <v>42</v>
      </c>
      <c r="J230" s="9">
        <v>24</v>
      </c>
      <c r="K230" s="9">
        <v>33</v>
      </c>
      <c r="L230" s="9">
        <v>0</v>
      </c>
      <c r="M230" s="9">
        <v>0</v>
      </c>
      <c r="N230" s="9">
        <v>0</v>
      </c>
      <c r="O230" s="9">
        <v>0</v>
      </c>
      <c r="P230" s="9">
        <v>0</v>
      </c>
      <c r="Q230" s="9">
        <v>0</v>
      </c>
      <c r="R230" s="9">
        <v>0</v>
      </c>
      <c r="S230" s="9">
        <v>0</v>
      </c>
      <c r="T230" s="9">
        <v>0</v>
      </c>
      <c r="U230" s="33">
        <v>0</v>
      </c>
      <c r="V230" s="9">
        <v>93</v>
      </c>
      <c r="W230" s="9">
        <v>12</v>
      </c>
      <c r="X230" s="9">
        <v>0</v>
      </c>
      <c r="Y230" s="9">
        <v>0</v>
      </c>
      <c r="Z230" s="9">
        <v>0</v>
      </c>
      <c r="AA230" s="9">
        <v>0</v>
      </c>
      <c r="AB230" s="9">
        <v>0</v>
      </c>
      <c r="AC230" s="9">
        <v>0</v>
      </c>
      <c r="AD230" s="53" t="e">
        <f>#REF!*D230</f>
        <v>#REF!</v>
      </c>
      <c r="AE230" s="53" t="e">
        <f>AD230-#REF!</f>
        <v>#REF!</v>
      </c>
      <c r="AF230" s="9"/>
      <c r="AG230" s="33" t="e">
        <f>#REF!-D230</f>
        <v>#REF!</v>
      </c>
      <c r="AH230" s="9"/>
      <c r="AI230" s="9"/>
      <c r="AJ230" s="9"/>
      <c r="AK230" s="9"/>
    </row>
    <row r="231" spans="1:37" s="12" customFormat="1" ht="20.399999999999999" outlineLevel="1" x14ac:dyDescent="0.2">
      <c r="A231" s="61" t="s">
        <v>834</v>
      </c>
      <c r="B231" s="14" t="s">
        <v>443</v>
      </c>
      <c r="C231" s="9" t="s">
        <v>47</v>
      </c>
      <c r="D231" s="25">
        <f t="shared" si="79"/>
        <v>29</v>
      </c>
      <c r="E231" s="54"/>
      <c r="F231" s="78"/>
      <c r="G231" s="33">
        <v>0</v>
      </c>
      <c r="H231" s="33">
        <v>0</v>
      </c>
      <c r="I231" s="9">
        <v>3</v>
      </c>
      <c r="J231" s="9">
        <v>3</v>
      </c>
      <c r="K231" s="9">
        <v>3</v>
      </c>
      <c r="L231" s="9">
        <v>0</v>
      </c>
      <c r="M231" s="9">
        <v>0</v>
      </c>
      <c r="N231" s="9">
        <v>0</v>
      </c>
      <c r="O231" s="9">
        <v>0</v>
      </c>
      <c r="P231" s="9">
        <v>0</v>
      </c>
      <c r="Q231" s="9">
        <v>0</v>
      </c>
      <c r="R231" s="9">
        <v>0</v>
      </c>
      <c r="S231" s="9">
        <v>0</v>
      </c>
      <c r="T231" s="9">
        <v>0</v>
      </c>
      <c r="U231" s="33">
        <v>0</v>
      </c>
      <c r="V231" s="9">
        <v>12</v>
      </c>
      <c r="W231" s="9">
        <v>8</v>
      </c>
      <c r="X231" s="9">
        <v>0</v>
      </c>
      <c r="Y231" s="9">
        <v>0</v>
      </c>
      <c r="Z231" s="9">
        <v>0</v>
      </c>
      <c r="AA231" s="9">
        <v>0</v>
      </c>
      <c r="AB231" s="9">
        <v>0</v>
      </c>
      <c r="AC231" s="9">
        <v>0</v>
      </c>
      <c r="AD231" s="53" t="e">
        <f>#REF!*D231</f>
        <v>#REF!</v>
      </c>
      <c r="AE231" s="53" t="e">
        <f>AD231-#REF!</f>
        <v>#REF!</v>
      </c>
      <c r="AF231" s="9"/>
      <c r="AG231" s="33" t="e">
        <f>#REF!-D231</f>
        <v>#REF!</v>
      </c>
      <c r="AH231" s="9"/>
      <c r="AI231" s="9"/>
      <c r="AJ231" s="9"/>
      <c r="AK231" s="9"/>
    </row>
    <row r="232" spans="1:37" s="12" customFormat="1" ht="20.399999999999999" outlineLevel="1" x14ac:dyDescent="0.2">
      <c r="A232" s="61" t="s">
        <v>835</v>
      </c>
      <c r="B232" s="14" t="s">
        <v>478</v>
      </c>
      <c r="C232" s="9" t="s">
        <v>47</v>
      </c>
      <c r="D232" s="25">
        <f t="shared" si="79"/>
        <v>15</v>
      </c>
      <c r="E232" s="54"/>
      <c r="F232" s="78"/>
      <c r="G232" s="33">
        <v>0</v>
      </c>
      <c r="H232" s="33">
        <v>4</v>
      </c>
      <c r="I232" s="9">
        <v>0</v>
      </c>
      <c r="J232" s="9">
        <v>0</v>
      </c>
      <c r="K232" s="9">
        <v>1</v>
      </c>
      <c r="L232" s="9">
        <v>0</v>
      </c>
      <c r="M232" s="9">
        <v>0</v>
      </c>
      <c r="N232" s="9">
        <v>0</v>
      </c>
      <c r="O232" s="9">
        <v>0</v>
      </c>
      <c r="P232" s="9">
        <v>0</v>
      </c>
      <c r="Q232" s="9">
        <v>0</v>
      </c>
      <c r="R232" s="9">
        <v>0</v>
      </c>
      <c r="S232" s="9">
        <v>0</v>
      </c>
      <c r="T232" s="9">
        <v>0</v>
      </c>
      <c r="U232" s="33">
        <v>0</v>
      </c>
      <c r="V232" s="9">
        <v>6</v>
      </c>
      <c r="W232" s="9">
        <v>4</v>
      </c>
      <c r="X232" s="9">
        <v>0</v>
      </c>
      <c r="Y232" s="9">
        <v>0</v>
      </c>
      <c r="Z232" s="9">
        <v>0</v>
      </c>
      <c r="AA232" s="9">
        <v>0</v>
      </c>
      <c r="AB232" s="9">
        <v>0</v>
      </c>
      <c r="AC232" s="9">
        <v>0</v>
      </c>
      <c r="AD232" s="53" t="e">
        <f>#REF!*D232</f>
        <v>#REF!</v>
      </c>
      <c r="AE232" s="53" t="e">
        <f>AD232-#REF!</f>
        <v>#REF!</v>
      </c>
      <c r="AF232" s="9"/>
      <c r="AG232" s="33" t="e">
        <f>#REF!-D232</f>
        <v>#REF!</v>
      </c>
      <c r="AH232" s="9"/>
      <c r="AI232" s="9"/>
      <c r="AJ232" s="9"/>
      <c r="AK232" s="9"/>
    </row>
    <row r="233" spans="1:37" s="12" customFormat="1" ht="10.199999999999999" outlineLevel="1" x14ac:dyDescent="0.2">
      <c r="A233" s="61" t="s">
        <v>836</v>
      </c>
      <c r="B233" s="14" t="s">
        <v>447</v>
      </c>
      <c r="C233" s="9" t="s">
        <v>47</v>
      </c>
      <c r="D233" s="25">
        <f t="shared" si="79"/>
        <v>25</v>
      </c>
      <c r="E233" s="54"/>
      <c r="F233" s="78"/>
      <c r="G233" s="33">
        <v>0</v>
      </c>
      <c r="H233" s="33">
        <v>4</v>
      </c>
      <c r="I233" s="9">
        <v>3</v>
      </c>
      <c r="J233" s="9">
        <v>3</v>
      </c>
      <c r="K233" s="9">
        <v>3</v>
      </c>
      <c r="L233" s="9">
        <v>0</v>
      </c>
      <c r="M233" s="9">
        <v>0</v>
      </c>
      <c r="N233" s="9">
        <v>0</v>
      </c>
      <c r="O233" s="9">
        <v>0</v>
      </c>
      <c r="P233" s="9">
        <v>0</v>
      </c>
      <c r="Q233" s="9">
        <v>0</v>
      </c>
      <c r="R233" s="9">
        <v>0</v>
      </c>
      <c r="S233" s="9">
        <v>0</v>
      </c>
      <c r="T233" s="9">
        <v>0</v>
      </c>
      <c r="U233" s="33">
        <v>0</v>
      </c>
      <c r="V233" s="9">
        <v>10</v>
      </c>
      <c r="W233" s="9">
        <v>2</v>
      </c>
      <c r="X233" s="9">
        <v>0</v>
      </c>
      <c r="Y233" s="9">
        <v>0</v>
      </c>
      <c r="Z233" s="9">
        <v>0</v>
      </c>
      <c r="AA233" s="9">
        <v>0</v>
      </c>
      <c r="AB233" s="9">
        <v>0</v>
      </c>
      <c r="AC233" s="9">
        <v>0</v>
      </c>
      <c r="AD233" s="53" t="e">
        <f>#REF!*D233</f>
        <v>#REF!</v>
      </c>
      <c r="AE233" s="53" t="e">
        <f>AD233-#REF!</f>
        <v>#REF!</v>
      </c>
      <c r="AF233" s="9"/>
      <c r="AG233" s="33" t="e">
        <f>#REF!-D233</f>
        <v>#REF!</v>
      </c>
      <c r="AH233" s="9"/>
      <c r="AI233" s="9"/>
      <c r="AJ233" s="9"/>
      <c r="AK233" s="9"/>
    </row>
    <row r="234" spans="1:37" s="12" customFormat="1" ht="20.399999999999999" outlineLevel="1" x14ac:dyDescent="0.2">
      <c r="A234" s="61" t="s">
        <v>837</v>
      </c>
      <c r="B234" s="14" t="s">
        <v>444</v>
      </c>
      <c r="C234" s="9" t="s">
        <v>47</v>
      </c>
      <c r="D234" s="25">
        <f t="shared" si="79"/>
        <v>36</v>
      </c>
      <c r="E234" s="54"/>
      <c r="F234" s="78"/>
      <c r="G234" s="33">
        <v>0</v>
      </c>
      <c r="H234" s="33">
        <v>4</v>
      </c>
      <c r="I234" s="9">
        <v>7</v>
      </c>
      <c r="J234" s="9">
        <v>4</v>
      </c>
      <c r="K234" s="9">
        <v>5</v>
      </c>
      <c r="L234" s="9">
        <v>0</v>
      </c>
      <c r="M234" s="9">
        <v>0</v>
      </c>
      <c r="N234" s="9">
        <v>0</v>
      </c>
      <c r="O234" s="9">
        <v>0</v>
      </c>
      <c r="P234" s="9">
        <v>0</v>
      </c>
      <c r="Q234" s="9">
        <v>0</v>
      </c>
      <c r="R234" s="9">
        <v>0</v>
      </c>
      <c r="S234" s="9">
        <v>0</v>
      </c>
      <c r="T234" s="9">
        <v>0</v>
      </c>
      <c r="U234" s="33">
        <v>0</v>
      </c>
      <c r="V234" s="9">
        <v>12</v>
      </c>
      <c r="W234" s="9">
        <v>4</v>
      </c>
      <c r="X234" s="9">
        <v>0</v>
      </c>
      <c r="Y234" s="9">
        <v>0</v>
      </c>
      <c r="Z234" s="9">
        <v>0</v>
      </c>
      <c r="AA234" s="9">
        <v>0</v>
      </c>
      <c r="AB234" s="9">
        <v>0</v>
      </c>
      <c r="AC234" s="9">
        <v>0</v>
      </c>
      <c r="AD234" s="53" t="e">
        <f>#REF!*D234</f>
        <v>#REF!</v>
      </c>
      <c r="AE234" s="53" t="e">
        <f>AD234-#REF!</f>
        <v>#REF!</v>
      </c>
      <c r="AF234" s="9"/>
      <c r="AG234" s="33" t="e">
        <f>#REF!-D234</f>
        <v>#REF!</v>
      </c>
      <c r="AH234" s="9"/>
      <c r="AI234" s="9"/>
      <c r="AJ234" s="9"/>
      <c r="AK234" s="9"/>
    </row>
    <row r="235" spans="1:37" s="12" customFormat="1" ht="20.399999999999999" outlineLevel="1" x14ac:dyDescent="0.2">
      <c r="A235" s="61" t="s">
        <v>838</v>
      </c>
      <c r="B235" s="14" t="s">
        <v>445</v>
      </c>
      <c r="C235" s="9" t="s">
        <v>47</v>
      </c>
      <c r="D235" s="25">
        <f t="shared" si="79"/>
        <v>85</v>
      </c>
      <c r="E235" s="54"/>
      <c r="F235" s="78"/>
      <c r="G235" s="33">
        <v>0</v>
      </c>
      <c r="H235" s="33">
        <v>30</v>
      </c>
      <c r="I235" s="9">
        <f>24-7</f>
        <v>17</v>
      </c>
      <c r="J235" s="9">
        <v>12</v>
      </c>
      <c r="K235" s="9">
        <v>16</v>
      </c>
      <c r="L235" s="9">
        <v>0</v>
      </c>
      <c r="M235" s="9">
        <v>0</v>
      </c>
      <c r="N235" s="9">
        <v>0</v>
      </c>
      <c r="O235" s="9">
        <v>0</v>
      </c>
      <c r="P235" s="9">
        <v>0</v>
      </c>
      <c r="Q235" s="9">
        <v>0</v>
      </c>
      <c r="R235" s="9">
        <v>0</v>
      </c>
      <c r="S235" s="9">
        <v>0</v>
      </c>
      <c r="T235" s="9">
        <v>0</v>
      </c>
      <c r="U235" s="33">
        <v>0</v>
      </c>
      <c r="V235" s="9">
        <v>9</v>
      </c>
      <c r="W235" s="9">
        <v>1</v>
      </c>
      <c r="X235" s="9">
        <v>0</v>
      </c>
      <c r="Y235" s="9">
        <v>0</v>
      </c>
      <c r="Z235" s="9">
        <v>0</v>
      </c>
      <c r="AA235" s="9">
        <v>0</v>
      </c>
      <c r="AB235" s="9">
        <v>0</v>
      </c>
      <c r="AC235" s="9">
        <v>0</v>
      </c>
      <c r="AD235" s="53" t="e">
        <f>#REF!*D235</f>
        <v>#REF!</v>
      </c>
      <c r="AE235" s="53" t="e">
        <f>AD235-#REF!</f>
        <v>#REF!</v>
      </c>
      <c r="AF235" s="9"/>
      <c r="AG235" s="33" t="e">
        <f>#REF!-D235</f>
        <v>#REF!</v>
      </c>
      <c r="AH235" s="9"/>
      <c r="AI235" s="9"/>
      <c r="AJ235" s="9"/>
      <c r="AK235" s="9"/>
    </row>
    <row r="236" spans="1:37" s="12" customFormat="1" ht="30.6" outlineLevel="1" x14ac:dyDescent="0.2">
      <c r="A236" s="61" t="s">
        <v>839</v>
      </c>
      <c r="B236" s="14" t="s">
        <v>479</v>
      </c>
      <c r="C236" s="9" t="s">
        <v>47</v>
      </c>
      <c r="D236" s="25">
        <f t="shared" si="79"/>
        <v>41</v>
      </c>
      <c r="E236" s="54"/>
      <c r="F236" s="78"/>
      <c r="G236" s="33">
        <v>0</v>
      </c>
      <c r="H236" s="33">
        <v>9</v>
      </c>
      <c r="I236" s="9">
        <v>6</v>
      </c>
      <c r="J236" s="9">
        <v>0</v>
      </c>
      <c r="K236" s="9">
        <v>0</v>
      </c>
      <c r="L236" s="9">
        <v>0</v>
      </c>
      <c r="M236" s="9">
        <v>0</v>
      </c>
      <c r="N236" s="9">
        <v>0</v>
      </c>
      <c r="O236" s="9">
        <v>0</v>
      </c>
      <c r="P236" s="9">
        <v>0</v>
      </c>
      <c r="Q236" s="9">
        <v>0</v>
      </c>
      <c r="R236" s="9">
        <v>0</v>
      </c>
      <c r="S236" s="9">
        <v>0</v>
      </c>
      <c r="T236" s="9">
        <v>0</v>
      </c>
      <c r="U236" s="33">
        <v>0</v>
      </c>
      <c r="V236" s="9">
        <v>21</v>
      </c>
      <c r="W236" s="9">
        <v>5</v>
      </c>
      <c r="X236" s="9">
        <v>0</v>
      </c>
      <c r="Y236" s="9">
        <v>0</v>
      </c>
      <c r="Z236" s="9">
        <v>0</v>
      </c>
      <c r="AA236" s="9">
        <v>0</v>
      </c>
      <c r="AB236" s="9">
        <v>0</v>
      </c>
      <c r="AC236" s="9">
        <v>0</v>
      </c>
      <c r="AD236" s="53" t="e">
        <f>#REF!*D236</f>
        <v>#REF!</v>
      </c>
      <c r="AE236" s="53" t="e">
        <f>AD236-#REF!</f>
        <v>#REF!</v>
      </c>
      <c r="AF236" s="9"/>
      <c r="AG236" s="33" t="e">
        <f>#REF!-D236</f>
        <v>#REF!</v>
      </c>
      <c r="AH236" s="9"/>
      <c r="AI236" s="9"/>
      <c r="AJ236" s="9"/>
      <c r="AK236" s="9"/>
    </row>
    <row r="237" spans="1:37" s="12" customFormat="1" ht="10.199999999999999" outlineLevel="1" x14ac:dyDescent="0.2">
      <c r="A237" s="61"/>
      <c r="B237" s="14"/>
      <c r="C237" s="9"/>
      <c r="D237" s="25"/>
      <c r="E237" s="54"/>
      <c r="F237" s="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53" t="e">
        <f>#REF!*D237</f>
        <v>#REF!</v>
      </c>
      <c r="AE237" s="53" t="e">
        <f>AD237-#REF!</f>
        <v>#REF!</v>
      </c>
      <c r="AF237" s="9"/>
      <c r="AG237" s="33" t="e">
        <f>#REF!-D237</f>
        <v>#REF!</v>
      </c>
      <c r="AH237" s="9"/>
      <c r="AI237" s="9"/>
      <c r="AJ237" s="9"/>
      <c r="AK237" s="9"/>
    </row>
    <row r="238" spans="1:37" x14ac:dyDescent="0.25">
      <c r="A238" s="18" t="s">
        <v>26</v>
      </c>
      <c r="B238" s="35" t="s">
        <v>381</v>
      </c>
      <c r="C238" s="18" t="s">
        <v>41</v>
      </c>
      <c r="D238" s="52" t="e">
        <f>#REF!/#REF!*100</f>
        <v>#REF!</v>
      </c>
      <c r="E238" s="54"/>
      <c r="AB238" s="214" t="s">
        <v>375</v>
      </c>
      <c r="AD238" s="53" t="e">
        <f>#REF!*D238</f>
        <v>#REF!</v>
      </c>
      <c r="AE238" s="53" t="e">
        <f>AD238-#REF!</f>
        <v>#REF!</v>
      </c>
      <c r="AG238" s="33" t="e">
        <f>#REF!-D238</f>
        <v>#REF!</v>
      </c>
    </row>
    <row r="239" spans="1:37" s="72" customFormat="1" ht="20.399999999999999" outlineLevel="1" x14ac:dyDescent="0.25">
      <c r="A239" s="61" t="s">
        <v>840</v>
      </c>
      <c r="B239" s="47" t="s">
        <v>482</v>
      </c>
      <c r="C239" s="9" t="s">
        <v>48</v>
      </c>
      <c r="D239" s="25">
        <f t="shared" ref="D239:D245" si="80">SUM(G239:AC239)*3</f>
        <v>327</v>
      </c>
      <c r="E239" s="54"/>
      <c r="F239" s="78"/>
      <c r="G239" s="33">
        <v>0</v>
      </c>
      <c r="H239" s="33">
        <v>30</v>
      </c>
      <c r="I239" s="9">
        <v>53</v>
      </c>
      <c r="J239" s="9">
        <v>0</v>
      </c>
      <c r="K239" s="9">
        <v>0</v>
      </c>
      <c r="L239" s="9">
        <v>0</v>
      </c>
      <c r="M239" s="9">
        <v>0</v>
      </c>
      <c r="N239" s="9">
        <v>0</v>
      </c>
      <c r="O239" s="9">
        <v>4</v>
      </c>
      <c r="P239" s="9">
        <v>5</v>
      </c>
      <c r="Q239" s="9">
        <f>21/3</f>
        <v>7</v>
      </c>
      <c r="R239" s="9">
        <v>0</v>
      </c>
      <c r="S239" s="9">
        <v>0</v>
      </c>
      <c r="T239" s="9">
        <v>0</v>
      </c>
      <c r="U239" s="33">
        <v>10</v>
      </c>
      <c r="V239" s="9">
        <v>0</v>
      </c>
      <c r="W239" s="9">
        <v>0</v>
      </c>
      <c r="X239" s="9">
        <v>0</v>
      </c>
      <c r="Y239" s="9">
        <v>0</v>
      </c>
      <c r="Z239" s="9">
        <v>0</v>
      </c>
      <c r="AA239" s="9">
        <v>0</v>
      </c>
      <c r="AB239" s="9">
        <v>0</v>
      </c>
      <c r="AC239" s="9">
        <v>0</v>
      </c>
      <c r="AD239" s="53" t="e">
        <f>#REF!*D239</f>
        <v>#REF!</v>
      </c>
      <c r="AE239" s="53" t="e">
        <f>AD239-#REF!</f>
        <v>#REF!</v>
      </c>
      <c r="AF239" s="9"/>
      <c r="AG239" s="33" t="e">
        <f>#REF!-D239</f>
        <v>#REF!</v>
      </c>
      <c r="AH239" s="9"/>
      <c r="AI239" s="9"/>
      <c r="AJ239" s="9"/>
      <c r="AK239" s="9"/>
    </row>
    <row r="240" spans="1:37" s="12" customFormat="1" ht="20.399999999999999" outlineLevel="1" x14ac:dyDescent="0.2">
      <c r="A240" s="61" t="s">
        <v>841</v>
      </c>
      <c r="B240" s="47" t="s">
        <v>407</v>
      </c>
      <c r="C240" s="9" t="s">
        <v>48</v>
      </c>
      <c r="D240" s="25">
        <f t="shared" si="80"/>
        <v>1494</v>
      </c>
      <c r="E240" s="54"/>
      <c r="F240" s="78"/>
      <c r="G240" s="33">
        <v>0</v>
      </c>
      <c r="H240" s="33">
        <v>119</v>
      </c>
      <c r="I240" s="9">
        <v>11</v>
      </c>
      <c r="J240" s="9">
        <v>0</v>
      </c>
      <c r="K240" s="9">
        <v>0</v>
      </c>
      <c r="L240" s="9">
        <f>32-3</f>
        <v>29</v>
      </c>
      <c r="M240" s="9">
        <v>28</v>
      </c>
      <c r="N240" s="9">
        <v>27</v>
      </c>
      <c r="O240" s="9">
        <v>133</v>
      </c>
      <c r="P240" s="9">
        <v>30</v>
      </c>
      <c r="Q240" s="9">
        <v>19</v>
      </c>
      <c r="R240" s="9">
        <v>0</v>
      </c>
      <c r="S240" s="9">
        <v>0</v>
      </c>
      <c r="T240" s="9">
        <v>0</v>
      </c>
      <c r="U240" s="33">
        <v>40</v>
      </c>
      <c r="V240" s="9">
        <v>0</v>
      </c>
      <c r="W240" s="9">
        <v>0</v>
      </c>
      <c r="X240" s="9">
        <v>15</v>
      </c>
      <c r="Y240" s="9">
        <v>20</v>
      </c>
      <c r="Z240" s="9">
        <v>12</v>
      </c>
      <c r="AA240" s="9">
        <v>15</v>
      </c>
      <c r="AB240" s="9">
        <v>0</v>
      </c>
      <c r="AC240" s="9">
        <v>0</v>
      </c>
      <c r="AD240" s="53" t="e">
        <f>#REF!*D240</f>
        <v>#REF!</v>
      </c>
      <c r="AE240" s="53" t="e">
        <f>AD240-#REF!</f>
        <v>#REF!</v>
      </c>
      <c r="AF240" s="9"/>
      <c r="AG240" s="33" t="e">
        <f>#REF!-D240</f>
        <v>#REF!</v>
      </c>
      <c r="AH240" s="9"/>
      <c r="AI240" s="9"/>
      <c r="AJ240" s="9"/>
      <c r="AK240" s="9"/>
    </row>
    <row r="241" spans="1:37" s="17" customFormat="1" ht="20.399999999999999" outlineLevel="1" x14ac:dyDescent="0.2">
      <c r="A241" s="61" t="s">
        <v>842</v>
      </c>
      <c r="B241" s="47" t="s">
        <v>483</v>
      </c>
      <c r="C241" s="9" t="s">
        <v>48</v>
      </c>
      <c r="D241" s="25">
        <f t="shared" si="80"/>
        <v>474</v>
      </c>
      <c r="E241" s="54"/>
      <c r="F241" s="9"/>
      <c r="G241" s="33">
        <v>0</v>
      </c>
      <c r="H241" s="33">
        <v>53</v>
      </c>
      <c r="I241" s="9">
        <v>2</v>
      </c>
      <c r="J241" s="9">
        <v>0</v>
      </c>
      <c r="K241" s="9">
        <v>2</v>
      </c>
      <c r="L241" s="9">
        <v>1</v>
      </c>
      <c r="M241" s="9">
        <v>2</v>
      </c>
      <c r="N241" s="9">
        <v>2</v>
      </c>
      <c r="O241" s="9">
        <v>2</v>
      </c>
      <c r="P241" s="9">
        <v>2</v>
      </c>
      <c r="Q241" s="9">
        <v>3</v>
      </c>
      <c r="R241" s="9">
        <v>0</v>
      </c>
      <c r="S241" s="9">
        <v>0</v>
      </c>
      <c r="T241" s="9">
        <v>0</v>
      </c>
      <c r="U241" s="33">
        <v>18</v>
      </c>
      <c r="V241" s="9">
        <v>44</v>
      </c>
      <c r="W241" s="9">
        <v>24</v>
      </c>
      <c r="X241" s="9">
        <v>2</v>
      </c>
      <c r="Y241" s="9">
        <v>0</v>
      </c>
      <c r="Z241" s="9">
        <v>0</v>
      </c>
      <c r="AA241" s="9">
        <v>1</v>
      </c>
      <c r="AB241" s="9">
        <v>0</v>
      </c>
      <c r="AC241" s="9">
        <v>0</v>
      </c>
      <c r="AD241" s="53" t="e">
        <f>#REF!*D241</f>
        <v>#REF!</v>
      </c>
      <c r="AE241" s="53" t="e">
        <f>AD241-#REF!</f>
        <v>#REF!</v>
      </c>
      <c r="AF241" s="9"/>
      <c r="AG241" s="33" t="e">
        <f>#REF!-D241</f>
        <v>#REF!</v>
      </c>
      <c r="AH241" s="9"/>
      <c r="AI241" s="9"/>
      <c r="AJ241" s="9"/>
      <c r="AK241" s="9"/>
    </row>
    <row r="242" spans="1:37" s="17" customFormat="1" ht="20.399999999999999" outlineLevel="1" x14ac:dyDescent="0.2">
      <c r="A242" s="61" t="s">
        <v>843</v>
      </c>
      <c r="B242" s="47" t="s">
        <v>484</v>
      </c>
      <c r="C242" s="9" t="s">
        <v>48</v>
      </c>
      <c r="D242" s="25">
        <f t="shared" si="80"/>
        <v>192</v>
      </c>
      <c r="E242" s="54"/>
      <c r="F242" s="9"/>
      <c r="G242" s="33">
        <v>0</v>
      </c>
      <c r="H242" s="33">
        <v>31</v>
      </c>
      <c r="I242" s="9">
        <v>3</v>
      </c>
      <c r="J242" s="9">
        <v>1</v>
      </c>
      <c r="K242" s="9">
        <v>2</v>
      </c>
      <c r="L242" s="9">
        <v>4</v>
      </c>
      <c r="M242" s="9">
        <v>3</v>
      </c>
      <c r="N242" s="9">
        <v>1</v>
      </c>
      <c r="O242" s="9">
        <f>24/3</f>
        <v>8</v>
      </c>
      <c r="P242" s="9">
        <v>0</v>
      </c>
      <c r="Q242" s="9">
        <v>1</v>
      </c>
      <c r="R242" s="9">
        <v>0</v>
      </c>
      <c r="S242" s="9">
        <v>0</v>
      </c>
      <c r="T242" s="9">
        <v>0</v>
      </c>
      <c r="U242" s="33">
        <v>10</v>
      </c>
      <c r="V242" s="9">
        <v>0</v>
      </c>
      <c r="W242" s="9">
        <v>0</v>
      </c>
      <c r="X242" s="9">
        <v>0</v>
      </c>
      <c r="Y242" s="9">
        <v>0</v>
      </c>
      <c r="Z242" s="9">
        <v>0</v>
      </c>
      <c r="AA242" s="9">
        <v>0</v>
      </c>
      <c r="AB242" s="9">
        <v>0</v>
      </c>
      <c r="AC242" s="9">
        <v>0</v>
      </c>
      <c r="AD242" s="53" t="e">
        <f>#REF!*D242</f>
        <v>#REF!</v>
      </c>
      <c r="AE242" s="53" t="e">
        <f>AD242-#REF!</f>
        <v>#REF!</v>
      </c>
      <c r="AF242" s="9"/>
      <c r="AG242" s="33" t="e">
        <f>#REF!-D242</f>
        <v>#REF!</v>
      </c>
      <c r="AH242" s="9"/>
      <c r="AI242" s="9"/>
      <c r="AJ242" s="9"/>
      <c r="AK242" s="9"/>
    </row>
    <row r="243" spans="1:37" s="50" customFormat="1" ht="20.399999999999999" outlineLevel="1" x14ac:dyDescent="0.2">
      <c r="A243" s="61" t="s">
        <v>844</v>
      </c>
      <c r="B243" s="47" t="s">
        <v>485</v>
      </c>
      <c r="C243" s="9" t="s">
        <v>48</v>
      </c>
      <c r="D243" s="25">
        <f t="shared" si="80"/>
        <v>75</v>
      </c>
      <c r="E243" s="54"/>
      <c r="F243" s="9"/>
      <c r="G243" s="33">
        <v>0</v>
      </c>
      <c r="H243" s="33">
        <v>3</v>
      </c>
      <c r="I243" s="9">
        <v>2</v>
      </c>
      <c r="J243" s="9">
        <v>2</v>
      </c>
      <c r="K243" s="9">
        <v>0</v>
      </c>
      <c r="L243" s="9">
        <v>1</v>
      </c>
      <c r="M243" s="9">
        <v>0</v>
      </c>
      <c r="N243" s="9">
        <v>1</v>
      </c>
      <c r="O243" s="9">
        <v>1</v>
      </c>
      <c r="P243" s="9">
        <v>1</v>
      </c>
      <c r="Q243" s="9">
        <v>0</v>
      </c>
      <c r="R243" s="9">
        <v>0</v>
      </c>
      <c r="S243" s="9">
        <v>0</v>
      </c>
      <c r="T243" s="9">
        <v>0</v>
      </c>
      <c r="U243" s="33">
        <v>2</v>
      </c>
      <c r="V243" s="9">
        <v>6</v>
      </c>
      <c r="W243" s="9">
        <v>0</v>
      </c>
      <c r="X243" s="9">
        <v>0</v>
      </c>
      <c r="Y243" s="9">
        <v>0</v>
      </c>
      <c r="Z243" s="9">
        <v>1</v>
      </c>
      <c r="AA243" s="9">
        <v>1</v>
      </c>
      <c r="AB243" s="9">
        <v>4</v>
      </c>
      <c r="AC243" s="9">
        <v>0</v>
      </c>
      <c r="AD243" s="53" t="e">
        <f>#REF!*D243</f>
        <v>#REF!</v>
      </c>
      <c r="AE243" s="53" t="e">
        <f>AD243-#REF!</f>
        <v>#REF!</v>
      </c>
      <c r="AF243" s="49"/>
      <c r="AG243" s="33" t="e">
        <f>#REF!-D243</f>
        <v>#REF!</v>
      </c>
      <c r="AH243" s="49"/>
      <c r="AI243" s="49"/>
      <c r="AJ243" s="49"/>
      <c r="AK243" s="49"/>
    </row>
    <row r="244" spans="1:37" s="50" customFormat="1" ht="20.399999999999999" outlineLevel="1" x14ac:dyDescent="0.2">
      <c r="A244" s="61" t="s">
        <v>845</v>
      </c>
      <c r="B244" s="47" t="s">
        <v>486</v>
      </c>
      <c r="C244" s="9" t="s">
        <v>48</v>
      </c>
      <c r="D244" s="25">
        <f t="shared" si="80"/>
        <v>102</v>
      </c>
      <c r="E244" s="54"/>
      <c r="F244" s="9"/>
      <c r="G244" s="33">
        <v>0</v>
      </c>
      <c r="H244" s="33">
        <v>6</v>
      </c>
      <c r="I244" s="9">
        <v>7</v>
      </c>
      <c r="J244" s="9">
        <v>0</v>
      </c>
      <c r="K244" s="9">
        <v>13</v>
      </c>
      <c r="L244" s="9">
        <v>0</v>
      </c>
      <c r="M244" s="9">
        <v>0</v>
      </c>
      <c r="N244" s="9">
        <v>0</v>
      </c>
      <c r="O244" s="9">
        <v>0</v>
      </c>
      <c r="P244" s="9">
        <v>0</v>
      </c>
      <c r="Q244" s="9">
        <v>1</v>
      </c>
      <c r="R244" s="9">
        <v>0</v>
      </c>
      <c r="S244" s="9">
        <v>0</v>
      </c>
      <c r="T244" s="9">
        <v>0</v>
      </c>
      <c r="U244" s="33">
        <v>0</v>
      </c>
      <c r="V244" s="9">
        <v>0</v>
      </c>
      <c r="W244" s="9">
        <v>0</v>
      </c>
      <c r="X244" s="9">
        <f>7</f>
        <v>7</v>
      </c>
      <c r="Y244" s="9">
        <v>0</v>
      </c>
      <c r="Z244" s="9">
        <v>0</v>
      </c>
      <c r="AA244" s="9">
        <v>0</v>
      </c>
      <c r="AB244" s="9">
        <v>0</v>
      </c>
      <c r="AC244" s="9">
        <v>0</v>
      </c>
      <c r="AD244" s="53" t="e">
        <f>#REF!*D244</f>
        <v>#REF!</v>
      </c>
      <c r="AE244" s="53" t="e">
        <f>AD244-#REF!</f>
        <v>#REF!</v>
      </c>
      <c r="AF244" s="49"/>
      <c r="AG244" s="33" t="e">
        <f>#REF!-D244</f>
        <v>#REF!</v>
      </c>
      <c r="AH244" s="49"/>
      <c r="AI244" s="49"/>
      <c r="AJ244" s="49"/>
      <c r="AK244" s="49"/>
    </row>
    <row r="245" spans="1:37" s="50" customFormat="1" ht="20.399999999999999" outlineLevel="1" x14ac:dyDescent="0.2">
      <c r="A245" s="61" t="s">
        <v>846</v>
      </c>
      <c r="B245" s="47" t="s">
        <v>487</v>
      </c>
      <c r="C245" s="9" t="s">
        <v>48</v>
      </c>
      <c r="D245" s="25">
        <f t="shared" si="80"/>
        <v>21</v>
      </c>
      <c r="E245" s="54"/>
      <c r="F245" s="9"/>
      <c r="G245" s="33">
        <v>0</v>
      </c>
      <c r="H245" s="33">
        <v>0</v>
      </c>
      <c r="I245" s="9">
        <v>7</v>
      </c>
      <c r="J245" s="9">
        <v>0</v>
      </c>
      <c r="K245" s="9">
        <v>0</v>
      </c>
      <c r="L245" s="9">
        <v>0</v>
      </c>
      <c r="M245" s="9">
        <v>0</v>
      </c>
      <c r="N245" s="9">
        <v>0</v>
      </c>
      <c r="O245" s="9">
        <v>0</v>
      </c>
      <c r="P245" s="9">
        <v>0</v>
      </c>
      <c r="Q245" s="9">
        <v>0</v>
      </c>
      <c r="R245" s="9">
        <v>0</v>
      </c>
      <c r="S245" s="9">
        <v>0</v>
      </c>
      <c r="T245" s="9">
        <v>0</v>
      </c>
      <c r="U245" s="33">
        <v>0</v>
      </c>
      <c r="V245" s="9">
        <v>0</v>
      </c>
      <c r="W245" s="9">
        <v>0</v>
      </c>
      <c r="X245" s="9">
        <v>0</v>
      </c>
      <c r="Y245" s="9">
        <v>0</v>
      </c>
      <c r="Z245" s="9">
        <v>0</v>
      </c>
      <c r="AA245" s="9">
        <v>0</v>
      </c>
      <c r="AB245" s="9">
        <v>0</v>
      </c>
      <c r="AC245" s="9">
        <v>0</v>
      </c>
      <c r="AD245" s="53" t="e">
        <f>#REF!*D245</f>
        <v>#REF!</v>
      </c>
      <c r="AE245" s="53" t="e">
        <f>AD245-#REF!</f>
        <v>#REF!</v>
      </c>
      <c r="AF245" s="49"/>
      <c r="AG245" s="33" t="e">
        <f>#REF!-D245</f>
        <v>#REF!</v>
      </c>
      <c r="AH245" s="49"/>
      <c r="AI245" s="49"/>
      <c r="AJ245" s="49"/>
      <c r="AK245" s="49"/>
    </row>
    <row r="246" spans="1:37" s="12" customFormat="1" ht="20.399999999999999" outlineLevel="1" x14ac:dyDescent="0.2">
      <c r="A246" s="61" t="s">
        <v>847</v>
      </c>
      <c r="B246" s="14" t="s">
        <v>60</v>
      </c>
      <c r="C246" s="9" t="s">
        <v>47</v>
      </c>
      <c r="D246" s="25">
        <f t="shared" ref="D246:D274" si="81">SUM(G246:AC246)</f>
        <v>31</v>
      </c>
      <c r="E246" s="54"/>
      <c r="F246" s="78"/>
      <c r="G246" s="33">
        <v>0</v>
      </c>
      <c r="H246" s="33">
        <v>13</v>
      </c>
      <c r="I246" s="9">
        <v>3</v>
      </c>
      <c r="J246" s="9">
        <v>0</v>
      </c>
      <c r="K246" s="9">
        <v>0</v>
      </c>
      <c r="L246" s="9">
        <v>0</v>
      </c>
      <c r="M246" s="9">
        <v>0</v>
      </c>
      <c r="N246" s="9">
        <v>0</v>
      </c>
      <c r="O246" s="9">
        <v>2</v>
      </c>
      <c r="P246" s="9">
        <v>2</v>
      </c>
      <c r="Q246" s="9">
        <v>7</v>
      </c>
      <c r="R246" s="9">
        <v>0</v>
      </c>
      <c r="S246" s="9">
        <v>0</v>
      </c>
      <c r="T246" s="9">
        <v>0</v>
      </c>
      <c r="U246" s="33">
        <v>4</v>
      </c>
      <c r="V246" s="9">
        <v>0</v>
      </c>
      <c r="W246" s="9">
        <v>0</v>
      </c>
      <c r="X246" s="9">
        <v>0</v>
      </c>
      <c r="Y246" s="9">
        <v>0</v>
      </c>
      <c r="Z246" s="9">
        <v>0</v>
      </c>
      <c r="AA246" s="9">
        <v>0</v>
      </c>
      <c r="AB246" s="9">
        <v>0</v>
      </c>
      <c r="AC246" s="9">
        <v>0</v>
      </c>
      <c r="AD246" s="53" t="e">
        <f>#REF!*D246</f>
        <v>#REF!</v>
      </c>
      <c r="AE246" s="53" t="e">
        <f>AD246-#REF!</f>
        <v>#REF!</v>
      </c>
      <c r="AF246" s="9"/>
      <c r="AG246" s="33" t="e">
        <f>#REF!-D246</f>
        <v>#REF!</v>
      </c>
      <c r="AH246" s="9"/>
      <c r="AI246" s="9"/>
      <c r="AJ246" s="9"/>
      <c r="AK246" s="9"/>
    </row>
    <row r="247" spans="1:37" s="12" customFormat="1" ht="20.399999999999999" outlineLevel="1" x14ac:dyDescent="0.2">
      <c r="A247" s="61" t="s">
        <v>848</v>
      </c>
      <c r="B247" s="14" t="s">
        <v>61</v>
      </c>
      <c r="C247" s="9" t="s">
        <v>47</v>
      </c>
      <c r="D247" s="25">
        <f t="shared" si="81"/>
        <v>285</v>
      </c>
      <c r="E247" s="54"/>
      <c r="F247" s="78"/>
      <c r="G247" s="33">
        <v>0</v>
      </c>
      <c r="H247" s="33">
        <v>15</v>
      </c>
      <c r="I247" s="9">
        <v>6</v>
      </c>
      <c r="J247" s="9">
        <v>0</v>
      </c>
      <c r="K247" s="9">
        <v>0</v>
      </c>
      <c r="L247" s="9">
        <v>40</v>
      </c>
      <c r="M247" s="9">
        <v>39</v>
      </c>
      <c r="N247" s="9">
        <v>34</v>
      </c>
      <c r="O247" s="9">
        <f>32+28</f>
        <v>60</v>
      </c>
      <c r="P247" s="9">
        <v>0</v>
      </c>
      <c r="Q247" s="9">
        <v>0</v>
      </c>
      <c r="R247" s="9">
        <v>0</v>
      </c>
      <c r="S247" s="9">
        <v>0</v>
      </c>
      <c r="T247" s="9">
        <v>0</v>
      </c>
      <c r="U247" s="33">
        <v>5</v>
      </c>
      <c r="V247" s="9">
        <v>0</v>
      </c>
      <c r="W247" s="9">
        <v>0</v>
      </c>
      <c r="X247" s="9">
        <v>22</v>
      </c>
      <c r="Y247" s="9">
        <v>22</v>
      </c>
      <c r="Z247" s="9">
        <v>20</v>
      </c>
      <c r="AA247" s="9">
        <v>22</v>
      </c>
      <c r="AB247" s="9">
        <v>0</v>
      </c>
      <c r="AC247" s="9">
        <v>0</v>
      </c>
      <c r="AD247" s="53" t="e">
        <f>#REF!*D247</f>
        <v>#REF!</v>
      </c>
      <c r="AE247" s="53" t="e">
        <f>AD247-#REF!</f>
        <v>#REF!</v>
      </c>
      <c r="AF247" s="9"/>
      <c r="AG247" s="33" t="e">
        <f>#REF!-D247</f>
        <v>#REF!</v>
      </c>
      <c r="AH247" s="9"/>
      <c r="AI247" s="9"/>
      <c r="AJ247" s="9"/>
      <c r="AK247" s="9"/>
    </row>
    <row r="248" spans="1:37" s="12" customFormat="1" ht="20.399999999999999" outlineLevel="1" x14ac:dyDescent="0.2">
      <c r="A248" s="61" t="s">
        <v>849</v>
      </c>
      <c r="B248" s="14" t="s">
        <v>216</v>
      </c>
      <c r="C248" s="9" t="s">
        <v>47</v>
      </c>
      <c r="D248" s="25">
        <f t="shared" si="81"/>
        <v>58</v>
      </c>
      <c r="E248" s="54"/>
      <c r="F248" s="78"/>
      <c r="G248" s="33">
        <v>0</v>
      </c>
      <c r="H248" s="33">
        <v>9</v>
      </c>
      <c r="I248" s="9">
        <v>2</v>
      </c>
      <c r="J248" s="9">
        <v>0</v>
      </c>
      <c r="K248" s="9">
        <v>1</v>
      </c>
      <c r="L248" s="9">
        <v>2</v>
      </c>
      <c r="M248" s="9">
        <v>2</v>
      </c>
      <c r="N248" s="9">
        <v>2</v>
      </c>
      <c r="O248" s="9">
        <v>1</v>
      </c>
      <c r="P248" s="9">
        <v>2</v>
      </c>
      <c r="Q248" s="9">
        <v>0</v>
      </c>
      <c r="R248" s="9">
        <v>0</v>
      </c>
      <c r="S248" s="9">
        <v>0</v>
      </c>
      <c r="T248" s="9">
        <v>0</v>
      </c>
      <c r="U248" s="33">
        <v>7</v>
      </c>
      <c r="V248" s="9">
        <v>15</v>
      </c>
      <c r="W248" s="9">
        <v>10</v>
      </c>
      <c r="X248" s="9">
        <v>3</v>
      </c>
      <c r="Y248" s="9">
        <v>1</v>
      </c>
      <c r="Z248" s="9">
        <v>0</v>
      </c>
      <c r="AA248" s="9">
        <v>1</v>
      </c>
      <c r="AB248" s="9">
        <v>0</v>
      </c>
      <c r="AC248" s="9">
        <v>0</v>
      </c>
      <c r="AD248" s="53" t="e">
        <f>#REF!*D248</f>
        <v>#REF!</v>
      </c>
      <c r="AE248" s="53" t="e">
        <f>AD248-#REF!</f>
        <v>#REF!</v>
      </c>
      <c r="AF248" s="9"/>
      <c r="AG248" s="33" t="e">
        <f>#REF!-D248</f>
        <v>#REF!</v>
      </c>
      <c r="AH248" s="9"/>
      <c r="AI248" s="9"/>
      <c r="AJ248" s="9"/>
      <c r="AK248" s="9"/>
    </row>
    <row r="249" spans="1:37" s="12" customFormat="1" ht="20.399999999999999" outlineLevel="1" x14ac:dyDescent="0.2">
      <c r="A249" s="61" t="s">
        <v>850</v>
      </c>
      <c r="B249" s="14" t="s">
        <v>62</v>
      </c>
      <c r="C249" s="9" t="s">
        <v>47</v>
      </c>
      <c r="D249" s="25">
        <f t="shared" si="81"/>
        <v>20</v>
      </c>
      <c r="E249" s="54"/>
      <c r="F249" s="78"/>
      <c r="G249" s="33">
        <v>0</v>
      </c>
      <c r="H249" s="33">
        <v>2</v>
      </c>
      <c r="I249" s="9">
        <v>1</v>
      </c>
      <c r="J249" s="9">
        <v>1</v>
      </c>
      <c r="K249" s="9">
        <v>4</v>
      </c>
      <c r="L249" s="9">
        <v>3</v>
      </c>
      <c r="M249" s="9">
        <v>1</v>
      </c>
      <c r="N249" s="9">
        <v>1</v>
      </c>
      <c r="O249" s="9">
        <v>3</v>
      </c>
      <c r="P249" s="9">
        <v>0</v>
      </c>
      <c r="Q249" s="9">
        <v>0</v>
      </c>
      <c r="R249" s="9">
        <v>0</v>
      </c>
      <c r="S249" s="9">
        <v>0</v>
      </c>
      <c r="T249" s="9">
        <v>0</v>
      </c>
      <c r="U249" s="33">
        <v>4</v>
      </c>
      <c r="V249" s="9">
        <v>0</v>
      </c>
      <c r="W249" s="9">
        <v>0</v>
      </c>
      <c r="X249" s="9">
        <v>0</v>
      </c>
      <c r="Y249" s="9">
        <v>0</v>
      </c>
      <c r="Z249" s="9">
        <v>0</v>
      </c>
      <c r="AA249" s="9">
        <v>0</v>
      </c>
      <c r="AB249" s="9">
        <v>0</v>
      </c>
      <c r="AC249" s="9">
        <v>0</v>
      </c>
      <c r="AD249" s="53" t="e">
        <f>#REF!*D249</f>
        <v>#REF!</v>
      </c>
      <c r="AE249" s="53" t="e">
        <f>AD249-#REF!</f>
        <v>#REF!</v>
      </c>
      <c r="AF249" s="9"/>
      <c r="AG249" s="33" t="e">
        <f>#REF!-D249</f>
        <v>#REF!</v>
      </c>
      <c r="AH249" s="9"/>
      <c r="AI249" s="9"/>
      <c r="AJ249" s="9"/>
      <c r="AK249" s="9"/>
    </row>
    <row r="250" spans="1:37" s="12" customFormat="1" ht="20.399999999999999" outlineLevel="1" x14ac:dyDescent="0.2">
      <c r="A250" s="61" t="s">
        <v>851</v>
      </c>
      <c r="B250" s="14" t="s">
        <v>63</v>
      </c>
      <c r="C250" s="9" t="s">
        <v>47</v>
      </c>
      <c r="D250" s="25">
        <f t="shared" si="81"/>
        <v>19</v>
      </c>
      <c r="E250" s="54"/>
      <c r="F250" s="78"/>
      <c r="G250" s="33">
        <v>0</v>
      </c>
      <c r="H250" s="33">
        <v>1</v>
      </c>
      <c r="I250" s="9">
        <v>1</v>
      </c>
      <c r="J250" s="9">
        <v>2</v>
      </c>
      <c r="K250" s="9">
        <v>0</v>
      </c>
      <c r="L250" s="9">
        <v>1</v>
      </c>
      <c r="M250" s="9">
        <v>1</v>
      </c>
      <c r="N250" s="9">
        <v>1</v>
      </c>
      <c r="O250" s="9">
        <v>1</v>
      </c>
      <c r="P250" s="9">
        <v>1</v>
      </c>
      <c r="Q250" s="9">
        <v>0</v>
      </c>
      <c r="R250" s="9">
        <v>0</v>
      </c>
      <c r="S250" s="9">
        <v>0</v>
      </c>
      <c r="T250" s="9">
        <v>0</v>
      </c>
      <c r="U250" s="33">
        <v>2</v>
      </c>
      <c r="V250" s="9">
        <v>2</v>
      </c>
      <c r="W250" s="9">
        <v>0</v>
      </c>
      <c r="X250" s="9">
        <v>1</v>
      </c>
      <c r="Y250" s="9">
        <v>0</v>
      </c>
      <c r="Z250" s="9">
        <v>2</v>
      </c>
      <c r="AA250" s="9">
        <v>1</v>
      </c>
      <c r="AB250" s="9">
        <v>2</v>
      </c>
      <c r="AC250" s="9">
        <v>0</v>
      </c>
      <c r="AD250" s="53" t="e">
        <f>#REF!*D250</f>
        <v>#REF!</v>
      </c>
      <c r="AE250" s="53" t="e">
        <f>AD250-#REF!</f>
        <v>#REF!</v>
      </c>
      <c r="AF250" s="9"/>
      <c r="AG250" s="33" t="e">
        <f>#REF!-D250</f>
        <v>#REF!</v>
      </c>
      <c r="AH250" s="9"/>
      <c r="AI250" s="9"/>
      <c r="AJ250" s="9"/>
      <c r="AK250" s="9"/>
    </row>
    <row r="251" spans="1:37" s="12" customFormat="1" ht="20.399999999999999" outlineLevel="1" x14ac:dyDescent="0.2">
      <c r="A251" s="61" t="s">
        <v>852</v>
      </c>
      <c r="B251" s="14" t="s">
        <v>318</v>
      </c>
      <c r="C251" s="9" t="s">
        <v>47</v>
      </c>
      <c r="D251" s="25">
        <f t="shared" si="81"/>
        <v>10</v>
      </c>
      <c r="E251" s="54"/>
      <c r="F251" s="78"/>
      <c r="G251" s="33">
        <v>0</v>
      </c>
      <c r="H251" s="33">
        <v>2</v>
      </c>
      <c r="I251" s="9">
        <v>1</v>
      </c>
      <c r="J251" s="9">
        <v>0</v>
      </c>
      <c r="K251" s="9">
        <v>1</v>
      </c>
      <c r="L251" s="9">
        <v>0</v>
      </c>
      <c r="M251" s="9">
        <v>0</v>
      </c>
      <c r="N251" s="9">
        <v>0</v>
      </c>
      <c r="O251" s="9">
        <v>0</v>
      </c>
      <c r="P251" s="9">
        <v>0</v>
      </c>
      <c r="Q251" s="9">
        <v>0</v>
      </c>
      <c r="R251" s="9">
        <v>0</v>
      </c>
      <c r="S251" s="9">
        <v>0</v>
      </c>
      <c r="T251" s="9">
        <v>0</v>
      </c>
      <c r="U251" s="33">
        <v>0</v>
      </c>
      <c r="V251" s="9">
        <v>0</v>
      </c>
      <c r="W251" s="9">
        <v>0</v>
      </c>
      <c r="X251" s="9">
        <v>6</v>
      </c>
      <c r="Y251" s="9">
        <v>0</v>
      </c>
      <c r="Z251" s="9">
        <v>0</v>
      </c>
      <c r="AA251" s="9">
        <v>0</v>
      </c>
      <c r="AB251" s="9">
        <v>0</v>
      </c>
      <c r="AC251" s="9">
        <v>0</v>
      </c>
      <c r="AD251" s="53" t="e">
        <f>#REF!*D251</f>
        <v>#REF!</v>
      </c>
      <c r="AE251" s="53" t="e">
        <f>AD251-#REF!</f>
        <v>#REF!</v>
      </c>
      <c r="AF251" s="9"/>
      <c r="AG251" s="33" t="e">
        <f>#REF!-D251</f>
        <v>#REF!</v>
      </c>
      <c r="AH251" s="9"/>
      <c r="AI251" s="9"/>
      <c r="AJ251" s="9"/>
      <c r="AK251" s="9"/>
    </row>
    <row r="252" spans="1:37" s="12" customFormat="1" ht="20.399999999999999" outlineLevel="1" x14ac:dyDescent="0.2">
      <c r="A252" s="61" t="s">
        <v>853</v>
      </c>
      <c r="B252" s="14" t="s">
        <v>292</v>
      </c>
      <c r="C252" s="9" t="s">
        <v>47</v>
      </c>
      <c r="D252" s="25">
        <f t="shared" si="81"/>
        <v>3</v>
      </c>
      <c r="E252" s="54"/>
      <c r="F252" s="78"/>
      <c r="G252" s="33">
        <v>0</v>
      </c>
      <c r="H252" s="33">
        <v>0</v>
      </c>
      <c r="I252" s="9">
        <v>3</v>
      </c>
      <c r="J252" s="9">
        <v>0</v>
      </c>
      <c r="K252" s="9">
        <v>0</v>
      </c>
      <c r="L252" s="9">
        <v>0</v>
      </c>
      <c r="M252" s="9">
        <v>0</v>
      </c>
      <c r="N252" s="9">
        <v>0</v>
      </c>
      <c r="O252" s="9">
        <v>0</v>
      </c>
      <c r="P252" s="9">
        <v>0</v>
      </c>
      <c r="Q252" s="9">
        <v>0</v>
      </c>
      <c r="R252" s="9">
        <v>0</v>
      </c>
      <c r="S252" s="9">
        <v>0</v>
      </c>
      <c r="T252" s="9">
        <v>0</v>
      </c>
      <c r="U252" s="33">
        <v>0</v>
      </c>
      <c r="V252" s="9">
        <v>0</v>
      </c>
      <c r="W252" s="9">
        <v>0</v>
      </c>
      <c r="X252" s="9">
        <v>0</v>
      </c>
      <c r="Y252" s="9">
        <v>0</v>
      </c>
      <c r="Z252" s="9">
        <v>0</v>
      </c>
      <c r="AA252" s="9">
        <v>0</v>
      </c>
      <c r="AB252" s="9">
        <v>0</v>
      </c>
      <c r="AC252" s="9">
        <v>0</v>
      </c>
      <c r="AD252" s="53" t="e">
        <f>#REF!*D252</f>
        <v>#REF!</v>
      </c>
      <c r="AE252" s="53" t="e">
        <f>AD252-#REF!</f>
        <v>#REF!</v>
      </c>
      <c r="AF252" s="9"/>
      <c r="AG252" s="33" t="e">
        <f>#REF!-D252</f>
        <v>#REF!</v>
      </c>
      <c r="AH252" s="9"/>
      <c r="AI252" s="9"/>
      <c r="AJ252" s="9"/>
      <c r="AK252" s="9"/>
    </row>
    <row r="253" spans="1:37" s="12" customFormat="1" ht="20.399999999999999" outlineLevel="1" x14ac:dyDescent="0.2">
      <c r="A253" s="61" t="s">
        <v>854</v>
      </c>
      <c r="B253" s="14" t="s">
        <v>64</v>
      </c>
      <c r="C253" s="9" t="s">
        <v>47</v>
      </c>
      <c r="D253" s="25">
        <f t="shared" si="81"/>
        <v>140</v>
      </c>
      <c r="E253" s="54"/>
      <c r="F253" s="78"/>
      <c r="G253" s="88">
        <f t="shared" ref="G253:AC253" si="82">G246+G239</f>
        <v>0</v>
      </c>
      <c r="H253" s="88">
        <f t="shared" si="82"/>
        <v>43</v>
      </c>
      <c r="I253" s="88">
        <f t="shared" si="82"/>
        <v>56</v>
      </c>
      <c r="J253" s="88">
        <f t="shared" si="82"/>
        <v>0</v>
      </c>
      <c r="K253" s="88">
        <f t="shared" si="82"/>
        <v>0</v>
      </c>
      <c r="L253" s="88">
        <f t="shared" si="82"/>
        <v>0</v>
      </c>
      <c r="M253" s="88">
        <f t="shared" si="82"/>
        <v>0</v>
      </c>
      <c r="N253" s="88">
        <f t="shared" si="82"/>
        <v>0</v>
      </c>
      <c r="O253" s="88">
        <f t="shared" si="82"/>
        <v>6</v>
      </c>
      <c r="P253" s="88">
        <f t="shared" si="82"/>
        <v>7</v>
      </c>
      <c r="Q253" s="88">
        <f t="shared" si="82"/>
        <v>14</v>
      </c>
      <c r="R253" s="88">
        <f t="shared" si="82"/>
        <v>0</v>
      </c>
      <c r="S253" s="88">
        <f t="shared" si="82"/>
        <v>0</v>
      </c>
      <c r="T253" s="88">
        <f t="shared" si="82"/>
        <v>0</v>
      </c>
      <c r="U253" s="88">
        <f t="shared" si="82"/>
        <v>14</v>
      </c>
      <c r="V253" s="88">
        <f t="shared" si="82"/>
        <v>0</v>
      </c>
      <c r="W253" s="88">
        <f t="shared" si="82"/>
        <v>0</v>
      </c>
      <c r="X253" s="88">
        <f t="shared" si="82"/>
        <v>0</v>
      </c>
      <c r="Y253" s="88">
        <f t="shared" si="82"/>
        <v>0</v>
      </c>
      <c r="Z253" s="88">
        <f t="shared" si="82"/>
        <v>0</v>
      </c>
      <c r="AA253" s="88">
        <f t="shared" si="82"/>
        <v>0</v>
      </c>
      <c r="AB253" s="88">
        <f t="shared" si="82"/>
        <v>0</v>
      </c>
      <c r="AC253" s="88">
        <f t="shared" si="82"/>
        <v>0</v>
      </c>
      <c r="AD253" s="53" t="e">
        <f>#REF!*D253</f>
        <v>#REF!</v>
      </c>
      <c r="AE253" s="53" t="e">
        <f>AD253-#REF!</f>
        <v>#REF!</v>
      </c>
      <c r="AF253" s="49"/>
      <c r="AG253" s="33" t="e">
        <f>#REF!-D253</f>
        <v>#REF!</v>
      </c>
      <c r="AH253" s="9"/>
      <c r="AI253" s="9"/>
      <c r="AJ253" s="9"/>
      <c r="AK253" s="9"/>
    </row>
    <row r="254" spans="1:37" s="12" customFormat="1" ht="20.399999999999999" outlineLevel="1" x14ac:dyDescent="0.2">
      <c r="A254" s="61" t="s">
        <v>855</v>
      </c>
      <c r="B254" s="14" t="s">
        <v>65</v>
      </c>
      <c r="C254" s="9" t="s">
        <v>47</v>
      </c>
      <c r="D254" s="25">
        <f t="shared" si="81"/>
        <v>783</v>
      </c>
      <c r="E254" s="54"/>
      <c r="F254" s="78"/>
      <c r="G254" s="88">
        <f t="shared" ref="G254:AC254" si="83">G247+G240</f>
        <v>0</v>
      </c>
      <c r="H254" s="88">
        <f t="shared" si="83"/>
        <v>134</v>
      </c>
      <c r="I254" s="88">
        <f t="shared" si="83"/>
        <v>17</v>
      </c>
      <c r="J254" s="88">
        <f t="shared" si="83"/>
        <v>0</v>
      </c>
      <c r="K254" s="88">
        <f t="shared" si="83"/>
        <v>0</v>
      </c>
      <c r="L254" s="88">
        <f t="shared" si="83"/>
        <v>69</v>
      </c>
      <c r="M254" s="88">
        <f t="shared" si="83"/>
        <v>67</v>
      </c>
      <c r="N254" s="88">
        <f t="shared" si="83"/>
        <v>61</v>
      </c>
      <c r="O254" s="88">
        <f t="shared" si="83"/>
        <v>193</v>
      </c>
      <c r="P254" s="88">
        <f t="shared" si="83"/>
        <v>30</v>
      </c>
      <c r="Q254" s="88">
        <f t="shared" si="83"/>
        <v>19</v>
      </c>
      <c r="R254" s="88">
        <f t="shared" si="83"/>
        <v>0</v>
      </c>
      <c r="S254" s="88">
        <f t="shared" si="83"/>
        <v>0</v>
      </c>
      <c r="T254" s="88">
        <f t="shared" si="83"/>
        <v>0</v>
      </c>
      <c r="U254" s="88">
        <f t="shared" si="83"/>
        <v>45</v>
      </c>
      <c r="V254" s="88">
        <f t="shared" si="83"/>
        <v>0</v>
      </c>
      <c r="W254" s="88">
        <f t="shared" si="83"/>
        <v>0</v>
      </c>
      <c r="X254" s="88">
        <f t="shared" si="83"/>
        <v>37</v>
      </c>
      <c r="Y254" s="88">
        <f t="shared" si="83"/>
        <v>42</v>
      </c>
      <c r="Z254" s="88">
        <f t="shared" si="83"/>
        <v>32</v>
      </c>
      <c r="AA254" s="88">
        <f t="shared" si="83"/>
        <v>37</v>
      </c>
      <c r="AB254" s="88">
        <f t="shared" si="83"/>
        <v>0</v>
      </c>
      <c r="AC254" s="88">
        <f t="shared" si="83"/>
        <v>0</v>
      </c>
      <c r="AD254" s="53" t="e">
        <f>#REF!*D254</f>
        <v>#REF!</v>
      </c>
      <c r="AE254" s="53" t="e">
        <f>AD254-#REF!</f>
        <v>#REF!</v>
      </c>
      <c r="AF254" s="49"/>
      <c r="AG254" s="33" t="e">
        <f>#REF!-D254</f>
        <v>#REF!</v>
      </c>
      <c r="AH254" s="9"/>
      <c r="AI254" s="9"/>
      <c r="AJ254" s="9"/>
      <c r="AK254" s="9"/>
    </row>
    <row r="255" spans="1:37" s="12" customFormat="1" ht="20.399999999999999" outlineLevel="1" x14ac:dyDescent="0.2">
      <c r="A255" s="61" t="s">
        <v>856</v>
      </c>
      <c r="B255" s="14" t="s">
        <v>217</v>
      </c>
      <c r="C255" s="9" t="s">
        <v>47</v>
      </c>
      <c r="D255" s="25">
        <f t="shared" si="81"/>
        <v>216</v>
      </c>
      <c r="E255" s="54"/>
      <c r="F255" s="78"/>
      <c r="G255" s="88">
        <f t="shared" ref="G255:AC255" si="84">G248+G241</f>
        <v>0</v>
      </c>
      <c r="H255" s="88">
        <f t="shared" si="84"/>
        <v>62</v>
      </c>
      <c r="I255" s="88">
        <f t="shared" si="84"/>
        <v>4</v>
      </c>
      <c r="J255" s="88">
        <f t="shared" si="84"/>
        <v>0</v>
      </c>
      <c r="K255" s="88">
        <f t="shared" si="84"/>
        <v>3</v>
      </c>
      <c r="L255" s="88">
        <f t="shared" si="84"/>
        <v>3</v>
      </c>
      <c r="M255" s="88">
        <f t="shared" si="84"/>
        <v>4</v>
      </c>
      <c r="N255" s="88">
        <f t="shared" si="84"/>
        <v>4</v>
      </c>
      <c r="O255" s="88">
        <f t="shared" si="84"/>
        <v>3</v>
      </c>
      <c r="P255" s="88">
        <f t="shared" si="84"/>
        <v>4</v>
      </c>
      <c r="Q255" s="88">
        <f t="shared" si="84"/>
        <v>3</v>
      </c>
      <c r="R255" s="88">
        <f t="shared" si="84"/>
        <v>0</v>
      </c>
      <c r="S255" s="88">
        <f t="shared" si="84"/>
        <v>0</v>
      </c>
      <c r="T255" s="88">
        <f t="shared" si="84"/>
        <v>0</v>
      </c>
      <c r="U255" s="88">
        <f t="shared" si="84"/>
        <v>25</v>
      </c>
      <c r="V255" s="88">
        <f t="shared" si="84"/>
        <v>59</v>
      </c>
      <c r="W255" s="88">
        <f t="shared" si="84"/>
        <v>34</v>
      </c>
      <c r="X255" s="88">
        <f t="shared" si="84"/>
        <v>5</v>
      </c>
      <c r="Y255" s="88">
        <f t="shared" si="84"/>
        <v>1</v>
      </c>
      <c r="Z255" s="88">
        <f t="shared" si="84"/>
        <v>0</v>
      </c>
      <c r="AA255" s="88">
        <f t="shared" si="84"/>
        <v>2</v>
      </c>
      <c r="AB255" s="88">
        <f t="shared" si="84"/>
        <v>0</v>
      </c>
      <c r="AC255" s="88">
        <f t="shared" si="84"/>
        <v>0</v>
      </c>
      <c r="AD255" s="53" t="e">
        <f>#REF!*D255</f>
        <v>#REF!</v>
      </c>
      <c r="AE255" s="53" t="e">
        <f>AD255-#REF!</f>
        <v>#REF!</v>
      </c>
      <c r="AF255" s="49"/>
      <c r="AG255" s="33" t="e">
        <f>#REF!-D255</f>
        <v>#REF!</v>
      </c>
      <c r="AH255" s="9"/>
      <c r="AI255" s="9"/>
      <c r="AJ255" s="9"/>
      <c r="AK255" s="9"/>
    </row>
    <row r="256" spans="1:37" s="12" customFormat="1" ht="20.399999999999999" outlineLevel="1" x14ac:dyDescent="0.2">
      <c r="A256" s="61" t="s">
        <v>857</v>
      </c>
      <c r="B256" s="14" t="s">
        <v>66</v>
      </c>
      <c r="C256" s="9" t="s">
        <v>47</v>
      </c>
      <c r="D256" s="25">
        <f t="shared" si="81"/>
        <v>84</v>
      </c>
      <c r="E256" s="54"/>
      <c r="F256" s="78"/>
      <c r="G256" s="88">
        <f t="shared" ref="G256:AC256" si="85">G249+G242</f>
        <v>0</v>
      </c>
      <c r="H256" s="88">
        <f t="shared" si="85"/>
        <v>33</v>
      </c>
      <c r="I256" s="88">
        <f t="shared" si="85"/>
        <v>4</v>
      </c>
      <c r="J256" s="88">
        <f t="shared" si="85"/>
        <v>2</v>
      </c>
      <c r="K256" s="88">
        <f t="shared" si="85"/>
        <v>6</v>
      </c>
      <c r="L256" s="88">
        <f t="shared" si="85"/>
        <v>7</v>
      </c>
      <c r="M256" s="88">
        <f t="shared" si="85"/>
        <v>4</v>
      </c>
      <c r="N256" s="88">
        <f t="shared" si="85"/>
        <v>2</v>
      </c>
      <c r="O256" s="88">
        <f t="shared" si="85"/>
        <v>11</v>
      </c>
      <c r="P256" s="88">
        <f t="shared" si="85"/>
        <v>0</v>
      </c>
      <c r="Q256" s="88">
        <f t="shared" si="85"/>
        <v>1</v>
      </c>
      <c r="R256" s="88">
        <f t="shared" si="85"/>
        <v>0</v>
      </c>
      <c r="S256" s="88">
        <f t="shared" si="85"/>
        <v>0</v>
      </c>
      <c r="T256" s="88">
        <f t="shared" si="85"/>
        <v>0</v>
      </c>
      <c r="U256" s="88">
        <f t="shared" si="85"/>
        <v>14</v>
      </c>
      <c r="V256" s="88">
        <f t="shared" si="85"/>
        <v>0</v>
      </c>
      <c r="W256" s="88">
        <f t="shared" si="85"/>
        <v>0</v>
      </c>
      <c r="X256" s="88">
        <f t="shared" si="85"/>
        <v>0</v>
      </c>
      <c r="Y256" s="88">
        <f t="shared" si="85"/>
        <v>0</v>
      </c>
      <c r="Z256" s="88">
        <f t="shared" si="85"/>
        <v>0</v>
      </c>
      <c r="AA256" s="88">
        <f t="shared" si="85"/>
        <v>0</v>
      </c>
      <c r="AB256" s="88">
        <f t="shared" si="85"/>
        <v>0</v>
      </c>
      <c r="AC256" s="88">
        <f t="shared" si="85"/>
        <v>0</v>
      </c>
      <c r="AD256" s="53" t="e">
        <f>#REF!*D256</f>
        <v>#REF!</v>
      </c>
      <c r="AE256" s="53" t="e">
        <f>AD256-#REF!</f>
        <v>#REF!</v>
      </c>
      <c r="AF256" s="49"/>
      <c r="AG256" s="33" t="e">
        <f>#REF!-D256</f>
        <v>#REF!</v>
      </c>
      <c r="AH256" s="9"/>
      <c r="AI256" s="9"/>
      <c r="AJ256" s="9"/>
      <c r="AK256" s="9"/>
    </row>
    <row r="257" spans="1:37" s="12" customFormat="1" ht="20.399999999999999" outlineLevel="1" x14ac:dyDescent="0.2">
      <c r="A257" s="61" t="s">
        <v>858</v>
      </c>
      <c r="B257" s="14" t="s">
        <v>67</v>
      </c>
      <c r="C257" s="9" t="s">
        <v>47</v>
      </c>
      <c r="D257" s="25">
        <f t="shared" si="81"/>
        <v>44</v>
      </c>
      <c r="E257" s="54"/>
      <c r="F257" s="78"/>
      <c r="G257" s="88">
        <f t="shared" ref="G257:AC257" si="86">G250+G243</f>
        <v>0</v>
      </c>
      <c r="H257" s="88">
        <f t="shared" si="86"/>
        <v>4</v>
      </c>
      <c r="I257" s="88">
        <f t="shared" si="86"/>
        <v>3</v>
      </c>
      <c r="J257" s="88">
        <f t="shared" si="86"/>
        <v>4</v>
      </c>
      <c r="K257" s="88">
        <f t="shared" si="86"/>
        <v>0</v>
      </c>
      <c r="L257" s="88">
        <f t="shared" si="86"/>
        <v>2</v>
      </c>
      <c r="M257" s="88">
        <f t="shared" si="86"/>
        <v>1</v>
      </c>
      <c r="N257" s="88">
        <f t="shared" si="86"/>
        <v>2</v>
      </c>
      <c r="O257" s="88">
        <f t="shared" si="86"/>
        <v>2</v>
      </c>
      <c r="P257" s="88">
        <f t="shared" si="86"/>
        <v>2</v>
      </c>
      <c r="Q257" s="88">
        <f t="shared" si="86"/>
        <v>0</v>
      </c>
      <c r="R257" s="88">
        <f t="shared" si="86"/>
        <v>0</v>
      </c>
      <c r="S257" s="88">
        <f t="shared" si="86"/>
        <v>0</v>
      </c>
      <c r="T257" s="88">
        <f t="shared" si="86"/>
        <v>0</v>
      </c>
      <c r="U257" s="88">
        <f t="shared" si="86"/>
        <v>4</v>
      </c>
      <c r="V257" s="88">
        <f t="shared" si="86"/>
        <v>8</v>
      </c>
      <c r="W257" s="88">
        <f t="shared" si="86"/>
        <v>0</v>
      </c>
      <c r="X257" s="88">
        <f t="shared" si="86"/>
        <v>1</v>
      </c>
      <c r="Y257" s="88">
        <f t="shared" si="86"/>
        <v>0</v>
      </c>
      <c r="Z257" s="88">
        <f t="shared" si="86"/>
        <v>3</v>
      </c>
      <c r="AA257" s="88">
        <f t="shared" si="86"/>
        <v>2</v>
      </c>
      <c r="AB257" s="88">
        <f t="shared" si="86"/>
        <v>6</v>
      </c>
      <c r="AC257" s="88">
        <f t="shared" si="86"/>
        <v>0</v>
      </c>
      <c r="AD257" s="53" t="e">
        <f>#REF!*D257</f>
        <v>#REF!</v>
      </c>
      <c r="AE257" s="53" t="e">
        <f>AD257-#REF!</f>
        <v>#REF!</v>
      </c>
      <c r="AF257" s="49"/>
      <c r="AG257" s="33" t="e">
        <f>#REF!-D257</f>
        <v>#REF!</v>
      </c>
      <c r="AH257" s="9"/>
      <c r="AI257" s="9"/>
      <c r="AJ257" s="9"/>
      <c r="AK257" s="9"/>
    </row>
    <row r="258" spans="1:37" s="12" customFormat="1" ht="20.399999999999999" outlineLevel="1" x14ac:dyDescent="0.2">
      <c r="A258" s="61" t="s">
        <v>859</v>
      </c>
      <c r="B258" s="14" t="s">
        <v>319</v>
      </c>
      <c r="C258" s="9" t="s">
        <v>47</v>
      </c>
      <c r="D258" s="25">
        <f t="shared" si="81"/>
        <v>44</v>
      </c>
      <c r="E258" s="54"/>
      <c r="F258" s="78"/>
      <c r="G258" s="88">
        <f t="shared" ref="G258:AC258" si="87">G251+G244</f>
        <v>0</v>
      </c>
      <c r="H258" s="88">
        <f t="shared" si="87"/>
        <v>8</v>
      </c>
      <c r="I258" s="88">
        <f t="shared" si="87"/>
        <v>8</v>
      </c>
      <c r="J258" s="88">
        <f t="shared" si="87"/>
        <v>0</v>
      </c>
      <c r="K258" s="88">
        <f t="shared" si="87"/>
        <v>14</v>
      </c>
      <c r="L258" s="88">
        <f t="shared" si="87"/>
        <v>0</v>
      </c>
      <c r="M258" s="88">
        <f t="shared" si="87"/>
        <v>0</v>
      </c>
      <c r="N258" s="88">
        <f t="shared" si="87"/>
        <v>0</v>
      </c>
      <c r="O258" s="88">
        <f t="shared" si="87"/>
        <v>0</v>
      </c>
      <c r="P258" s="88">
        <f t="shared" si="87"/>
        <v>0</v>
      </c>
      <c r="Q258" s="88">
        <f t="shared" si="87"/>
        <v>1</v>
      </c>
      <c r="R258" s="88">
        <f t="shared" si="87"/>
        <v>0</v>
      </c>
      <c r="S258" s="88">
        <f t="shared" si="87"/>
        <v>0</v>
      </c>
      <c r="T258" s="88">
        <f t="shared" si="87"/>
        <v>0</v>
      </c>
      <c r="U258" s="88">
        <f t="shared" si="87"/>
        <v>0</v>
      </c>
      <c r="V258" s="88">
        <f t="shared" si="87"/>
        <v>0</v>
      </c>
      <c r="W258" s="88">
        <f t="shared" si="87"/>
        <v>0</v>
      </c>
      <c r="X258" s="88">
        <f t="shared" si="87"/>
        <v>13</v>
      </c>
      <c r="Y258" s="88">
        <f t="shared" si="87"/>
        <v>0</v>
      </c>
      <c r="Z258" s="88">
        <f t="shared" si="87"/>
        <v>0</v>
      </c>
      <c r="AA258" s="88">
        <f t="shared" si="87"/>
        <v>0</v>
      </c>
      <c r="AB258" s="88">
        <f t="shared" si="87"/>
        <v>0</v>
      </c>
      <c r="AC258" s="88">
        <f t="shared" si="87"/>
        <v>0</v>
      </c>
      <c r="AD258" s="53" t="e">
        <f>#REF!*D258</f>
        <v>#REF!</v>
      </c>
      <c r="AE258" s="53" t="e">
        <f>AD258-#REF!</f>
        <v>#REF!</v>
      </c>
      <c r="AF258" s="49"/>
      <c r="AG258" s="33" t="e">
        <f>#REF!-D258</f>
        <v>#REF!</v>
      </c>
      <c r="AH258" s="9"/>
      <c r="AI258" s="9"/>
      <c r="AJ258" s="9"/>
      <c r="AK258" s="9"/>
    </row>
    <row r="259" spans="1:37" s="12" customFormat="1" ht="20.399999999999999" outlineLevel="1" x14ac:dyDescent="0.2">
      <c r="A259" s="61" t="s">
        <v>860</v>
      </c>
      <c r="B259" s="14" t="s">
        <v>293</v>
      </c>
      <c r="C259" s="9" t="s">
        <v>47</v>
      </c>
      <c r="D259" s="25">
        <f t="shared" si="81"/>
        <v>10</v>
      </c>
      <c r="E259" s="54"/>
      <c r="F259" s="78"/>
      <c r="G259" s="88">
        <f t="shared" ref="G259:AC259" si="88">G252+G245</f>
        <v>0</v>
      </c>
      <c r="H259" s="88">
        <f t="shared" si="88"/>
        <v>0</v>
      </c>
      <c r="I259" s="88">
        <f t="shared" si="88"/>
        <v>10</v>
      </c>
      <c r="J259" s="88">
        <f t="shared" si="88"/>
        <v>0</v>
      </c>
      <c r="K259" s="88">
        <f t="shared" si="88"/>
        <v>0</v>
      </c>
      <c r="L259" s="88">
        <f t="shared" si="88"/>
        <v>0</v>
      </c>
      <c r="M259" s="88">
        <f t="shared" si="88"/>
        <v>0</v>
      </c>
      <c r="N259" s="88">
        <f t="shared" si="88"/>
        <v>0</v>
      </c>
      <c r="O259" s="88">
        <f t="shared" si="88"/>
        <v>0</v>
      </c>
      <c r="P259" s="88">
        <f t="shared" si="88"/>
        <v>0</v>
      </c>
      <c r="Q259" s="88">
        <f t="shared" si="88"/>
        <v>0</v>
      </c>
      <c r="R259" s="88">
        <f t="shared" si="88"/>
        <v>0</v>
      </c>
      <c r="S259" s="88">
        <f t="shared" si="88"/>
        <v>0</v>
      </c>
      <c r="T259" s="88">
        <f t="shared" si="88"/>
        <v>0</v>
      </c>
      <c r="U259" s="88">
        <f t="shared" si="88"/>
        <v>0</v>
      </c>
      <c r="V259" s="88">
        <f t="shared" si="88"/>
        <v>0</v>
      </c>
      <c r="W259" s="88">
        <f t="shared" si="88"/>
        <v>0</v>
      </c>
      <c r="X259" s="88">
        <f t="shared" si="88"/>
        <v>0</v>
      </c>
      <c r="Y259" s="88">
        <f t="shared" si="88"/>
        <v>0</v>
      </c>
      <c r="Z259" s="88">
        <f t="shared" si="88"/>
        <v>0</v>
      </c>
      <c r="AA259" s="88">
        <f t="shared" si="88"/>
        <v>0</v>
      </c>
      <c r="AB259" s="88">
        <f t="shared" si="88"/>
        <v>0</v>
      </c>
      <c r="AC259" s="88">
        <f t="shared" si="88"/>
        <v>0</v>
      </c>
      <c r="AD259" s="53" t="e">
        <f>#REF!*D259</f>
        <v>#REF!</v>
      </c>
      <c r="AE259" s="53" t="e">
        <f>AD259-#REF!</f>
        <v>#REF!</v>
      </c>
      <c r="AF259" s="49"/>
      <c r="AG259" s="33" t="e">
        <f>#REF!-D259</f>
        <v>#REF!</v>
      </c>
      <c r="AH259" s="9"/>
      <c r="AI259" s="9"/>
      <c r="AJ259" s="9"/>
      <c r="AK259" s="9"/>
    </row>
    <row r="260" spans="1:37" s="12" customFormat="1" ht="20.399999999999999" outlineLevel="1" x14ac:dyDescent="0.2">
      <c r="A260" s="61" t="s">
        <v>861</v>
      </c>
      <c r="B260" s="14" t="s">
        <v>68</v>
      </c>
      <c r="C260" s="9" t="s">
        <v>36</v>
      </c>
      <c r="D260" s="25">
        <f t="shared" si="81"/>
        <v>43</v>
      </c>
      <c r="E260" s="54"/>
      <c r="F260" s="78"/>
      <c r="G260" s="33">
        <v>0</v>
      </c>
      <c r="H260" s="33">
        <v>13</v>
      </c>
      <c r="I260" s="9">
        <v>15</v>
      </c>
      <c r="J260" s="9">
        <v>0</v>
      </c>
      <c r="K260" s="9">
        <v>0</v>
      </c>
      <c r="L260" s="9">
        <v>0</v>
      </c>
      <c r="M260" s="9">
        <v>0</v>
      </c>
      <c r="N260" s="9">
        <v>0</v>
      </c>
      <c r="O260" s="9">
        <v>2</v>
      </c>
      <c r="P260" s="9">
        <v>2</v>
      </c>
      <c r="Q260" s="9">
        <v>7</v>
      </c>
      <c r="R260" s="9">
        <v>0</v>
      </c>
      <c r="S260" s="9">
        <v>0</v>
      </c>
      <c r="T260" s="9">
        <v>0</v>
      </c>
      <c r="U260" s="33">
        <v>4</v>
      </c>
      <c r="V260" s="9">
        <v>0</v>
      </c>
      <c r="W260" s="9">
        <v>0</v>
      </c>
      <c r="X260" s="9">
        <v>0</v>
      </c>
      <c r="Y260" s="9">
        <v>0</v>
      </c>
      <c r="Z260" s="9">
        <v>0</v>
      </c>
      <c r="AA260" s="9">
        <v>0</v>
      </c>
      <c r="AB260" s="9">
        <v>0</v>
      </c>
      <c r="AC260" s="9">
        <v>0</v>
      </c>
      <c r="AD260" s="53" t="e">
        <f>#REF!*D260</f>
        <v>#REF!</v>
      </c>
      <c r="AE260" s="53" t="e">
        <f>AD260-#REF!</f>
        <v>#REF!</v>
      </c>
      <c r="AF260" s="9"/>
      <c r="AG260" s="33" t="e">
        <f>#REF!-D260</f>
        <v>#REF!</v>
      </c>
      <c r="AH260" s="9"/>
      <c r="AI260" s="9"/>
      <c r="AJ260" s="9"/>
      <c r="AK260" s="9"/>
    </row>
    <row r="261" spans="1:37" s="12" customFormat="1" ht="20.399999999999999" outlineLevel="1" x14ac:dyDescent="0.2">
      <c r="A261" s="61" t="s">
        <v>862</v>
      </c>
      <c r="B261" s="14" t="s">
        <v>226</v>
      </c>
      <c r="C261" s="9" t="s">
        <v>36</v>
      </c>
      <c r="D261" s="25">
        <f t="shared" si="81"/>
        <v>370</v>
      </c>
      <c r="E261" s="54"/>
      <c r="F261" s="78"/>
      <c r="G261" s="33">
        <v>0</v>
      </c>
      <c r="H261" s="33">
        <v>11</v>
      </c>
      <c r="I261" s="9">
        <v>6</v>
      </c>
      <c r="J261" s="9">
        <v>0</v>
      </c>
      <c r="K261" s="9">
        <v>0</v>
      </c>
      <c r="L261" s="9">
        <v>38</v>
      </c>
      <c r="M261" s="9">
        <v>39</v>
      </c>
      <c r="N261" s="9">
        <v>34</v>
      </c>
      <c r="O261" s="9">
        <f>32+28</f>
        <v>60</v>
      </c>
      <c r="P261" s="9">
        <v>0</v>
      </c>
      <c r="Q261" s="9">
        <v>0</v>
      </c>
      <c r="R261" s="9">
        <v>0</v>
      </c>
      <c r="S261" s="9">
        <v>0</v>
      </c>
      <c r="T261" s="9">
        <v>0</v>
      </c>
      <c r="U261" s="33">
        <f t="shared" ref="U261:AB261" si="89">U247*2</f>
        <v>10</v>
      </c>
      <c r="V261" s="33">
        <f t="shared" si="89"/>
        <v>0</v>
      </c>
      <c r="W261" s="33">
        <f t="shared" si="89"/>
        <v>0</v>
      </c>
      <c r="X261" s="33">
        <f t="shared" si="89"/>
        <v>44</v>
      </c>
      <c r="Y261" s="33">
        <f t="shared" si="89"/>
        <v>44</v>
      </c>
      <c r="Z261" s="33">
        <f t="shared" si="89"/>
        <v>40</v>
      </c>
      <c r="AA261" s="33">
        <f t="shared" si="89"/>
        <v>44</v>
      </c>
      <c r="AB261" s="33">
        <f t="shared" si="89"/>
        <v>0</v>
      </c>
      <c r="AC261" s="9">
        <v>0</v>
      </c>
      <c r="AD261" s="53" t="e">
        <f>#REF!*D261</f>
        <v>#REF!</v>
      </c>
      <c r="AE261" s="53" t="e">
        <f>AD261-#REF!</f>
        <v>#REF!</v>
      </c>
      <c r="AF261" s="9"/>
      <c r="AG261" s="33" t="e">
        <f>#REF!-D261</f>
        <v>#REF!</v>
      </c>
      <c r="AH261" s="9"/>
      <c r="AI261" s="9"/>
      <c r="AJ261" s="9"/>
      <c r="AK261" s="9"/>
    </row>
    <row r="262" spans="1:37" s="12" customFormat="1" ht="20.399999999999999" outlineLevel="1" x14ac:dyDescent="0.2">
      <c r="A262" s="61" t="s">
        <v>863</v>
      </c>
      <c r="B262" s="14" t="s">
        <v>227</v>
      </c>
      <c r="C262" s="9" t="s">
        <v>36</v>
      </c>
      <c r="D262" s="25">
        <f t="shared" si="81"/>
        <v>112</v>
      </c>
      <c r="E262" s="54"/>
      <c r="F262" s="78"/>
      <c r="G262" s="33">
        <v>0</v>
      </c>
      <c r="H262" s="33">
        <v>12</v>
      </c>
      <c r="I262" s="9">
        <v>2</v>
      </c>
      <c r="J262" s="9">
        <v>0</v>
      </c>
      <c r="K262" s="9">
        <v>2</v>
      </c>
      <c r="L262" s="9">
        <v>2</v>
      </c>
      <c r="M262" s="9">
        <v>2</v>
      </c>
      <c r="N262" s="9">
        <v>2</v>
      </c>
      <c r="O262" s="9">
        <v>1</v>
      </c>
      <c r="P262" s="9">
        <v>2</v>
      </c>
      <c r="Q262" s="9">
        <v>8</v>
      </c>
      <c r="R262" s="9">
        <v>5</v>
      </c>
      <c r="S262" s="9">
        <v>0</v>
      </c>
      <c r="T262" s="9">
        <v>0</v>
      </c>
      <c r="U262" s="33">
        <f t="shared" ref="U262:AA265" si="90">U248*2</f>
        <v>14</v>
      </c>
      <c r="V262" s="33">
        <f t="shared" si="90"/>
        <v>30</v>
      </c>
      <c r="W262" s="33">
        <f t="shared" si="90"/>
        <v>20</v>
      </c>
      <c r="X262" s="33">
        <f t="shared" si="90"/>
        <v>6</v>
      </c>
      <c r="Y262" s="33">
        <f t="shared" si="90"/>
        <v>2</v>
      </c>
      <c r="Z262" s="33">
        <f t="shared" si="90"/>
        <v>0</v>
      </c>
      <c r="AA262" s="33">
        <f t="shared" si="90"/>
        <v>2</v>
      </c>
      <c r="AB262" s="9">
        <v>0</v>
      </c>
      <c r="AC262" s="9">
        <v>0</v>
      </c>
      <c r="AD262" s="53" t="e">
        <f>#REF!*D262</f>
        <v>#REF!</v>
      </c>
      <c r="AE262" s="53" t="e">
        <f>AD262-#REF!</f>
        <v>#REF!</v>
      </c>
      <c r="AF262" s="9"/>
      <c r="AG262" s="33" t="e">
        <f>#REF!-D262</f>
        <v>#REF!</v>
      </c>
      <c r="AH262" s="9"/>
      <c r="AI262" s="9"/>
      <c r="AJ262" s="9"/>
      <c r="AK262" s="9"/>
    </row>
    <row r="263" spans="1:37" s="12" customFormat="1" ht="20.399999999999999" outlineLevel="1" x14ac:dyDescent="0.2">
      <c r="A263" s="61" t="s">
        <v>864</v>
      </c>
      <c r="B263" s="14" t="s">
        <v>228</v>
      </c>
      <c r="C263" s="9" t="s">
        <v>36</v>
      </c>
      <c r="D263" s="25">
        <f t="shared" si="81"/>
        <v>42</v>
      </c>
      <c r="E263" s="54"/>
      <c r="F263" s="78"/>
      <c r="G263" s="33">
        <v>0</v>
      </c>
      <c r="H263" s="33">
        <v>3</v>
      </c>
      <c r="I263" s="9">
        <v>4</v>
      </c>
      <c r="J263" s="9">
        <v>1</v>
      </c>
      <c r="K263" s="9">
        <v>4</v>
      </c>
      <c r="L263" s="9">
        <v>3</v>
      </c>
      <c r="M263" s="9">
        <v>1</v>
      </c>
      <c r="N263" s="9">
        <v>1</v>
      </c>
      <c r="O263" s="9">
        <v>3</v>
      </c>
      <c r="P263" s="9">
        <v>0</v>
      </c>
      <c r="Q263" s="9">
        <v>2</v>
      </c>
      <c r="R263" s="9">
        <v>12</v>
      </c>
      <c r="S263" s="9">
        <v>0</v>
      </c>
      <c r="T263" s="9">
        <v>0</v>
      </c>
      <c r="U263" s="33">
        <f t="shared" si="90"/>
        <v>8</v>
      </c>
      <c r="V263" s="33">
        <f t="shared" si="90"/>
        <v>0</v>
      </c>
      <c r="W263" s="33">
        <f t="shared" si="90"/>
        <v>0</v>
      </c>
      <c r="X263" s="33">
        <f t="shared" si="90"/>
        <v>0</v>
      </c>
      <c r="Y263" s="33">
        <f t="shared" si="90"/>
        <v>0</v>
      </c>
      <c r="Z263" s="33">
        <f t="shared" si="90"/>
        <v>0</v>
      </c>
      <c r="AA263" s="33">
        <f t="shared" si="90"/>
        <v>0</v>
      </c>
      <c r="AB263" s="9">
        <v>0</v>
      </c>
      <c r="AC263" s="9">
        <v>0</v>
      </c>
      <c r="AD263" s="53" t="e">
        <f>#REF!*D263</f>
        <v>#REF!</v>
      </c>
      <c r="AE263" s="53" t="e">
        <f>AD263-#REF!</f>
        <v>#REF!</v>
      </c>
      <c r="AF263" s="9"/>
      <c r="AG263" s="33" t="e">
        <f>#REF!-D263</f>
        <v>#REF!</v>
      </c>
      <c r="AH263" s="9"/>
      <c r="AI263" s="9"/>
      <c r="AJ263" s="9"/>
      <c r="AK263" s="9"/>
    </row>
    <row r="264" spans="1:37" s="12" customFormat="1" ht="20.399999999999999" outlineLevel="1" x14ac:dyDescent="0.2">
      <c r="A264" s="61" t="s">
        <v>865</v>
      </c>
      <c r="B264" s="14" t="s">
        <v>229</v>
      </c>
      <c r="C264" s="9" t="s">
        <v>36</v>
      </c>
      <c r="D264" s="25">
        <f t="shared" si="81"/>
        <v>32</v>
      </c>
      <c r="E264" s="54"/>
      <c r="F264" s="78"/>
      <c r="G264" s="33">
        <v>0</v>
      </c>
      <c r="H264" s="33">
        <v>2</v>
      </c>
      <c r="I264" s="9">
        <v>2</v>
      </c>
      <c r="J264" s="9">
        <v>4</v>
      </c>
      <c r="K264" s="9">
        <v>0</v>
      </c>
      <c r="L264" s="9">
        <v>1</v>
      </c>
      <c r="M264" s="9">
        <v>1</v>
      </c>
      <c r="N264" s="9">
        <v>1</v>
      </c>
      <c r="O264" s="9">
        <v>1</v>
      </c>
      <c r="P264" s="9">
        <v>1</v>
      </c>
      <c r="Q264" s="9">
        <v>0</v>
      </c>
      <c r="R264" s="9">
        <v>1</v>
      </c>
      <c r="S264" s="9">
        <v>0</v>
      </c>
      <c r="T264" s="9">
        <v>0</v>
      </c>
      <c r="U264" s="33">
        <f t="shared" si="90"/>
        <v>4</v>
      </c>
      <c r="V264" s="33">
        <f t="shared" si="90"/>
        <v>4</v>
      </c>
      <c r="W264" s="33">
        <f t="shared" si="90"/>
        <v>0</v>
      </c>
      <c r="X264" s="33">
        <f t="shared" si="90"/>
        <v>2</v>
      </c>
      <c r="Y264" s="33">
        <f t="shared" si="90"/>
        <v>0</v>
      </c>
      <c r="Z264" s="33">
        <f t="shared" si="90"/>
        <v>4</v>
      </c>
      <c r="AA264" s="33">
        <f t="shared" si="90"/>
        <v>2</v>
      </c>
      <c r="AB264" s="9">
        <v>2</v>
      </c>
      <c r="AC264" s="9">
        <v>0</v>
      </c>
      <c r="AD264" s="53" t="e">
        <f>#REF!*D264</f>
        <v>#REF!</v>
      </c>
      <c r="AE264" s="53" t="e">
        <f>AD264-#REF!</f>
        <v>#REF!</v>
      </c>
      <c r="AF264" s="9"/>
      <c r="AG264" s="33" t="e">
        <f>#REF!-D264</f>
        <v>#REF!</v>
      </c>
      <c r="AH264" s="9"/>
      <c r="AI264" s="9"/>
      <c r="AJ264" s="9"/>
      <c r="AK264" s="9"/>
    </row>
    <row r="265" spans="1:37" s="12" customFormat="1" ht="20.399999999999999" outlineLevel="1" x14ac:dyDescent="0.2">
      <c r="A265" s="61" t="s">
        <v>866</v>
      </c>
      <c r="B265" s="14" t="s">
        <v>320</v>
      </c>
      <c r="C265" s="9" t="s">
        <v>36</v>
      </c>
      <c r="D265" s="25">
        <f t="shared" si="81"/>
        <v>21</v>
      </c>
      <c r="E265" s="54"/>
      <c r="F265" s="78"/>
      <c r="G265" s="33">
        <v>0</v>
      </c>
      <c r="H265" s="33">
        <v>2</v>
      </c>
      <c r="I265" s="9">
        <v>2</v>
      </c>
      <c r="J265" s="9">
        <v>0</v>
      </c>
      <c r="K265" s="9">
        <v>1</v>
      </c>
      <c r="L265" s="9">
        <v>0</v>
      </c>
      <c r="M265" s="9">
        <v>0</v>
      </c>
      <c r="N265" s="9">
        <v>0</v>
      </c>
      <c r="O265" s="9">
        <v>0</v>
      </c>
      <c r="P265" s="9">
        <v>0</v>
      </c>
      <c r="Q265" s="9">
        <v>2</v>
      </c>
      <c r="R265" s="9">
        <v>2</v>
      </c>
      <c r="S265" s="9">
        <v>0</v>
      </c>
      <c r="T265" s="9">
        <v>0</v>
      </c>
      <c r="U265" s="33">
        <f t="shared" si="90"/>
        <v>0</v>
      </c>
      <c r="V265" s="33">
        <f t="shared" si="90"/>
        <v>0</v>
      </c>
      <c r="W265" s="33">
        <f t="shared" si="90"/>
        <v>0</v>
      </c>
      <c r="X265" s="33">
        <f t="shared" si="90"/>
        <v>12</v>
      </c>
      <c r="Y265" s="33">
        <f t="shared" si="90"/>
        <v>0</v>
      </c>
      <c r="Z265" s="33">
        <f t="shared" si="90"/>
        <v>0</v>
      </c>
      <c r="AA265" s="33">
        <f t="shared" si="90"/>
        <v>0</v>
      </c>
      <c r="AB265" s="9">
        <v>0</v>
      </c>
      <c r="AC265" s="9">
        <v>0</v>
      </c>
      <c r="AD265" s="53" t="e">
        <f>#REF!*D265</f>
        <v>#REF!</v>
      </c>
      <c r="AE265" s="53" t="e">
        <f>AD265-#REF!</f>
        <v>#REF!</v>
      </c>
      <c r="AF265" s="9"/>
      <c r="AG265" s="33" t="e">
        <f>#REF!-D265</f>
        <v>#REF!</v>
      </c>
      <c r="AH265" s="9"/>
      <c r="AI265" s="9"/>
      <c r="AJ265" s="9"/>
      <c r="AK265" s="9"/>
    </row>
    <row r="266" spans="1:37" s="12" customFormat="1" ht="20.399999999999999" outlineLevel="1" x14ac:dyDescent="0.2">
      <c r="A266" s="61" t="s">
        <v>867</v>
      </c>
      <c r="B266" s="14" t="s">
        <v>321</v>
      </c>
      <c r="C266" s="9" t="s">
        <v>36</v>
      </c>
      <c r="D266" s="25">
        <f t="shared" si="81"/>
        <v>16</v>
      </c>
      <c r="E266" s="54"/>
      <c r="F266" s="78"/>
      <c r="G266" s="33">
        <v>0</v>
      </c>
      <c r="H266" s="33">
        <v>0</v>
      </c>
      <c r="I266" s="9">
        <v>5</v>
      </c>
      <c r="J266" s="9">
        <v>0</v>
      </c>
      <c r="K266" s="9">
        <v>0</v>
      </c>
      <c r="L266" s="9">
        <v>0</v>
      </c>
      <c r="M266" s="9">
        <v>0</v>
      </c>
      <c r="N266" s="9">
        <v>0</v>
      </c>
      <c r="O266" s="9">
        <v>0</v>
      </c>
      <c r="P266" s="9">
        <v>0</v>
      </c>
      <c r="Q266" s="9">
        <v>0</v>
      </c>
      <c r="R266" s="9">
        <v>0</v>
      </c>
      <c r="S266" s="9">
        <v>0</v>
      </c>
      <c r="T266" s="9">
        <v>0</v>
      </c>
      <c r="U266" s="33">
        <v>0</v>
      </c>
      <c r="V266" s="9">
        <v>0</v>
      </c>
      <c r="W266" s="9">
        <v>0</v>
      </c>
      <c r="X266" s="9">
        <v>0</v>
      </c>
      <c r="Y266" s="9">
        <v>11</v>
      </c>
      <c r="Z266" s="9">
        <v>0</v>
      </c>
      <c r="AA266" s="9">
        <v>0</v>
      </c>
      <c r="AB266" s="9">
        <v>0</v>
      </c>
      <c r="AC266" s="9">
        <v>0</v>
      </c>
      <c r="AD266" s="53" t="e">
        <f>#REF!*D266</f>
        <v>#REF!</v>
      </c>
      <c r="AE266" s="53" t="e">
        <f>AD266-#REF!</f>
        <v>#REF!</v>
      </c>
      <c r="AF266" s="9"/>
      <c r="AG266" s="33" t="e">
        <f>#REF!-D266</f>
        <v>#REF!</v>
      </c>
      <c r="AH266" s="9"/>
      <c r="AI266" s="9"/>
      <c r="AJ266" s="9"/>
      <c r="AK266" s="9"/>
    </row>
    <row r="267" spans="1:37" s="12" customFormat="1" ht="20.399999999999999" outlineLevel="1" x14ac:dyDescent="0.2">
      <c r="A267" s="61" t="s">
        <v>868</v>
      </c>
      <c r="B267" s="14" t="s">
        <v>492</v>
      </c>
      <c r="C267" s="9" t="s">
        <v>48</v>
      </c>
      <c r="D267" s="25">
        <f t="shared" si="81"/>
        <v>45</v>
      </c>
      <c r="E267" s="54"/>
      <c r="F267" s="78"/>
      <c r="G267" s="33">
        <v>0</v>
      </c>
      <c r="H267" s="33">
        <v>0</v>
      </c>
      <c r="I267" s="9">
        <v>0</v>
      </c>
      <c r="J267" s="9">
        <v>0</v>
      </c>
      <c r="K267" s="9">
        <v>0</v>
      </c>
      <c r="L267" s="9">
        <v>0</v>
      </c>
      <c r="M267" s="9">
        <v>0</v>
      </c>
      <c r="N267" s="9">
        <v>0</v>
      </c>
      <c r="O267" s="9">
        <v>0</v>
      </c>
      <c r="P267" s="9">
        <v>0</v>
      </c>
      <c r="Q267" s="9">
        <v>0</v>
      </c>
      <c r="R267" s="9">
        <v>45</v>
      </c>
      <c r="S267" s="9">
        <v>0</v>
      </c>
      <c r="T267" s="9">
        <v>0</v>
      </c>
      <c r="U267" s="33">
        <v>0</v>
      </c>
      <c r="V267" s="9">
        <v>0</v>
      </c>
      <c r="W267" s="9">
        <v>0</v>
      </c>
      <c r="X267" s="9">
        <v>0</v>
      </c>
      <c r="Y267" s="9">
        <v>0</v>
      </c>
      <c r="Z267" s="9">
        <v>0</v>
      </c>
      <c r="AA267" s="9">
        <v>0</v>
      </c>
      <c r="AB267" s="9">
        <v>0</v>
      </c>
      <c r="AC267" s="9">
        <v>0</v>
      </c>
      <c r="AD267" s="53" t="e">
        <f>#REF!*D267</f>
        <v>#REF!</v>
      </c>
      <c r="AE267" s="53" t="e">
        <f>AD267-#REF!</f>
        <v>#REF!</v>
      </c>
      <c r="AF267" s="9"/>
      <c r="AG267" s="33" t="e">
        <f>#REF!-D267</f>
        <v>#REF!</v>
      </c>
      <c r="AH267" s="9"/>
      <c r="AI267" s="9"/>
      <c r="AJ267" s="9"/>
      <c r="AK267" s="9"/>
    </row>
    <row r="268" spans="1:37" s="12" customFormat="1" ht="20.399999999999999" outlineLevel="1" x14ac:dyDescent="0.2">
      <c r="A268" s="61" t="s">
        <v>869</v>
      </c>
      <c r="B268" s="14" t="s">
        <v>493</v>
      </c>
      <c r="C268" s="9" t="s">
        <v>48</v>
      </c>
      <c r="D268" s="25">
        <f t="shared" si="81"/>
        <v>45</v>
      </c>
      <c r="E268" s="54"/>
      <c r="F268" s="78"/>
      <c r="G268" s="33">
        <v>0</v>
      </c>
      <c r="H268" s="33">
        <v>0</v>
      </c>
      <c r="I268" s="9">
        <v>0</v>
      </c>
      <c r="J268" s="9">
        <v>0</v>
      </c>
      <c r="K268" s="9">
        <v>0</v>
      </c>
      <c r="L268" s="9">
        <v>0</v>
      </c>
      <c r="M268" s="9">
        <v>0</v>
      </c>
      <c r="N268" s="9">
        <v>0</v>
      </c>
      <c r="O268" s="9">
        <v>0</v>
      </c>
      <c r="P268" s="9">
        <v>0</v>
      </c>
      <c r="Q268" s="9">
        <v>0</v>
      </c>
      <c r="R268" s="9">
        <v>45</v>
      </c>
      <c r="S268" s="9">
        <v>0</v>
      </c>
      <c r="T268" s="9">
        <v>0</v>
      </c>
      <c r="U268" s="33">
        <v>0</v>
      </c>
      <c r="V268" s="9">
        <v>0</v>
      </c>
      <c r="W268" s="9">
        <v>0</v>
      </c>
      <c r="X268" s="9">
        <v>0</v>
      </c>
      <c r="Y268" s="9">
        <v>0</v>
      </c>
      <c r="Z268" s="9">
        <v>0</v>
      </c>
      <c r="AA268" s="9">
        <v>0</v>
      </c>
      <c r="AB268" s="9">
        <v>0</v>
      </c>
      <c r="AC268" s="9">
        <v>0</v>
      </c>
      <c r="AD268" s="53" t="e">
        <f>#REF!*D268</f>
        <v>#REF!</v>
      </c>
      <c r="AE268" s="53" t="e">
        <f>AD268-#REF!</f>
        <v>#REF!</v>
      </c>
      <c r="AF268" s="9"/>
      <c r="AG268" s="33" t="e">
        <f>#REF!-D268</f>
        <v>#REF!</v>
      </c>
      <c r="AH268" s="9"/>
      <c r="AI268" s="9"/>
      <c r="AJ268" s="9"/>
      <c r="AK268" s="9"/>
    </row>
    <row r="269" spans="1:37" s="12" customFormat="1" ht="20.399999999999999" outlineLevel="1" collapsed="1" x14ac:dyDescent="0.2">
      <c r="A269" s="61" t="s">
        <v>870</v>
      </c>
      <c r="B269" s="14" t="s">
        <v>494</v>
      </c>
      <c r="C269" s="9" t="s">
        <v>48</v>
      </c>
      <c r="D269" s="25">
        <f t="shared" si="81"/>
        <v>9</v>
      </c>
      <c r="E269" s="54"/>
      <c r="F269" s="78"/>
      <c r="G269" s="33">
        <v>0</v>
      </c>
      <c r="H269" s="33">
        <v>0</v>
      </c>
      <c r="I269" s="9">
        <v>0</v>
      </c>
      <c r="J269" s="9">
        <v>0</v>
      </c>
      <c r="K269" s="9">
        <v>0</v>
      </c>
      <c r="L269" s="9">
        <v>0</v>
      </c>
      <c r="M269" s="9">
        <v>0</v>
      </c>
      <c r="N269" s="9">
        <v>0</v>
      </c>
      <c r="O269" s="9">
        <v>0</v>
      </c>
      <c r="P269" s="9">
        <v>0</v>
      </c>
      <c r="Q269" s="9">
        <v>0</v>
      </c>
      <c r="R269" s="9">
        <v>9</v>
      </c>
      <c r="S269" s="9">
        <v>0</v>
      </c>
      <c r="T269" s="9">
        <v>0</v>
      </c>
      <c r="U269" s="33">
        <v>0</v>
      </c>
      <c r="V269" s="9">
        <v>0</v>
      </c>
      <c r="W269" s="9">
        <v>0</v>
      </c>
      <c r="X269" s="9">
        <v>0</v>
      </c>
      <c r="Y269" s="9">
        <v>0</v>
      </c>
      <c r="Z269" s="9">
        <v>0</v>
      </c>
      <c r="AA269" s="9">
        <v>0</v>
      </c>
      <c r="AB269" s="9">
        <v>0</v>
      </c>
      <c r="AC269" s="9">
        <v>0</v>
      </c>
      <c r="AD269" s="53" t="e">
        <f>#REF!*D269</f>
        <v>#REF!</v>
      </c>
      <c r="AE269" s="53" t="e">
        <f>AD269-#REF!</f>
        <v>#REF!</v>
      </c>
      <c r="AF269" s="9"/>
      <c r="AG269" s="33" t="e">
        <f>#REF!-D269</f>
        <v>#REF!</v>
      </c>
      <c r="AH269" s="9"/>
      <c r="AI269" s="9"/>
      <c r="AJ269" s="9"/>
      <c r="AK269" s="9"/>
    </row>
    <row r="270" spans="1:37" s="12" customFormat="1" ht="20.399999999999999" outlineLevel="1" x14ac:dyDescent="0.2">
      <c r="A270" s="61" t="s">
        <v>871</v>
      </c>
      <c r="B270" s="14" t="s">
        <v>495</v>
      </c>
      <c r="C270" s="9" t="s">
        <v>48</v>
      </c>
      <c r="D270" s="25">
        <f t="shared" si="81"/>
        <v>66</v>
      </c>
      <c r="E270" s="54"/>
      <c r="F270" s="78"/>
      <c r="G270" s="33">
        <v>0</v>
      </c>
      <c r="H270" s="33">
        <v>0</v>
      </c>
      <c r="I270" s="9">
        <v>0</v>
      </c>
      <c r="J270" s="9">
        <v>0</v>
      </c>
      <c r="K270" s="9">
        <v>0</v>
      </c>
      <c r="L270" s="9">
        <v>0</v>
      </c>
      <c r="M270" s="9">
        <v>0</v>
      </c>
      <c r="N270" s="9">
        <v>0</v>
      </c>
      <c r="O270" s="9">
        <v>0</v>
      </c>
      <c r="P270" s="9">
        <v>0</v>
      </c>
      <c r="Q270" s="9">
        <v>0</v>
      </c>
      <c r="R270" s="9">
        <v>66</v>
      </c>
      <c r="S270" s="9">
        <v>0</v>
      </c>
      <c r="T270" s="9">
        <v>0</v>
      </c>
      <c r="U270" s="33">
        <v>0</v>
      </c>
      <c r="V270" s="9">
        <v>0</v>
      </c>
      <c r="W270" s="9">
        <v>0</v>
      </c>
      <c r="X270" s="9">
        <v>0</v>
      </c>
      <c r="Y270" s="9">
        <v>0</v>
      </c>
      <c r="Z270" s="9">
        <v>0</v>
      </c>
      <c r="AA270" s="9">
        <v>0</v>
      </c>
      <c r="AB270" s="9">
        <v>0</v>
      </c>
      <c r="AC270" s="9">
        <v>0</v>
      </c>
      <c r="AD270" s="53" t="e">
        <f>#REF!*D270</f>
        <v>#REF!</v>
      </c>
      <c r="AE270" s="53" t="e">
        <f>AD270-#REF!</f>
        <v>#REF!</v>
      </c>
      <c r="AF270" s="9"/>
      <c r="AG270" s="33" t="e">
        <f>#REF!-D270</f>
        <v>#REF!</v>
      </c>
      <c r="AH270" s="9"/>
      <c r="AI270" s="9"/>
      <c r="AJ270" s="9"/>
      <c r="AK270" s="9"/>
    </row>
    <row r="271" spans="1:37" s="12" customFormat="1" ht="20.399999999999999" outlineLevel="1" x14ac:dyDescent="0.2">
      <c r="A271" s="61" t="s">
        <v>872</v>
      </c>
      <c r="B271" s="14" t="s">
        <v>496</v>
      </c>
      <c r="C271" s="8" t="s">
        <v>47</v>
      </c>
      <c r="D271" s="25">
        <f t="shared" si="81"/>
        <v>15</v>
      </c>
      <c r="E271" s="54"/>
      <c r="F271" s="78"/>
      <c r="G271" s="33">
        <v>0</v>
      </c>
      <c r="H271" s="33">
        <v>0</v>
      </c>
      <c r="I271" s="9">
        <v>0</v>
      </c>
      <c r="J271" s="9">
        <v>0</v>
      </c>
      <c r="K271" s="9">
        <v>0</v>
      </c>
      <c r="L271" s="9">
        <v>0</v>
      </c>
      <c r="M271" s="9">
        <v>0</v>
      </c>
      <c r="N271" s="9">
        <v>0</v>
      </c>
      <c r="O271" s="9">
        <v>0</v>
      </c>
      <c r="P271" s="9">
        <v>0</v>
      </c>
      <c r="Q271" s="9">
        <v>0</v>
      </c>
      <c r="R271" s="49">
        <f>R267/3</f>
        <v>15</v>
      </c>
      <c r="S271" s="9">
        <v>0</v>
      </c>
      <c r="T271" s="9">
        <v>0</v>
      </c>
      <c r="U271" s="33">
        <v>0</v>
      </c>
      <c r="V271" s="9">
        <v>0</v>
      </c>
      <c r="W271" s="9">
        <v>0</v>
      </c>
      <c r="X271" s="9">
        <v>0</v>
      </c>
      <c r="Y271" s="9">
        <v>0</v>
      </c>
      <c r="Z271" s="9">
        <v>0</v>
      </c>
      <c r="AA271" s="9">
        <v>0</v>
      </c>
      <c r="AB271" s="9">
        <v>0</v>
      </c>
      <c r="AC271" s="9">
        <v>0</v>
      </c>
      <c r="AD271" s="53" t="e">
        <f>#REF!*D271</f>
        <v>#REF!</v>
      </c>
      <c r="AE271" s="53" t="e">
        <f>AD271-#REF!</f>
        <v>#REF!</v>
      </c>
      <c r="AF271" s="9"/>
      <c r="AG271" s="33" t="e">
        <f>#REF!-D271</f>
        <v>#REF!</v>
      </c>
      <c r="AH271" s="9"/>
      <c r="AI271" s="9"/>
      <c r="AJ271" s="9"/>
      <c r="AK271" s="9"/>
    </row>
    <row r="272" spans="1:37" s="12" customFormat="1" ht="20.399999999999999" outlineLevel="1" x14ac:dyDescent="0.2">
      <c r="A272" s="61" t="s">
        <v>873</v>
      </c>
      <c r="B272" s="14" t="s">
        <v>497</v>
      </c>
      <c r="C272" s="8" t="s">
        <v>47</v>
      </c>
      <c r="D272" s="25">
        <f t="shared" si="81"/>
        <v>15</v>
      </c>
      <c r="E272" s="54"/>
      <c r="F272" s="78"/>
      <c r="G272" s="33">
        <v>0</v>
      </c>
      <c r="H272" s="33">
        <v>0</v>
      </c>
      <c r="I272" s="9">
        <v>0</v>
      </c>
      <c r="J272" s="9">
        <v>0</v>
      </c>
      <c r="K272" s="9">
        <v>0</v>
      </c>
      <c r="L272" s="9">
        <v>0</v>
      </c>
      <c r="M272" s="9">
        <v>0</v>
      </c>
      <c r="N272" s="9">
        <v>0</v>
      </c>
      <c r="O272" s="9">
        <v>0</v>
      </c>
      <c r="P272" s="9">
        <v>0</v>
      </c>
      <c r="Q272" s="9">
        <v>0</v>
      </c>
      <c r="R272" s="49">
        <f>R268/3</f>
        <v>15</v>
      </c>
      <c r="S272" s="9">
        <v>0</v>
      </c>
      <c r="T272" s="9">
        <v>0</v>
      </c>
      <c r="U272" s="33">
        <v>0</v>
      </c>
      <c r="V272" s="9">
        <v>0</v>
      </c>
      <c r="W272" s="9">
        <v>0</v>
      </c>
      <c r="X272" s="9">
        <v>0</v>
      </c>
      <c r="Y272" s="9">
        <v>0</v>
      </c>
      <c r="Z272" s="9">
        <v>0</v>
      </c>
      <c r="AA272" s="9">
        <v>0</v>
      </c>
      <c r="AB272" s="9">
        <v>0</v>
      </c>
      <c r="AC272" s="9">
        <v>0</v>
      </c>
      <c r="AD272" s="53" t="e">
        <f>#REF!*D272</f>
        <v>#REF!</v>
      </c>
      <c r="AE272" s="53" t="e">
        <f>AD272-#REF!</f>
        <v>#REF!</v>
      </c>
      <c r="AF272" s="9"/>
      <c r="AG272" s="33" t="e">
        <f>#REF!-D272</f>
        <v>#REF!</v>
      </c>
      <c r="AH272" s="9"/>
      <c r="AI272" s="9"/>
      <c r="AJ272" s="9"/>
      <c r="AK272" s="9"/>
    </row>
    <row r="273" spans="1:37" s="12" customFormat="1" ht="20.399999999999999" outlineLevel="1" x14ac:dyDescent="0.2">
      <c r="A273" s="61" t="s">
        <v>874</v>
      </c>
      <c r="B273" s="14" t="s">
        <v>498</v>
      </c>
      <c r="C273" s="8" t="s">
        <v>47</v>
      </c>
      <c r="D273" s="25">
        <f t="shared" si="81"/>
        <v>3</v>
      </c>
      <c r="E273" s="54"/>
      <c r="F273" s="78"/>
      <c r="G273" s="33">
        <v>0</v>
      </c>
      <c r="H273" s="33">
        <v>0</v>
      </c>
      <c r="I273" s="9">
        <v>0</v>
      </c>
      <c r="J273" s="9">
        <v>0</v>
      </c>
      <c r="K273" s="9">
        <v>0</v>
      </c>
      <c r="L273" s="9">
        <v>0</v>
      </c>
      <c r="M273" s="9">
        <v>0</v>
      </c>
      <c r="N273" s="9">
        <v>0</v>
      </c>
      <c r="O273" s="9">
        <v>0</v>
      </c>
      <c r="P273" s="9">
        <v>0</v>
      </c>
      <c r="Q273" s="9">
        <v>0</v>
      </c>
      <c r="R273" s="49">
        <f>R269/3</f>
        <v>3</v>
      </c>
      <c r="S273" s="9">
        <v>0</v>
      </c>
      <c r="T273" s="9">
        <v>0</v>
      </c>
      <c r="U273" s="33">
        <v>0</v>
      </c>
      <c r="V273" s="9">
        <v>0</v>
      </c>
      <c r="W273" s="9">
        <v>0</v>
      </c>
      <c r="X273" s="9">
        <v>0</v>
      </c>
      <c r="Y273" s="9">
        <v>0</v>
      </c>
      <c r="Z273" s="9">
        <v>0</v>
      </c>
      <c r="AA273" s="9">
        <v>0</v>
      </c>
      <c r="AB273" s="9">
        <v>0</v>
      </c>
      <c r="AC273" s="9">
        <v>0</v>
      </c>
      <c r="AD273" s="53" t="e">
        <f>#REF!*D273</f>
        <v>#REF!</v>
      </c>
      <c r="AE273" s="53" t="e">
        <f>AD273-#REF!</f>
        <v>#REF!</v>
      </c>
      <c r="AF273" s="9"/>
      <c r="AG273" s="33" t="e">
        <f>#REF!-D273</f>
        <v>#REF!</v>
      </c>
      <c r="AH273" s="9"/>
      <c r="AI273" s="9"/>
      <c r="AJ273" s="9"/>
      <c r="AK273" s="9"/>
    </row>
    <row r="274" spans="1:37" s="12" customFormat="1" ht="20.399999999999999" outlineLevel="1" x14ac:dyDescent="0.2">
      <c r="A274" s="61" t="s">
        <v>875</v>
      </c>
      <c r="B274" s="14" t="s">
        <v>499</v>
      </c>
      <c r="C274" s="8" t="s">
        <v>47</v>
      </c>
      <c r="D274" s="25">
        <f t="shared" si="81"/>
        <v>22</v>
      </c>
      <c r="E274" s="54"/>
      <c r="F274" s="78"/>
      <c r="G274" s="33">
        <v>0</v>
      </c>
      <c r="H274" s="33">
        <v>0</v>
      </c>
      <c r="I274" s="9">
        <v>0</v>
      </c>
      <c r="J274" s="9">
        <v>0</v>
      </c>
      <c r="K274" s="9">
        <v>0</v>
      </c>
      <c r="L274" s="9">
        <v>0</v>
      </c>
      <c r="M274" s="9">
        <v>0</v>
      </c>
      <c r="N274" s="9">
        <v>0</v>
      </c>
      <c r="O274" s="9">
        <v>0</v>
      </c>
      <c r="P274" s="9">
        <v>0</v>
      </c>
      <c r="Q274" s="9">
        <v>0</v>
      </c>
      <c r="R274" s="49">
        <f>R270/3</f>
        <v>22</v>
      </c>
      <c r="S274" s="9">
        <v>0</v>
      </c>
      <c r="T274" s="9">
        <v>0</v>
      </c>
      <c r="U274" s="33">
        <v>0</v>
      </c>
      <c r="V274" s="9">
        <v>0</v>
      </c>
      <c r="W274" s="9">
        <v>0</v>
      </c>
      <c r="X274" s="9">
        <v>0</v>
      </c>
      <c r="Y274" s="9">
        <v>0</v>
      </c>
      <c r="Z274" s="9">
        <v>0</v>
      </c>
      <c r="AA274" s="9">
        <v>0</v>
      </c>
      <c r="AB274" s="9">
        <v>0</v>
      </c>
      <c r="AC274" s="9">
        <v>0</v>
      </c>
      <c r="AD274" s="53" t="e">
        <f>#REF!*D274</f>
        <v>#REF!</v>
      </c>
      <c r="AE274" s="53" t="e">
        <f>AD274-#REF!</f>
        <v>#REF!</v>
      </c>
      <c r="AF274" s="9"/>
      <c r="AG274" s="33" t="e">
        <f>#REF!-D274</f>
        <v>#REF!</v>
      </c>
      <c r="AH274" s="9"/>
      <c r="AI274" s="9"/>
      <c r="AJ274" s="9"/>
      <c r="AK274" s="9"/>
    </row>
    <row r="275" spans="1:37" s="12" customFormat="1" ht="27" customHeight="1" outlineLevel="1" x14ac:dyDescent="0.2">
      <c r="A275" s="61" t="s">
        <v>876</v>
      </c>
      <c r="B275" s="47" t="s">
        <v>2605</v>
      </c>
      <c r="C275" s="9" t="s">
        <v>48</v>
      </c>
      <c r="D275" s="25">
        <f>SUM(G275:AC275)*3</f>
        <v>12</v>
      </c>
      <c r="E275" s="54"/>
      <c r="F275" s="9"/>
      <c r="G275" s="9">
        <v>0</v>
      </c>
      <c r="H275" s="9">
        <v>0</v>
      </c>
      <c r="I275" s="9">
        <v>0</v>
      </c>
      <c r="J275" s="9">
        <v>0</v>
      </c>
      <c r="K275" s="9">
        <v>0</v>
      </c>
      <c r="L275" s="9">
        <v>0</v>
      </c>
      <c r="M275" s="9">
        <v>0</v>
      </c>
      <c r="N275" s="9">
        <v>0</v>
      </c>
      <c r="O275" s="9">
        <v>0</v>
      </c>
      <c r="P275" s="9">
        <v>0</v>
      </c>
      <c r="Q275" s="9">
        <v>0</v>
      </c>
      <c r="R275" s="9">
        <v>0</v>
      </c>
      <c r="S275" s="9">
        <v>0</v>
      </c>
      <c r="T275" s="9">
        <v>4</v>
      </c>
      <c r="U275" s="9">
        <v>0</v>
      </c>
      <c r="V275" s="9">
        <v>0</v>
      </c>
      <c r="W275" s="9">
        <v>0</v>
      </c>
      <c r="X275" s="9">
        <v>0</v>
      </c>
      <c r="Y275" s="9">
        <v>0</v>
      </c>
      <c r="Z275" s="9">
        <v>0</v>
      </c>
      <c r="AA275" s="9">
        <v>0</v>
      </c>
      <c r="AB275" s="9">
        <v>0</v>
      </c>
      <c r="AC275" s="9">
        <v>0</v>
      </c>
      <c r="AD275" s="53" t="e">
        <f>#REF!*D275</f>
        <v>#REF!</v>
      </c>
      <c r="AE275" s="53" t="e">
        <f>AD275-#REF!</f>
        <v>#REF!</v>
      </c>
      <c r="AF275" s="9"/>
      <c r="AG275" s="33" t="e">
        <f>#REF!-D275</f>
        <v>#REF!</v>
      </c>
      <c r="AH275" s="9"/>
      <c r="AI275" s="9"/>
      <c r="AJ275" s="9"/>
      <c r="AK275" s="9"/>
    </row>
    <row r="276" spans="1:37" s="12" customFormat="1" ht="21.6" outlineLevel="1" x14ac:dyDescent="0.2">
      <c r="A276" s="61" t="s">
        <v>877</v>
      </c>
      <c r="B276" s="14" t="s">
        <v>295</v>
      </c>
      <c r="C276" s="9" t="s">
        <v>47</v>
      </c>
      <c r="D276" s="25">
        <f t="shared" ref="D276:D307" si="91">SUM(G276:AC276)</f>
        <v>1</v>
      </c>
      <c r="E276" s="54"/>
      <c r="F276" s="9"/>
      <c r="G276" s="9">
        <v>0</v>
      </c>
      <c r="H276" s="9">
        <v>0</v>
      </c>
      <c r="I276" s="9">
        <v>0</v>
      </c>
      <c r="J276" s="9">
        <v>0</v>
      </c>
      <c r="K276" s="9">
        <v>0</v>
      </c>
      <c r="L276" s="9">
        <v>0</v>
      </c>
      <c r="M276" s="9">
        <v>0</v>
      </c>
      <c r="N276" s="9">
        <v>0</v>
      </c>
      <c r="O276" s="9">
        <v>0</v>
      </c>
      <c r="P276" s="9">
        <v>0</v>
      </c>
      <c r="Q276" s="9">
        <v>0</v>
      </c>
      <c r="R276" s="9">
        <v>0</v>
      </c>
      <c r="S276" s="9">
        <v>0</v>
      </c>
      <c r="T276" s="9">
        <v>1</v>
      </c>
      <c r="U276" s="9">
        <v>0</v>
      </c>
      <c r="V276" s="9">
        <v>0</v>
      </c>
      <c r="W276" s="9">
        <v>0</v>
      </c>
      <c r="X276" s="9">
        <v>0</v>
      </c>
      <c r="Y276" s="9">
        <v>0</v>
      </c>
      <c r="Z276" s="9">
        <v>0</v>
      </c>
      <c r="AA276" s="9">
        <v>0</v>
      </c>
      <c r="AB276" s="9">
        <v>0</v>
      </c>
      <c r="AC276" s="9">
        <v>0</v>
      </c>
      <c r="AD276" s="53" t="e">
        <f>#REF!*D276</f>
        <v>#REF!</v>
      </c>
      <c r="AE276" s="53" t="e">
        <f>AD276-#REF!</f>
        <v>#REF!</v>
      </c>
      <c r="AF276" s="9"/>
      <c r="AG276" s="33" t="e">
        <f>#REF!-D276</f>
        <v>#REF!</v>
      </c>
      <c r="AH276" s="9"/>
      <c r="AI276" s="9"/>
      <c r="AJ276" s="9"/>
      <c r="AK276" s="9"/>
    </row>
    <row r="277" spans="1:37" s="12" customFormat="1" ht="20.399999999999999" outlineLevel="1" x14ac:dyDescent="0.2">
      <c r="A277" s="61" t="s">
        <v>878</v>
      </c>
      <c r="B277" s="14" t="s">
        <v>294</v>
      </c>
      <c r="C277" s="9" t="s">
        <v>47</v>
      </c>
      <c r="D277" s="25">
        <f t="shared" si="91"/>
        <v>5</v>
      </c>
      <c r="E277" s="54"/>
      <c r="F277" s="9"/>
      <c r="G277" s="9">
        <v>0</v>
      </c>
      <c r="H277" s="9">
        <v>0</v>
      </c>
      <c r="I277" s="9">
        <v>0</v>
      </c>
      <c r="J277" s="9">
        <v>0</v>
      </c>
      <c r="K277" s="9">
        <v>0</v>
      </c>
      <c r="L277" s="9">
        <v>0</v>
      </c>
      <c r="M277" s="9">
        <v>0</v>
      </c>
      <c r="N277" s="9">
        <v>0</v>
      </c>
      <c r="O277" s="9">
        <v>0</v>
      </c>
      <c r="P277" s="9">
        <v>0</v>
      </c>
      <c r="Q277" s="9">
        <v>0</v>
      </c>
      <c r="R277" s="9">
        <v>0</v>
      </c>
      <c r="S277" s="9">
        <v>0</v>
      </c>
      <c r="T277" s="9">
        <v>5</v>
      </c>
      <c r="U277" s="9">
        <v>0</v>
      </c>
      <c r="V277" s="9">
        <v>0</v>
      </c>
      <c r="W277" s="9">
        <v>0</v>
      </c>
      <c r="X277" s="9">
        <v>0</v>
      </c>
      <c r="Y277" s="9">
        <v>0</v>
      </c>
      <c r="Z277" s="9">
        <v>0</v>
      </c>
      <c r="AA277" s="9">
        <v>0</v>
      </c>
      <c r="AB277" s="9">
        <v>0</v>
      </c>
      <c r="AC277" s="9">
        <v>0</v>
      </c>
      <c r="AD277" s="53" t="e">
        <f>#REF!*D277</f>
        <v>#REF!</v>
      </c>
      <c r="AE277" s="53" t="e">
        <f>AD277-#REF!</f>
        <v>#REF!</v>
      </c>
      <c r="AF277" s="9"/>
      <c r="AG277" s="33" t="e">
        <f>#REF!-D277</f>
        <v>#REF!</v>
      </c>
      <c r="AH277" s="9"/>
      <c r="AI277" s="9"/>
      <c r="AJ277" s="9"/>
      <c r="AK277" s="9"/>
    </row>
    <row r="278" spans="1:37" s="17" customFormat="1" ht="30.6" outlineLevel="1" x14ac:dyDescent="0.2">
      <c r="A278" s="61" t="s">
        <v>879</v>
      </c>
      <c r="B278" s="14" t="s">
        <v>2593</v>
      </c>
      <c r="C278" s="9" t="s">
        <v>48</v>
      </c>
      <c r="D278" s="25">
        <f t="shared" si="91"/>
        <v>165</v>
      </c>
      <c r="E278" s="54"/>
      <c r="F278" s="9"/>
      <c r="G278" s="33">
        <v>0</v>
      </c>
      <c r="H278" s="33">
        <v>0</v>
      </c>
      <c r="I278" s="9">
        <v>0</v>
      </c>
      <c r="J278" s="9">
        <v>0</v>
      </c>
      <c r="K278" s="9">
        <v>0</v>
      </c>
      <c r="L278" s="9">
        <v>0</v>
      </c>
      <c r="M278" s="9">
        <v>0</v>
      </c>
      <c r="N278" s="9">
        <v>0</v>
      </c>
      <c r="O278" s="9">
        <v>0</v>
      </c>
      <c r="P278" s="9">
        <v>0</v>
      </c>
      <c r="Q278" s="9">
        <v>0</v>
      </c>
      <c r="R278" s="9">
        <v>0</v>
      </c>
      <c r="S278" s="9">
        <v>0</v>
      </c>
      <c r="T278" s="9">
        <v>0</v>
      </c>
      <c r="U278" s="33">
        <v>0</v>
      </c>
      <c r="V278" s="9">
        <v>0</v>
      </c>
      <c r="W278" s="9">
        <v>42</v>
      </c>
      <c r="X278" s="9">
        <v>24</v>
      </c>
      <c r="Y278" s="9">
        <v>33</v>
      </c>
      <c r="Z278" s="9">
        <v>42</v>
      </c>
      <c r="AA278" s="9">
        <v>24</v>
      </c>
      <c r="AB278" s="9">
        <v>0</v>
      </c>
      <c r="AC278" s="9">
        <v>0</v>
      </c>
      <c r="AD278" s="53" t="e">
        <f>#REF!*D278</f>
        <v>#REF!</v>
      </c>
      <c r="AE278" s="53" t="e">
        <f>AD278-#REF!</f>
        <v>#REF!</v>
      </c>
      <c r="AF278" s="8"/>
      <c r="AG278" s="33" t="e">
        <f>#REF!-D278</f>
        <v>#REF!</v>
      </c>
      <c r="AH278" s="8"/>
      <c r="AI278" s="8"/>
      <c r="AJ278" s="8"/>
      <c r="AK278" s="8"/>
    </row>
    <row r="279" spans="1:37" s="17" customFormat="1" ht="37.5" customHeight="1" outlineLevel="1" x14ac:dyDescent="0.2">
      <c r="A279" s="61" t="s">
        <v>880</v>
      </c>
      <c r="B279" s="47" t="s">
        <v>457</v>
      </c>
      <c r="C279" s="9" t="s">
        <v>48</v>
      </c>
      <c r="D279" s="25">
        <f t="shared" si="91"/>
        <v>165</v>
      </c>
      <c r="E279" s="54"/>
      <c r="F279" s="9"/>
      <c r="G279" s="88">
        <f t="shared" ref="G279:AC279" si="92">G278</f>
        <v>0</v>
      </c>
      <c r="H279" s="88">
        <f t="shared" si="92"/>
        <v>0</v>
      </c>
      <c r="I279" s="88">
        <f t="shared" si="92"/>
        <v>0</v>
      </c>
      <c r="J279" s="88">
        <f t="shared" si="92"/>
        <v>0</v>
      </c>
      <c r="K279" s="88">
        <f t="shared" si="92"/>
        <v>0</v>
      </c>
      <c r="L279" s="88">
        <f t="shared" si="92"/>
        <v>0</v>
      </c>
      <c r="M279" s="88">
        <f t="shared" si="92"/>
        <v>0</v>
      </c>
      <c r="N279" s="88">
        <f t="shared" si="92"/>
        <v>0</v>
      </c>
      <c r="O279" s="88">
        <f t="shared" si="92"/>
        <v>0</v>
      </c>
      <c r="P279" s="88">
        <f t="shared" si="92"/>
        <v>0</v>
      </c>
      <c r="Q279" s="88">
        <f t="shared" si="92"/>
        <v>0</v>
      </c>
      <c r="R279" s="88">
        <f t="shared" si="92"/>
        <v>0</v>
      </c>
      <c r="S279" s="88">
        <f t="shared" si="92"/>
        <v>0</v>
      </c>
      <c r="T279" s="88">
        <f t="shared" si="92"/>
        <v>0</v>
      </c>
      <c r="U279" s="88">
        <f t="shared" si="92"/>
        <v>0</v>
      </c>
      <c r="V279" s="88">
        <f t="shared" si="92"/>
        <v>0</v>
      </c>
      <c r="W279" s="88">
        <f t="shared" si="92"/>
        <v>42</v>
      </c>
      <c r="X279" s="88">
        <f t="shared" si="92"/>
        <v>24</v>
      </c>
      <c r="Y279" s="88">
        <f t="shared" si="92"/>
        <v>33</v>
      </c>
      <c r="Z279" s="88">
        <f t="shared" si="92"/>
        <v>42</v>
      </c>
      <c r="AA279" s="88">
        <f t="shared" si="92"/>
        <v>24</v>
      </c>
      <c r="AB279" s="88">
        <f t="shared" si="92"/>
        <v>0</v>
      </c>
      <c r="AC279" s="88">
        <f t="shared" si="92"/>
        <v>0</v>
      </c>
      <c r="AD279" s="53" t="e">
        <f>#REF!*D279</f>
        <v>#REF!</v>
      </c>
      <c r="AE279" s="53" t="e">
        <f>AD279-#REF!</f>
        <v>#REF!</v>
      </c>
      <c r="AF279" s="8"/>
      <c r="AG279" s="33" t="e">
        <f>#REF!-D279</f>
        <v>#REF!</v>
      </c>
      <c r="AH279" s="8"/>
      <c r="AI279" s="8"/>
      <c r="AJ279" s="8"/>
      <c r="AK279" s="8"/>
    </row>
    <row r="280" spans="1:37" s="17" customFormat="1" ht="30.6" outlineLevel="1" x14ac:dyDescent="0.2">
      <c r="A280" s="61" t="s">
        <v>881</v>
      </c>
      <c r="B280" s="14" t="s">
        <v>458</v>
      </c>
      <c r="C280" s="8" t="s">
        <v>47</v>
      </c>
      <c r="D280" s="25">
        <f t="shared" si="91"/>
        <v>4</v>
      </c>
      <c r="E280" s="54"/>
      <c r="F280" s="9"/>
      <c r="G280" s="33">
        <v>0</v>
      </c>
      <c r="H280" s="33">
        <v>0</v>
      </c>
      <c r="I280" s="9">
        <v>0</v>
      </c>
      <c r="J280" s="9">
        <v>0</v>
      </c>
      <c r="K280" s="9">
        <v>0</v>
      </c>
      <c r="L280" s="9">
        <v>0</v>
      </c>
      <c r="M280" s="9">
        <v>0</v>
      </c>
      <c r="N280" s="9">
        <v>0</v>
      </c>
      <c r="O280" s="9">
        <v>0</v>
      </c>
      <c r="P280" s="9">
        <v>0</v>
      </c>
      <c r="Q280" s="9">
        <v>0</v>
      </c>
      <c r="R280" s="9">
        <v>0</v>
      </c>
      <c r="S280" s="9">
        <v>0</v>
      </c>
      <c r="T280" s="49">
        <v>0</v>
      </c>
      <c r="U280" s="33">
        <v>0</v>
      </c>
      <c r="V280" s="9">
        <v>0</v>
      </c>
      <c r="W280" s="9">
        <v>3</v>
      </c>
      <c r="X280" s="9">
        <v>0</v>
      </c>
      <c r="Y280" s="9">
        <v>0</v>
      </c>
      <c r="Z280" s="9">
        <v>1</v>
      </c>
      <c r="AA280" s="9">
        <v>0</v>
      </c>
      <c r="AB280" s="9">
        <v>0</v>
      </c>
      <c r="AC280" s="9">
        <v>0</v>
      </c>
      <c r="AD280" s="53" t="e">
        <f>#REF!*D280</f>
        <v>#REF!</v>
      </c>
      <c r="AE280" s="53" t="e">
        <f>AD280-#REF!</f>
        <v>#REF!</v>
      </c>
      <c r="AF280" s="8"/>
      <c r="AG280" s="33" t="e">
        <f>#REF!-D280</f>
        <v>#REF!</v>
      </c>
      <c r="AH280" s="8"/>
      <c r="AI280" s="8"/>
      <c r="AJ280" s="8"/>
      <c r="AK280" s="8"/>
    </row>
    <row r="281" spans="1:37" s="17" customFormat="1" ht="30.6" outlineLevel="1" x14ac:dyDescent="0.2">
      <c r="A281" s="61" t="s">
        <v>882</v>
      </c>
      <c r="B281" s="14" t="s">
        <v>3076</v>
      </c>
      <c r="C281" s="9" t="s">
        <v>48</v>
      </c>
      <c r="D281" s="25">
        <f t="shared" si="91"/>
        <v>45</v>
      </c>
      <c r="E281" s="54"/>
      <c r="F281" s="9"/>
      <c r="G281" s="33">
        <v>0</v>
      </c>
      <c r="H281" s="33">
        <v>0</v>
      </c>
      <c r="I281" s="9">
        <v>0</v>
      </c>
      <c r="J281" s="9">
        <v>0</v>
      </c>
      <c r="K281" s="9">
        <v>0</v>
      </c>
      <c r="L281" s="9">
        <v>0</v>
      </c>
      <c r="M281" s="9">
        <v>0</v>
      </c>
      <c r="N281" s="9">
        <v>0</v>
      </c>
      <c r="O281" s="9">
        <v>0</v>
      </c>
      <c r="P281" s="9">
        <v>0</v>
      </c>
      <c r="Q281" s="9">
        <v>0</v>
      </c>
      <c r="R281" s="9">
        <v>0</v>
      </c>
      <c r="S281" s="9">
        <v>0</v>
      </c>
      <c r="T281" s="9">
        <v>0</v>
      </c>
      <c r="U281" s="33">
        <v>0</v>
      </c>
      <c r="V281" s="9">
        <v>0</v>
      </c>
      <c r="W281" s="9">
        <v>0</v>
      </c>
      <c r="X281" s="9">
        <v>6</v>
      </c>
      <c r="Y281" s="9">
        <v>6</v>
      </c>
      <c r="Z281" s="9">
        <v>12</v>
      </c>
      <c r="AA281" s="9">
        <v>21</v>
      </c>
      <c r="AB281" s="9">
        <v>0</v>
      </c>
      <c r="AC281" s="9">
        <v>0</v>
      </c>
      <c r="AD281" s="53" t="e">
        <f>#REF!*D281</f>
        <v>#REF!</v>
      </c>
      <c r="AE281" s="53" t="e">
        <f>AD281-#REF!</f>
        <v>#REF!</v>
      </c>
      <c r="AF281" s="8"/>
      <c r="AG281" s="33" t="e">
        <f>#REF!-D281</f>
        <v>#REF!</v>
      </c>
      <c r="AH281" s="8"/>
      <c r="AI281" s="8"/>
      <c r="AJ281" s="8"/>
      <c r="AK281" s="8"/>
    </row>
    <row r="282" spans="1:37" s="17" customFormat="1" ht="37.5" customHeight="1" outlineLevel="1" x14ac:dyDescent="0.2">
      <c r="A282" s="61" t="s">
        <v>883</v>
      </c>
      <c r="B282" s="47" t="s">
        <v>393</v>
      </c>
      <c r="C282" s="9" t="s">
        <v>48</v>
      </c>
      <c r="D282" s="25">
        <f t="shared" si="91"/>
        <v>45</v>
      </c>
      <c r="E282" s="54"/>
      <c r="F282" s="9"/>
      <c r="G282" s="88">
        <f t="shared" ref="G282:AC282" si="93">G281</f>
        <v>0</v>
      </c>
      <c r="H282" s="88">
        <f t="shared" si="93"/>
        <v>0</v>
      </c>
      <c r="I282" s="88">
        <f t="shared" si="93"/>
        <v>0</v>
      </c>
      <c r="J282" s="88">
        <f t="shared" si="93"/>
        <v>0</v>
      </c>
      <c r="K282" s="88">
        <f t="shared" si="93"/>
        <v>0</v>
      </c>
      <c r="L282" s="88">
        <f t="shared" si="93"/>
        <v>0</v>
      </c>
      <c r="M282" s="88">
        <f t="shared" si="93"/>
        <v>0</v>
      </c>
      <c r="N282" s="88">
        <f t="shared" si="93"/>
        <v>0</v>
      </c>
      <c r="O282" s="88">
        <f t="shared" si="93"/>
        <v>0</v>
      </c>
      <c r="P282" s="88">
        <f t="shared" si="93"/>
        <v>0</v>
      </c>
      <c r="Q282" s="88">
        <f t="shared" si="93"/>
        <v>0</v>
      </c>
      <c r="R282" s="88">
        <f t="shared" si="93"/>
        <v>0</v>
      </c>
      <c r="S282" s="88">
        <f t="shared" si="93"/>
        <v>0</v>
      </c>
      <c r="T282" s="88">
        <f t="shared" si="93"/>
        <v>0</v>
      </c>
      <c r="U282" s="88">
        <f t="shared" si="93"/>
        <v>0</v>
      </c>
      <c r="V282" s="88">
        <f t="shared" si="93"/>
        <v>0</v>
      </c>
      <c r="W282" s="88">
        <f t="shared" si="93"/>
        <v>0</v>
      </c>
      <c r="X282" s="88">
        <f t="shared" si="93"/>
        <v>6</v>
      </c>
      <c r="Y282" s="88">
        <f t="shared" si="93"/>
        <v>6</v>
      </c>
      <c r="Z282" s="88">
        <f t="shared" si="93"/>
        <v>12</v>
      </c>
      <c r="AA282" s="88">
        <f t="shared" si="93"/>
        <v>21</v>
      </c>
      <c r="AB282" s="88">
        <f t="shared" si="93"/>
        <v>0</v>
      </c>
      <c r="AC282" s="88">
        <f t="shared" si="93"/>
        <v>0</v>
      </c>
      <c r="AD282" s="53" t="e">
        <f>#REF!*D282</f>
        <v>#REF!</v>
      </c>
      <c r="AE282" s="53" t="e">
        <f>AD282-#REF!</f>
        <v>#REF!</v>
      </c>
      <c r="AF282" s="8"/>
      <c r="AG282" s="33" t="e">
        <f>#REF!-D282</f>
        <v>#REF!</v>
      </c>
      <c r="AH282" s="8"/>
      <c r="AI282" s="8"/>
      <c r="AJ282" s="8"/>
      <c r="AK282" s="8"/>
    </row>
    <row r="283" spans="1:37" s="17" customFormat="1" ht="30.6" outlineLevel="1" x14ac:dyDescent="0.2">
      <c r="A283" s="61" t="s">
        <v>884</v>
      </c>
      <c r="B283" s="14" t="s">
        <v>3162</v>
      </c>
      <c r="C283" s="8" t="s">
        <v>47</v>
      </c>
      <c r="D283" s="25">
        <f t="shared" si="91"/>
        <v>4</v>
      </c>
      <c r="E283" s="54"/>
      <c r="F283" s="9"/>
      <c r="G283" s="33">
        <v>0</v>
      </c>
      <c r="H283" s="33">
        <v>0</v>
      </c>
      <c r="I283" s="9">
        <v>0</v>
      </c>
      <c r="J283" s="9">
        <v>0</v>
      </c>
      <c r="K283" s="9">
        <v>0</v>
      </c>
      <c r="L283" s="9">
        <v>0</v>
      </c>
      <c r="M283" s="9">
        <v>0</v>
      </c>
      <c r="N283" s="9">
        <v>0</v>
      </c>
      <c r="O283" s="9">
        <v>0</v>
      </c>
      <c r="P283" s="9">
        <v>0</v>
      </c>
      <c r="Q283" s="9">
        <v>0</v>
      </c>
      <c r="R283" s="9">
        <v>0</v>
      </c>
      <c r="S283" s="9">
        <v>0</v>
      </c>
      <c r="T283" s="49">
        <v>0</v>
      </c>
      <c r="U283" s="33">
        <v>0</v>
      </c>
      <c r="V283" s="9">
        <v>0</v>
      </c>
      <c r="W283" s="9">
        <v>0</v>
      </c>
      <c r="X283" s="9">
        <v>1</v>
      </c>
      <c r="Y283" s="9">
        <v>1</v>
      </c>
      <c r="Z283" s="9">
        <v>1</v>
      </c>
      <c r="AA283" s="9">
        <v>1</v>
      </c>
      <c r="AB283" s="9">
        <v>0</v>
      </c>
      <c r="AC283" s="9">
        <v>0</v>
      </c>
      <c r="AD283" s="53" t="e">
        <f>#REF!*D283</f>
        <v>#REF!</v>
      </c>
      <c r="AE283" s="53" t="e">
        <f>AD283-#REF!</f>
        <v>#REF!</v>
      </c>
      <c r="AF283" s="8"/>
      <c r="AG283" s="33" t="e">
        <f>#REF!-D283</f>
        <v>#REF!</v>
      </c>
      <c r="AH283" s="8"/>
      <c r="AI283" s="8"/>
      <c r="AJ283" s="8"/>
      <c r="AK283" s="8"/>
    </row>
    <row r="284" spans="1:37" s="17" customFormat="1" ht="30.6" outlineLevel="1" x14ac:dyDescent="0.2">
      <c r="A284" s="61" t="s">
        <v>885</v>
      </c>
      <c r="B284" s="14" t="s">
        <v>3070</v>
      </c>
      <c r="C284" s="8" t="s">
        <v>47</v>
      </c>
      <c r="D284" s="25">
        <f t="shared" si="91"/>
        <v>4</v>
      </c>
      <c r="E284" s="54"/>
      <c r="F284" s="9"/>
      <c r="G284" s="33">
        <v>0</v>
      </c>
      <c r="H284" s="33">
        <v>0</v>
      </c>
      <c r="I284" s="9">
        <v>0</v>
      </c>
      <c r="J284" s="9">
        <v>0</v>
      </c>
      <c r="K284" s="9">
        <v>0</v>
      </c>
      <c r="L284" s="9">
        <v>0</v>
      </c>
      <c r="M284" s="9">
        <v>0</v>
      </c>
      <c r="N284" s="9">
        <v>0</v>
      </c>
      <c r="O284" s="9">
        <v>0</v>
      </c>
      <c r="P284" s="9">
        <v>0</v>
      </c>
      <c r="Q284" s="9">
        <v>0</v>
      </c>
      <c r="R284" s="9">
        <v>0</v>
      </c>
      <c r="S284" s="9">
        <v>0</v>
      </c>
      <c r="T284" s="49">
        <v>0</v>
      </c>
      <c r="U284" s="33">
        <v>0</v>
      </c>
      <c r="V284" s="9">
        <v>0</v>
      </c>
      <c r="W284" s="9">
        <v>0</v>
      </c>
      <c r="X284" s="9">
        <v>1</v>
      </c>
      <c r="Y284" s="9">
        <v>1</v>
      </c>
      <c r="Z284" s="9">
        <v>1</v>
      </c>
      <c r="AA284" s="9">
        <v>1</v>
      </c>
      <c r="AB284" s="9">
        <v>0</v>
      </c>
      <c r="AC284" s="9">
        <v>0</v>
      </c>
      <c r="AD284" s="53" t="e">
        <f>#REF!*D284</f>
        <v>#REF!</v>
      </c>
      <c r="AE284" s="53" t="e">
        <f>AD284-#REF!</f>
        <v>#REF!</v>
      </c>
      <c r="AF284" s="8"/>
      <c r="AG284" s="33" t="e">
        <f>#REF!-D284</f>
        <v>#REF!</v>
      </c>
      <c r="AH284" s="8"/>
      <c r="AI284" s="8"/>
      <c r="AJ284" s="8"/>
      <c r="AK284" s="8"/>
    </row>
    <row r="285" spans="1:37" s="17" customFormat="1" ht="30.6" outlineLevel="1" x14ac:dyDescent="0.2">
      <c r="A285" s="61" t="s">
        <v>886</v>
      </c>
      <c r="B285" s="14" t="s">
        <v>3071</v>
      </c>
      <c r="C285" s="8" t="s">
        <v>47</v>
      </c>
      <c r="D285" s="25">
        <f t="shared" si="91"/>
        <v>4</v>
      </c>
      <c r="E285" s="54"/>
      <c r="F285" s="9"/>
      <c r="G285" s="33">
        <v>0</v>
      </c>
      <c r="H285" s="33">
        <v>0</v>
      </c>
      <c r="I285" s="9">
        <v>0</v>
      </c>
      <c r="J285" s="9">
        <v>0</v>
      </c>
      <c r="K285" s="9">
        <v>0</v>
      </c>
      <c r="L285" s="9">
        <v>0</v>
      </c>
      <c r="M285" s="9">
        <v>0</v>
      </c>
      <c r="N285" s="9">
        <v>0</v>
      </c>
      <c r="O285" s="9">
        <v>0</v>
      </c>
      <c r="P285" s="9">
        <v>0</v>
      </c>
      <c r="Q285" s="9">
        <v>0</v>
      </c>
      <c r="R285" s="9">
        <v>0</v>
      </c>
      <c r="S285" s="9">
        <v>0</v>
      </c>
      <c r="T285" s="49">
        <v>0</v>
      </c>
      <c r="U285" s="33">
        <v>0</v>
      </c>
      <c r="V285" s="9">
        <v>0</v>
      </c>
      <c r="W285" s="9">
        <v>0</v>
      </c>
      <c r="X285" s="9">
        <v>1</v>
      </c>
      <c r="Y285" s="9">
        <v>1</v>
      </c>
      <c r="Z285" s="9">
        <v>1</v>
      </c>
      <c r="AA285" s="9">
        <v>1</v>
      </c>
      <c r="AB285" s="9">
        <v>0</v>
      </c>
      <c r="AC285" s="9">
        <v>0</v>
      </c>
      <c r="AD285" s="53" t="e">
        <f>#REF!*D285</f>
        <v>#REF!</v>
      </c>
      <c r="AE285" s="53" t="e">
        <f>AD285-#REF!</f>
        <v>#REF!</v>
      </c>
      <c r="AF285" s="8"/>
      <c r="AG285" s="33" t="e">
        <f>#REF!-D285</f>
        <v>#REF!</v>
      </c>
      <c r="AH285" s="8"/>
      <c r="AI285" s="8"/>
      <c r="AJ285" s="8"/>
      <c r="AK285" s="8"/>
    </row>
    <row r="286" spans="1:37" s="17" customFormat="1" ht="30.6" outlineLevel="1" x14ac:dyDescent="0.2">
      <c r="A286" s="61" t="s">
        <v>887</v>
      </c>
      <c r="B286" s="14" t="s">
        <v>2875</v>
      </c>
      <c r="C286" s="8" t="s">
        <v>47</v>
      </c>
      <c r="D286" s="25">
        <f t="shared" si="91"/>
        <v>8</v>
      </c>
      <c r="E286" s="54"/>
      <c r="F286" s="9"/>
      <c r="G286" s="33">
        <v>0</v>
      </c>
      <c r="H286" s="33">
        <v>0</v>
      </c>
      <c r="I286" s="9">
        <v>0</v>
      </c>
      <c r="J286" s="9">
        <v>0</v>
      </c>
      <c r="K286" s="9">
        <v>0</v>
      </c>
      <c r="L286" s="9">
        <v>0</v>
      </c>
      <c r="M286" s="9">
        <v>0</v>
      </c>
      <c r="N286" s="9">
        <v>0</v>
      </c>
      <c r="O286" s="9">
        <v>0</v>
      </c>
      <c r="P286" s="9">
        <v>0</v>
      </c>
      <c r="Q286" s="9">
        <v>0</v>
      </c>
      <c r="R286" s="9">
        <v>0</v>
      </c>
      <c r="S286" s="9">
        <v>0</v>
      </c>
      <c r="T286" s="49">
        <v>0</v>
      </c>
      <c r="U286" s="33">
        <v>0</v>
      </c>
      <c r="V286" s="9">
        <v>0</v>
      </c>
      <c r="W286" s="9">
        <v>0</v>
      </c>
      <c r="X286" s="9">
        <v>2</v>
      </c>
      <c r="Y286" s="9">
        <v>2</v>
      </c>
      <c r="Z286" s="9">
        <v>2</v>
      </c>
      <c r="AA286" s="9">
        <v>2</v>
      </c>
      <c r="AB286" s="9">
        <v>0</v>
      </c>
      <c r="AC286" s="9">
        <v>0</v>
      </c>
      <c r="AD286" s="53" t="e">
        <f>#REF!*D286</f>
        <v>#REF!</v>
      </c>
      <c r="AE286" s="53" t="e">
        <f>AD286-#REF!</f>
        <v>#REF!</v>
      </c>
      <c r="AF286" s="8"/>
      <c r="AG286" s="33" t="e">
        <f>#REF!-D286</f>
        <v>#REF!</v>
      </c>
      <c r="AH286" s="8"/>
      <c r="AI286" s="8"/>
      <c r="AJ286" s="8"/>
      <c r="AK286" s="8"/>
    </row>
    <row r="287" spans="1:37" s="17" customFormat="1" ht="30.6" outlineLevel="1" x14ac:dyDescent="0.2">
      <c r="A287" s="61" t="s">
        <v>888</v>
      </c>
      <c r="B287" s="14" t="s">
        <v>3069</v>
      </c>
      <c r="C287" s="8" t="s">
        <v>47</v>
      </c>
      <c r="D287" s="25">
        <f t="shared" si="91"/>
        <v>4</v>
      </c>
      <c r="E287" s="54"/>
      <c r="F287" s="9"/>
      <c r="G287" s="33">
        <v>0</v>
      </c>
      <c r="H287" s="33">
        <v>0</v>
      </c>
      <c r="I287" s="9">
        <v>0</v>
      </c>
      <c r="J287" s="9">
        <v>0</v>
      </c>
      <c r="K287" s="9">
        <v>0</v>
      </c>
      <c r="L287" s="9">
        <v>0</v>
      </c>
      <c r="M287" s="9">
        <v>0</v>
      </c>
      <c r="N287" s="9">
        <v>0</v>
      </c>
      <c r="O287" s="9">
        <v>0</v>
      </c>
      <c r="P287" s="9">
        <v>0</v>
      </c>
      <c r="Q287" s="9">
        <v>0</v>
      </c>
      <c r="R287" s="9">
        <v>0</v>
      </c>
      <c r="S287" s="9">
        <v>0</v>
      </c>
      <c r="T287" s="49">
        <v>0</v>
      </c>
      <c r="U287" s="33">
        <v>0</v>
      </c>
      <c r="V287" s="9">
        <v>0</v>
      </c>
      <c r="W287" s="9">
        <v>0</v>
      </c>
      <c r="X287" s="9">
        <v>1</v>
      </c>
      <c r="Y287" s="9">
        <v>1</v>
      </c>
      <c r="Z287" s="9">
        <v>1</v>
      </c>
      <c r="AA287" s="9">
        <v>1</v>
      </c>
      <c r="AB287" s="9">
        <v>0</v>
      </c>
      <c r="AC287" s="9">
        <v>0</v>
      </c>
      <c r="AD287" s="53" t="e">
        <f>#REF!*D287</f>
        <v>#REF!</v>
      </c>
      <c r="AE287" s="53" t="e">
        <f>AD287-#REF!</f>
        <v>#REF!</v>
      </c>
      <c r="AF287" s="8"/>
      <c r="AG287" s="33" t="e">
        <f>#REF!-D287</f>
        <v>#REF!</v>
      </c>
      <c r="AH287" s="8"/>
      <c r="AI287" s="8"/>
      <c r="AJ287" s="8"/>
      <c r="AK287" s="8"/>
    </row>
    <row r="288" spans="1:37" s="17" customFormat="1" ht="30.6" outlineLevel="1" x14ac:dyDescent="0.2">
      <c r="A288" s="61" t="s">
        <v>889</v>
      </c>
      <c r="B288" s="14" t="s">
        <v>1031</v>
      </c>
      <c r="C288" s="9" t="s">
        <v>48</v>
      </c>
      <c r="D288" s="25">
        <f t="shared" si="91"/>
        <v>604</v>
      </c>
      <c r="E288" s="54"/>
      <c r="F288" s="9"/>
      <c r="G288" s="33">
        <v>0</v>
      </c>
      <c r="H288" s="33">
        <v>15</v>
      </c>
      <c r="I288" s="9">
        <v>105</v>
      </c>
      <c r="J288" s="9">
        <v>0</v>
      </c>
      <c r="K288" s="9">
        <v>0</v>
      </c>
      <c r="L288" s="9">
        <v>39</v>
      </c>
      <c r="M288" s="9">
        <v>108</v>
      </c>
      <c r="N288" s="9">
        <v>67</v>
      </c>
      <c r="O288" s="9">
        <v>90</v>
      </c>
      <c r="P288" s="9">
        <v>45</v>
      </c>
      <c r="Q288" s="9">
        <v>87</v>
      </c>
      <c r="R288" s="9">
        <v>33</v>
      </c>
      <c r="S288" s="9">
        <v>0</v>
      </c>
      <c r="T288" s="9">
        <v>0</v>
      </c>
      <c r="U288" s="33">
        <v>0</v>
      </c>
      <c r="V288" s="9">
        <v>0</v>
      </c>
      <c r="W288" s="9">
        <v>15</v>
      </c>
      <c r="X288" s="9">
        <v>0</v>
      </c>
      <c r="Y288" s="9">
        <v>0</v>
      </c>
      <c r="Z288" s="9">
        <v>0</v>
      </c>
      <c r="AA288" s="9">
        <v>0</v>
      </c>
      <c r="AB288" s="9">
        <v>0</v>
      </c>
      <c r="AC288" s="9">
        <v>0</v>
      </c>
      <c r="AD288" s="53" t="e">
        <f>#REF!*D288</f>
        <v>#REF!</v>
      </c>
      <c r="AE288" s="53" t="e">
        <f>AD288-#REF!</f>
        <v>#REF!</v>
      </c>
      <c r="AF288" s="8"/>
      <c r="AG288" s="33" t="e">
        <f>#REF!-D288</f>
        <v>#REF!</v>
      </c>
      <c r="AH288" s="8"/>
      <c r="AI288" s="8"/>
      <c r="AJ288" s="8"/>
      <c r="AK288" s="8"/>
    </row>
    <row r="289" spans="1:37" s="17" customFormat="1" ht="37.5" customHeight="1" outlineLevel="1" x14ac:dyDescent="0.2">
      <c r="A289" s="61" t="s">
        <v>890</v>
      </c>
      <c r="B289" s="47" t="s">
        <v>393</v>
      </c>
      <c r="C289" s="9" t="s">
        <v>48</v>
      </c>
      <c r="D289" s="25">
        <f t="shared" si="91"/>
        <v>604</v>
      </c>
      <c r="E289" s="54"/>
      <c r="F289" s="9"/>
      <c r="G289" s="88">
        <f t="shared" ref="G289:AC289" si="94">G288</f>
        <v>0</v>
      </c>
      <c r="H289" s="88">
        <f t="shared" si="94"/>
        <v>15</v>
      </c>
      <c r="I289" s="88">
        <f t="shared" si="94"/>
        <v>105</v>
      </c>
      <c r="J289" s="88">
        <f t="shared" si="94"/>
        <v>0</v>
      </c>
      <c r="K289" s="88">
        <f t="shared" si="94"/>
        <v>0</v>
      </c>
      <c r="L289" s="88">
        <f t="shared" si="94"/>
        <v>39</v>
      </c>
      <c r="M289" s="88">
        <f t="shared" si="94"/>
        <v>108</v>
      </c>
      <c r="N289" s="88">
        <f t="shared" si="94"/>
        <v>67</v>
      </c>
      <c r="O289" s="88">
        <f t="shared" si="94"/>
        <v>90</v>
      </c>
      <c r="P289" s="88">
        <f t="shared" si="94"/>
        <v>45</v>
      </c>
      <c r="Q289" s="88">
        <f t="shared" si="94"/>
        <v>87</v>
      </c>
      <c r="R289" s="88">
        <f t="shared" si="94"/>
        <v>33</v>
      </c>
      <c r="S289" s="88">
        <f t="shared" si="94"/>
        <v>0</v>
      </c>
      <c r="T289" s="88">
        <f t="shared" si="94"/>
        <v>0</v>
      </c>
      <c r="U289" s="88">
        <f t="shared" si="94"/>
        <v>0</v>
      </c>
      <c r="V289" s="88">
        <f t="shared" si="94"/>
        <v>0</v>
      </c>
      <c r="W289" s="88">
        <f t="shared" si="94"/>
        <v>15</v>
      </c>
      <c r="X289" s="88">
        <f t="shared" si="94"/>
        <v>0</v>
      </c>
      <c r="Y289" s="88">
        <f t="shared" si="94"/>
        <v>0</v>
      </c>
      <c r="Z289" s="88">
        <f t="shared" si="94"/>
        <v>0</v>
      </c>
      <c r="AA289" s="88">
        <f t="shared" si="94"/>
        <v>0</v>
      </c>
      <c r="AB289" s="88">
        <f t="shared" si="94"/>
        <v>0</v>
      </c>
      <c r="AC289" s="88">
        <f t="shared" si="94"/>
        <v>0</v>
      </c>
      <c r="AD289" s="53" t="e">
        <f>#REF!*D289</f>
        <v>#REF!</v>
      </c>
      <c r="AE289" s="53" t="e">
        <f>AD289-#REF!</f>
        <v>#REF!</v>
      </c>
      <c r="AF289" s="8"/>
      <c r="AG289" s="33" t="e">
        <f>#REF!-D289</f>
        <v>#REF!</v>
      </c>
      <c r="AH289" s="8"/>
      <c r="AI289" s="8"/>
      <c r="AJ289" s="8"/>
      <c r="AK289" s="8"/>
    </row>
    <row r="290" spans="1:37" s="17" customFormat="1" ht="30.6" outlineLevel="1" x14ac:dyDescent="0.2">
      <c r="A290" s="61" t="s">
        <v>891</v>
      </c>
      <c r="B290" s="14" t="s">
        <v>395</v>
      </c>
      <c r="C290" s="8" t="s">
        <v>47</v>
      </c>
      <c r="D290" s="25">
        <f t="shared" si="91"/>
        <v>31</v>
      </c>
      <c r="E290" s="54"/>
      <c r="F290" s="9"/>
      <c r="G290" s="33">
        <v>0</v>
      </c>
      <c r="H290" s="33">
        <v>3</v>
      </c>
      <c r="I290" s="9">
        <v>6</v>
      </c>
      <c r="J290" s="9">
        <v>0</v>
      </c>
      <c r="K290" s="9">
        <v>0</v>
      </c>
      <c r="L290" s="9">
        <v>3</v>
      </c>
      <c r="M290" s="9">
        <v>6</v>
      </c>
      <c r="N290" s="9">
        <v>1</v>
      </c>
      <c r="O290" s="9">
        <v>1</v>
      </c>
      <c r="P290" s="9">
        <v>4</v>
      </c>
      <c r="Q290" s="9">
        <v>3</v>
      </c>
      <c r="R290" s="9">
        <v>2</v>
      </c>
      <c r="S290" s="9">
        <v>0</v>
      </c>
      <c r="T290" s="49">
        <v>0</v>
      </c>
      <c r="U290" s="33">
        <v>0</v>
      </c>
      <c r="V290" s="9">
        <v>0</v>
      </c>
      <c r="W290" s="9">
        <v>2</v>
      </c>
      <c r="X290" s="9">
        <v>0</v>
      </c>
      <c r="Y290" s="9">
        <v>0</v>
      </c>
      <c r="Z290" s="9">
        <v>0</v>
      </c>
      <c r="AA290" s="9">
        <v>0</v>
      </c>
      <c r="AB290" s="9">
        <v>0</v>
      </c>
      <c r="AC290" s="9">
        <v>0</v>
      </c>
      <c r="AD290" s="53" t="e">
        <f>#REF!*D290</f>
        <v>#REF!</v>
      </c>
      <c r="AE290" s="53" t="e">
        <f>AD290-#REF!</f>
        <v>#REF!</v>
      </c>
      <c r="AF290" s="8"/>
      <c r="AG290" s="33" t="e">
        <f>#REF!-D290</f>
        <v>#REF!</v>
      </c>
      <c r="AH290" s="8"/>
      <c r="AI290" s="8"/>
      <c r="AJ290" s="8"/>
      <c r="AK290" s="8"/>
    </row>
    <row r="291" spans="1:37" s="17" customFormat="1" ht="30.6" outlineLevel="1" x14ac:dyDescent="0.2">
      <c r="A291" s="61" t="s">
        <v>892</v>
      </c>
      <c r="B291" s="14" t="s">
        <v>3068</v>
      </c>
      <c r="C291" s="8" t="s">
        <v>47</v>
      </c>
      <c r="D291" s="25">
        <f t="shared" si="91"/>
        <v>1</v>
      </c>
      <c r="E291" s="54"/>
      <c r="F291" s="9"/>
      <c r="G291" s="33">
        <v>0</v>
      </c>
      <c r="H291" s="33">
        <v>0</v>
      </c>
      <c r="I291" s="9">
        <v>0</v>
      </c>
      <c r="J291" s="9">
        <v>0</v>
      </c>
      <c r="K291" s="9">
        <v>0</v>
      </c>
      <c r="L291" s="9">
        <v>0</v>
      </c>
      <c r="M291" s="9">
        <v>0</v>
      </c>
      <c r="N291" s="9">
        <v>0</v>
      </c>
      <c r="O291" s="9">
        <v>0</v>
      </c>
      <c r="P291" s="9">
        <v>0</v>
      </c>
      <c r="Q291" s="9">
        <v>0</v>
      </c>
      <c r="R291" s="9">
        <v>0</v>
      </c>
      <c r="S291" s="9">
        <v>0</v>
      </c>
      <c r="T291" s="49">
        <v>0</v>
      </c>
      <c r="U291" s="33">
        <v>0</v>
      </c>
      <c r="V291" s="9">
        <v>0</v>
      </c>
      <c r="W291" s="9">
        <v>1</v>
      </c>
      <c r="X291" s="9">
        <v>0</v>
      </c>
      <c r="Y291" s="9">
        <v>0</v>
      </c>
      <c r="Z291" s="9">
        <v>0</v>
      </c>
      <c r="AA291" s="9">
        <v>0</v>
      </c>
      <c r="AB291" s="9">
        <v>0</v>
      </c>
      <c r="AC291" s="9">
        <v>0</v>
      </c>
      <c r="AD291" s="53" t="e">
        <f>#REF!*D291</f>
        <v>#REF!</v>
      </c>
      <c r="AE291" s="53" t="e">
        <f>AD291-#REF!</f>
        <v>#REF!</v>
      </c>
      <c r="AF291" s="8"/>
      <c r="AG291" s="33" t="e">
        <f>#REF!-D291</f>
        <v>#REF!</v>
      </c>
      <c r="AH291" s="8"/>
      <c r="AI291" s="8"/>
      <c r="AJ291" s="8"/>
      <c r="AK291" s="8"/>
    </row>
    <row r="292" spans="1:37" s="17" customFormat="1" ht="30.6" outlineLevel="1" x14ac:dyDescent="0.2">
      <c r="A292" s="61" t="s">
        <v>893</v>
      </c>
      <c r="B292" s="14" t="s">
        <v>399</v>
      </c>
      <c r="C292" s="8" t="s">
        <v>47</v>
      </c>
      <c r="D292" s="25">
        <f t="shared" si="91"/>
        <v>26</v>
      </c>
      <c r="E292" s="54"/>
      <c r="F292" s="9"/>
      <c r="G292" s="33">
        <v>0</v>
      </c>
      <c r="H292" s="33">
        <v>0</v>
      </c>
      <c r="I292" s="9">
        <v>0</v>
      </c>
      <c r="J292" s="9">
        <v>0</v>
      </c>
      <c r="K292" s="9">
        <v>0</v>
      </c>
      <c r="L292" s="9">
        <v>2</v>
      </c>
      <c r="M292" s="9">
        <v>3</v>
      </c>
      <c r="N292" s="9">
        <v>1</v>
      </c>
      <c r="O292" s="9">
        <v>3</v>
      </c>
      <c r="P292" s="9">
        <v>5</v>
      </c>
      <c r="Q292" s="9">
        <v>5</v>
      </c>
      <c r="R292" s="9">
        <v>5</v>
      </c>
      <c r="S292" s="9">
        <v>0</v>
      </c>
      <c r="T292" s="49">
        <v>0</v>
      </c>
      <c r="U292" s="33">
        <v>0</v>
      </c>
      <c r="V292" s="9">
        <v>0</v>
      </c>
      <c r="W292" s="9">
        <v>1</v>
      </c>
      <c r="X292" s="9">
        <v>0</v>
      </c>
      <c r="Y292" s="9">
        <v>1</v>
      </c>
      <c r="Z292" s="9">
        <v>0</v>
      </c>
      <c r="AA292" s="9">
        <v>0</v>
      </c>
      <c r="AB292" s="9">
        <v>0</v>
      </c>
      <c r="AC292" s="9">
        <v>0</v>
      </c>
      <c r="AD292" s="53" t="e">
        <f>#REF!*D292</f>
        <v>#REF!</v>
      </c>
      <c r="AE292" s="53" t="e">
        <f>AD292-#REF!</f>
        <v>#REF!</v>
      </c>
      <c r="AF292" s="8"/>
      <c r="AG292" s="33" t="e">
        <f>#REF!-D292</f>
        <v>#REF!</v>
      </c>
      <c r="AH292" s="8"/>
      <c r="AI292" s="8"/>
      <c r="AJ292" s="8"/>
      <c r="AK292" s="8"/>
    </row>
    <row r="293" spans="1:37" s="17" customFormat="1" ht="30.6" outlineLevel="1" x14ac:dyDescent="0.2">
      <c r="A293" s="61" t="s">
        <v>894</v>
      </c>
      <c r="B293" s="14" t="s">
        <v>2875</v>
      </c>
      <c r="C293" s="8" t="s">
        <v>47</v>
      </c>
      <c r="D293" s="25">
        <f t="shared" si="91"/>
        <v>1</v>
      </c>
      <c r="E293" s="54"/>
      <c r="F293" s="9"/>
      <c r="G293" s="33">
        <v>0</v>
      </c>
      <c r="H293" s="33">
        <v>0</v>
      </c>
      <c r="I293" s="9">
        <v>0</v>
      </c>
      <c r="J293" s="9">
        <v>0</v>
      </c>
      <c r="K293" s="9">
        <v>0</v>
      </c>
      <c r="L293" s="9">
        <v>0</v>
      </c>
      <c r="M293" s="9">
        <v>0</v>
      </c>
      <c r="N293" s="9">
        <v>0</v>
      </c>
      <c r="O293" s="9">
        <v>0</v>
      </c>
      <c r="P293" s="9">
        <v>0</v>
      </c>
      <c r="Q293" s="9">
        <v>0</v>
      </c>
      <c r="R293" s="9">
        <v>0</v>
      </c>
      <c r="S293" s="9">
        <v>0</v>
      </c>
      <c r="T293" s="49">
        <v>0</v>
      </c>
      <c r="U293" s="33">
        <v>0</v>
      </c>
      <c r="V293" s="9">
        <v>0</v>
      </c>
      <c r="W293" s="9">
        <v>1</v>
      </c>
      <c r="X293" s="9">
        <v>0</v>
      </c>
      <c r="Y293" s="9">
        <v>0</v>
      </c>
      <c r="Z293" s="9">
        <v>0</v>
      </c>
      <c r="AA293" s="9">
        <v>0</v>
      </c>
      <c r="AB293" s="9">
        <v>0</v>
      </c>
      <c r="AC293" s="9">
        <v>0</v>
      </c>
      <c r="AD293" s="53" t="e">
        <f>#REF!*D293</f>
        <v>#REF!</v>
      </c>
      <c r="AE293" s="53" t="e">
        <f>AD293-#REF!</f>
        <v>#REF!</v>
      </c>
      <c r="AF293" s="8"/>
      <c r="AG293" s="33" t="e">
        <f>#REF!-D293</f>
        <v>#REF!</v>
      </c>
      <c r="AH293" s="8"/>
      <c r="AI293" s="8"/>
      <c r="AJ293" s="8"/>
      <c r="AK293" s="8"/>
    </row>
    <row r="294" spans="1:37" s="17" customFormat="1" ht="30.6" outlineLevel="1" x14ac:dyDescent="0.2">
      <c r="A294" s="61" t="s">
        <v>895</v>
      </c>
      <c r="B294" s="14" t="s">
        <v>464</v>
      </c>
      <c r="C294" s="8" t="s">
        <v>47</v>
      </c>
      <c r="D294" s="25">
        <f t="shared" si="91"/>
        <v>1</v>
      </c>
      <c r="E294" s="54"/>
      <c r="F294" s="9"/>
      <c r="G294" s="33">
        <v>0</v>
      </c>
      <c r="H294" s="33">
        <v>0</v>
      </c>
      <c r="I294" s="9">
        <v>0</v>
      </c>
      <c r="J294" s="9">
        <v>0</v>
      </c>
      <c r="K294" s="9">
        <v>0</v>
      </c>
      <c r="L294" s="9">
        <v>0</v>
      </c>
      <c r="M294" s="9">
        <v>0</v>
      </c>
      <c r="N294" s="9">
        <v>0</v>
      </c>
      <c r="O294" s="9">
        <v>0</v>
      </c>
      <c r="P294" s="9">
        <v>0</v>
      </c>
      <c r="Q294" s="9">
        <v>0</v>
      </c>
      <c r="R294" s="9">
        <v>0</v>
      </c>
      <c r="S294" s="9">
        <v>0</v>
      </c>
      <c r="T294" s="49">
        <v>0</v>
      </c>
      <c r="U294" s="33">
        <v>0</v>
      </c>
      <c r="V294" s="9">
        <v>0</v>
      </c>
      <c r="W294" s="9">
        <v>1</v>
      </c>
      <c r="X294" s="9">
        <v>0</v>
      </c>
      <c r="Y294" s="9">
        <v>0</v>
      </c>
      <c r="Z294" s="9">
        <v>0</v>
      </c>
      <c r="AA294" s="9">
        <v>0</v>
      </c>
      <c r="AB294" s="9">
        <v>0</v>
      </c>
      <c r="AC294" s="9">
        <v>0</v>
      </c>
      <c r="AD294" s="53" t="e">
        <f>#REF!*D294</f>
        <v>#REF!</v>
      </c>
      <c r="AE294" s="53" t="e">
        <f>AD294-#REF!</f>
        <v>#REF!</v>
      </c>
      <c r="AF294" s="8"/>
      <c r="AG294" s="33" t="e">
        <f>#REF!-D294</f>
        <v>#REF!</v>
      </c>
      <c r="AH294" s="8"/>
      <c r="AI294" s="8"/>
      <c r="AJ294" s="8"/>
      <c r="AK294" s="8"/>
    </row>
    <row r="295" spans="1:37" s="17" customFormat="1" ht="30.6" outlineLevel="1" x14ac:dyDescent="0.2">
      <c r="A295" s="61" t="s">
        <v>896</v>
      </c>
      <c r="B295" s="14" t="s">
        <v>1066</v>
      </c>
      <c r="C295" s="9" t="s">
        <v>48</v>
      </c>
      <c r="D295" s="25">
        <f t="shared" si="91"/>
        <v>15</v>
      </c>
      <c r="E295" s="54"/>
      <c r="F295" s="9"/>
      <c r="G295" s="33">
        <v>0</v>
      </c>
      <c r="H295" s="33">
        <v>0</v>
      </c>
      <c r="I295" s="9">
        <v>0</v>
      </c>
      <c r="J295" s="9">
        <v>0</v>
      </c>
      <c r="K295" s="9">
        <v>0</v>
      </c>
      <c r="L295" s="9">
        <v>0</v>
      </c>
      <c r="M295" s="9">
        <v>0</v>
      </c>
      <c r="N295" s="9">
        <v>0</v>
      </c>
      <c r="O295" s="9">
        <v>0</v>
      </c>
      <c r="P295" s="9">
        <v>0</v>
      </c>
      <c r="Q295" s="9">
        <v>0</v>
      </c>
      <c r="R295" s="9">
        <v>0</v>
      </c>
      <c r="S295" s="9">
        <v>0</v>
      </c>
      <c r="T295" s="9">
        <v>0</v>
      </c>
      <c r="U295" s="33">
        <v>0</v>
      </c>
      <c r="V295" s="9">
        <v>0</v>
      </c>
      <c r="W295" s="9">
        <v>15</v>
      </c>
      <c r="X295" s="9">
        <v>0</v>
      </c>
      <c r="Y295" s="9">
        <v>0</v>
      </c>
      <c r="Z295" s="9">
        <v>0</v>
      </c>
      <c r="AA295" s="9">
        <v>0</v>
      </c>
      <c r="AB295" s="9">
        <v>0</v>
      </c>
      <c r="AC295" s="9">
        <v>0</v>
      </c>
      <c r="AD295" s="53" t="e">
        <f>#REF!*D295</f>
        <v>#REF!</v>
      </c>
      <c r="AE295" s="53" t="e">
        <f>AD295-#REF!</f>
        <v>#REF!</v>
      </c>
      <c r="AF295" s="8"/>
      <c r="AG295" s="33" t="e">
        <f>#REF!-D295</f>
        <v>#REF!</v>
      </c>
      <c r="AH295" s="8"/>
      <c r="AI295" s="8"/>
      <c r="AJ295" s="8"/>
      <c r="AK295" s="8"/>
    </row>
    <row r="296" spans="1:37" s="17" customFormat="1" ht="37.5" customHeight="1" outlineLevel="1" x14ac:dyDescent="0.2">
      <c r="A296" s="61" t="s">
        <v>897</v>
      </c>
      <c r="B296" s="47" t="s">
        <v>393</v>
      </c>
      <c r="C296" s="9" t="s">
        <v>48</v>
      </c>
      <c r="D296" s="25">
        <f t="shared" si="91"/>
        <v>15</v>
      </c>
      <c r="E296" s="54"/>
      <c r="F296" s="9"/>
      <c r="G296" s="88">
        <f t="shared" ref="G296:AC296" si="95">G295</f>
        <v>0</v>
      </c>
      <c r="H296" s="88">
        <f t="shared" si="95"/>
        <v>0</v>
      </c>
      <c r="I296" s="88">
        <f t="shared" si="95"/>
        <v>0</v>
      </c>
      <c r="J296" s="88">
        <f t="shared" si="95"/>
        <v>0</v>
      </c>
      <c r="K296" s="88">
        <f t="shared" si="95"/>
        <v>0</v>
      </c>
      <c r="L296" s="88">
        <f t="shared" si="95"/>
        <v>0</v>
      </c>
      <c r="M296" s="88">
        <f t="shared" si="95"/>
        <v>0</v>
      </c>
      <c r="N296" s="88">
        <f t="shared" si="95"/>
        <v>0</v>
      </c>
      <c r="O296" s="88">
        <f t="shared" si="95"/>
        <v>0</v>
      </c>
      <c r="P296" s="88">
        <f t="shared" si="95"/>
        <v>0</v>
      </c>
      <c r="Q296" s="88">
        <f t="shared" si="95"/>
        <v>0</v>
      </c>
      <c r="R296" s="88">
        <f t="shared" si="95"/>
        <v>0</v>
      </c>
      <c r="S296" s="88">
        <f t="shared" si="95"/>
        <v>0</v>
      </c>
      <c r="T296" s="88">
        <f t="shared" si="95"/>
        <v>0</v>
      </c>
      <c r="U296" s="88">
        <f t="shared" si="95"/>
        <v>0</v>
      </c>
      <c r="V296" s="88">
        <f t="shared" si="95"/>
        <v>0</v>
      </c>
      <c r="W296" s="88">
        <f t="shared" si="95"/>
        <v>15</v>
      </c>
      <c r="X296" s="88">
        <f t="shared" si="95"/>
        <v>0</v>
      </c>
      <c r="Y296" s="88">
        <f t="shared" si="95"/>
        <v>0</v>
      </c>
      <c r="Z296" s="88">
        <f t="shared" si="95"/>
        <v>0</v>
      </c>
      <c r="AA296" s="88">
        <f t="shared" si="95"/>
        <v>0</v>
      </c>
      <c r="AB296" s="88">
        <f t="shared" si="95"/>
        <v>0</v>
      </c>
      <c r="AC296" s="88">
        <f t="shared" si="95"/>
        <v>0</v>
      </c>
      <c r="AD296" s="53" t="e">
        <f>#REF!*D296</f>
        <v>#REF!</v>
      </c>
      <c r="AE296" s="53" t="e">
        <f>AD296-#REF!</f>
        <v>#REF!</v>
      </c>
      <c r="AF296" s="8"/>
      <c r="AG296" s="33" t="e">
        <f>#REF!-D296</f>
        <v>#REF!</v>
      </c>
      <c r="AH296" s="8"/>
      <c r="AI296" s="8"/>
      <c r="AJ296" s="8"/>
      <c r="AK296" s="8"/>
    </row>
    <row r="297" spans="1:37" s="17" customFormat="1" ht="30.6" outlineLevel="1" x14ac:dyDescent="0.2">
      <c r="A297" s="61" t="s">
        <v>898</v>
      </c>
      <c r="B297" s="14" t="s">
        <v>395</v>
      </c>
      <c r="C297" s="8" t="s">
        <v>47</v>
      </c>
      <c r="D297" s="25">
        <f t="shared" si="91"/>
        <v>1</v>
      </c>
      <c r="E297" s="54"/>
      <c r="F297" s="9"/>
      <c r="G297" s="33">
        <v>0</v>
      </c>
      <c r="H297" s="33">
        <v>0</v>
      </c>
      <c r="I297" s="9">
        <v>0</v>
      </c>
      <c r="J297" s="9">
        <v>0</v>
      </c>
      <c r="K297" s="9">
        <v>0</v>
      </c>
      <c r="L297" s="9">
        <v>0</v>
      </c>
      <c r="M297" s="9">
        <v>0</v>
      </c>
      <c r="N297" s="9">
        <v>0</v>
      </c>
      <c r="O297" s="9">
        <v>0</v>
      </c>
      <c r="P297" s="9">
        <v>0</v>
      </c>
      <c r="Q297" s="9">
        <v>0</v>
      </c>
      <c r="R297" s="9">
        <v>0</v>
      </c>
      <c r="S297" s="9">
        <v>0</v>
      </c>
      <c r="T297" s="49">
        <v>0</v>
      </c>
      <c r="U297" s="33">
        <v>0</v>
      </c>
      <c r="V297" s="9">
        <v>0</v>
      </c>
      <c r="W297" s="9">
        <v>1</v>
      </c>
      <c r="X297" s="9">
        <v>0</v>
      </c>
      <c r="Y297" s="9">
        <v>0</v>
      </c>
      <c r="Z297" s="9">
        <v>0</v>
      </c>
      <c r="AA297" s="9">
        <v>0</v>
      </c>
      <c r="AB297" s="9">
        <v>0</v>
      </c>
      <c r="AC297" s="9">
        <v>0</v>
      </c>
      <c r="AD297" s="53" t="e">
        <f>#REF!*D297</f>
        <v>#REF!</v>
      </c>
      <c r="AE297" s="53" t="e">
        <f>AD297-#REF!</f>
        <v>#REF!</v>
      </c>
      <c r="AF297" s="8"/>
      <c r="AG297" s="33" t="e">
        <f>#REF!-D297</f>
        <v>#REF!</v>
      </c>
      <c r="AH297" s="8"/>
      <c r="AI297" s="8"/>
      <c r="AJ297" s="8"/>
      <c r="AK297" s="8"/>
    </row>
    <row r="298" spans="1:37" s="17" customFormat="1" ht="30.6" outlineLevel="1" x14ac:dyDescent="0.2">
      <c r="A298" s="61" t="s">
        <v>899</v>
      </c>
      <c r="B298" s="14" t="s">
        <v>399</v>
      </c>
      <c r="C298" s="8" t="s">
        <v>47</v>
      </c>
      <c r="D298" s="25">
        <f t="shared" si="91"/>
        <v>1</v>
      </c>
      <c r="E298" s="54"/>
      <c r="F298" s="9"/>
      <c r="G298" s="33">
        <v>0</v>
      </c>
      <c r="H298" s="33">
        <v>0</v>
      </c>
      <c r="I298" s="9">
        <v>0</v>
      </c>
      <c r="J298" s="9">
        <v>0</v>
      </c>
      <c r="K298" s="9">
        <v>0</v>
      </c>
      <c r="L298" s="9">
        <v>0</v>
      </c>
      <c r="M298" s="9">
        <v>0</v>
      </c>
      <c r="N298" s="9">
        <v>0</v>
      </c>
      <c r="O298" s="9">
        <v>0</v>
      </c>
      <c r="P298" s="9">
        <v>0</v>
      </c>
      <c r="Q298" s="9">
        <v>0</v>
      </c>
      <c r="R298" s="9">
        <v>0</v>
      </c>
      <c r="S298" s="9">
        <v>0</v>
      </c>
      <c r="T298" s="49">
        <v>0</v>
      </c>
      <c r="U298" s="33">
        <v>0</v>
      </c>
      <c r="V298" s="9">
        <v>0</v>
      </c>
      <c r="W298" s="9">
        <v>1</v>
      </c>
      <c r="X298" s="9">
        <v>0</v>
      </c>
      <c r="Y298" s="9">
        <v>0</v>
      </c>
      <c r="Z298" s="9">
        <v>0</v>
      </c>
      <c r="AA298" s="9">
        <v>0</v>
      </c>
      <c r="AB298" s="9">
        <v>0</v>
      </c>
      <c r="AC298" s="9">
        <v>0</v>
      </c>
      <c r="AD298" s="53" t="e">
        <f>#REF!*D298</f>
        <v>#REF!</v>
      </c>
      <c r="AE298" s="53" t="e">
        <f>AD298-#REF!</f>
        <v>#REF!</v>
      </c>
      <c r="AF298" s="8"/>
      <c r="AG298" s="33" t="e">
        <f>#REF!-D298</f>
        <v>#REF!</v>
      </c>
      <c r="AH298" s="8"/>
      <c r="AI298" s="8"/>
      <c r="AJ298" s="8"/>
      <c r="AK298" s="8"/>
    </row>
    <row r="299" spans="1:37" s="17" customFormat="1" ht="30.6" outlineLevel="1" x14ac:dyDescent="0.2">
      <c r="A299" s="61" t="s">
        <v>900</v>
      </c>
      <c r="B299" s="14" t="s">
        <v>3072</v>
      </c>
      <c r="C299" s="8" t="s">
        <v>47</v>
      </c>
      <c r="D299" s="25">
        <f t="shared" si="91"/>
        <v>1</v>
      </c>
      <c r="E299" s="54"/>
      <c r="F299" s="9"/>
      <c r="G299" s="33">
        <v>0</v>
      </c>
      <c r="H299" s="33">
        <v>0</v>
      </c>
      <c r="I299" s="9">
        <v>0</v>
      </c>
      <c r="J299" s="9">
        <v>0</v>
      </c>
      <c r="K299" s="9">
        <v>0</v>
      </c>
      <c r="L299" s="9">
        <v>0</v>
      </c>
      <c r="M299" s="9">
        <v>0</v>
      </c>
      <c r="N299" s="9">
        <v>0</v>
      </c>
      <c r="O299" s="9">
        <v>0</v>
      </c>
      <c r="P299" s="9">
        <v>0</v>
      </c>
      <c r="Q299" s="9">
        <v>0</v>
      </c>
      <c r="R299" s="9">
        <v>0</v>
      </c>
      <c r="S299" s="9">
        <v>0</v>
      </c>
      <c r="T299" s="49">
        <v>0</v>
      </c>
      <c r="U299" s="33">
        <v>0</v>
      </c>
      <c r="V299" s="9">
        <v>0</v>
      </c>
      <c r="W299" s="9">
        <v>1</v>
      </c>
      <c r="X299" s="9">
        <v>0</v>
      </c>
      <c r="Y299" s="9">
        <v>0</v>
      </c>
      <c r="Z299" s="9">
        <v>0</v>
      </c>
      <c r="AA299" s="9">
        <v>0</v>
      </c>
      <c r="AB299" s="9">
        <v>0</v>
      </c>
      <c r="AC299" s="9">
        <v>0</v>
      </c>
      <c r="AD299" s="53" t="e">
        <f>#REF!*D299</f>
        <v>#REF!</v>
      </c>
      <c r="AE299" s="53" t="e">
        <f>AD299-#REF!</f>
        <v>#REF!</v>
      </c>
      <c r="AF299" s="8"/>
      <c r="AG299" s="33" t="e">
        <f>#REF!-D299</f>
        <v>#REF!</v>
      </c>
      <c r="AH299" s="8"/>
      <c r="AI299" s="8"/>
      <c r="AJ299" s="8"/>
      <c r="AK299" s="8"/>
    </row>
    <row r="300" spans="1:37" s="17" customFormat="1" ht="30.6" outlineLevel="1" x14ac:dyDescent="0.2">
      <c r="A300" s="61" t="s">
        <v>901</v>
      </c>
      <c r="B300" s="14" t="s">
        <v>2307</v>
      </c>
      <c r="C300" s="9" t="s">
        <v>48</v>
      </c>
      <c r="D300" s="25">
        <f t="shared" si="91"/>
        <v>57</v>
      </c>
      <c r="E300" s="54"/>
      <c r="F300" s="9"/>
      <c r="G300" s="33">
        <v>0</v>
      </c>
      <c r="H300" s="33">
        <v>0</v>
      </c>
      <c r="I300" s="9">
        <v>0</v>
      </c>
      <c r="J300" s="9">
        <v>0</v>
      </c>
      <c r="K300" s="9">
        <v>0</v>
      </c>
      <c r="L300" s="9">
        <v>57</v>
      </c>
      <c r="M300" s="9">
        <v>0</v>
      </c>
      <c r="N300" s="9">
        <v>0</v>
      </c>
      <c r="O300" s="9">
        <v>0</v>
      </c>
      <c r="P300" s="9">
        <v>0</v>
      </c>
      <c r="Q300" s="9">
        <v>0</v>
      </c>
      <c r="R300" s="9">
        <v>0</v>
      </c>
      <c r="S300" s="9">
        <v>0</v>
      </c>
      <c r="T300" s="49">
        <v>0</v>
      </c>
      <c r="U300" s="33">
        <v>0</v>
      </c>
      <c r="V300" s="9">
        <v>0</v>
      </c>
      <c r="W300" s="9">
        <v>0</v>
      </c>
      <c r="X300" s="9">
        <v>0</v>
      </c>
      <c r="Y300" s="9">
        <v>0</v>
      </c>
      <c r="Z300" s="9">
        <v>0</v>
      </c>
      <c r="AA300" s="9">
        <v>0</v>
      </c>
      <c r="AB300" s="9">
        <v>0</v>
      </c>
      <c r="AC300" s="9">
        <v>0</v>
      </c>
      <c r="AD300" s="53" t="e">
        <f>#REF!*D300</f>
        <v>#REF!</v>
      </c>
      <c r="AE300" s="53" t="e">
        <f>AD300-#REF!</f>
        <v>#REF!</v>
      </c>
      <c r="AF300" s="8"/>
      <c r="AG300" s="33" t="e">
        <f>#REF!-D300</f>
        <v>#REF!</v>
      </c>
      <c r="AH300" s="8"/>
      <c r="AI300" s="8"/>
      <c r="AJ300" s="8"/>
      <c r="AK300" s="8"/>
    </row>
    <row r="301" spans="1:37" s="17" customFormat="1" ht="36.75" customHeight="1" outlineLevel="1" x14ac:dyDescent="0.2">
      <c r="A301" s="61" t="s">
        <v>902</v>
      </c>
      <c r="B301" s="47" t="s">
        <v>2308</v>
      </c>
      <c r="C301" s="9" t="s">
        <v>48</v>
      </c>
      <c r="D301" s="25">
        <f t="shared" si="91"/>
        <v>57</v>
      </c>
      <c r="E301" s="54"/>
      <c r="F301" s="9"/>
      <c r="G301" s="88">
        <f t="shared" ref="G301:AC301" si="96">G300</f>
        <v>0</v>
      </c>
      <c r="H301" s="88">
        <f t="shared" si="96"/>
        <v>0</v>
      </c>
      <c r="I301" s="88">
        <f t="shared" si="96"/>
        <v>0</v>
      </c>
      <c r="J301" s="88">
        <f t="shared" si="96"/>
        <v>0</v>
      </c>
      <c r="K301" s="88">
        <f t="shared" si="96"/>
        <v>0</v>
      </c>
      <c r="L301" s="88">
        <f t="shared" si="96"/>
        <v>57</v>
      </c>
      <c r="M301" s="88">
        <f t="shared" si="96"/>
        <v>0</v>
      </c>
      <c r="N301" s="88">
        <f t="shared" si="96"/>
        <v>0</v>
      </c>
      <c r="O301" s="88">
        <f t="shared" si="96"/>
        <v>0</v>
      </c>
      <c r="P301" s="88">
        <f t="shared" si="96"/>
        <v>0</v>
      </c>
      <c r="Q301" s="88">
        <f t="shared" si="96"/>
        <v>0</v>
      </c>
      <c r="R301" s="88">
        <f t="shared" si="96"/>
        <v>0</v>
      </c>
      <c r="S301" s="88">
        <f t="shared" si="96"/>
        <v>0</v>
      </c>
      <c r="T301" s="88">
        <f t="shared" si="96"/>
        <v>0</v>
      </c>
      <c r="U301" s="88">
        <f t="shared" si="96"/>
        <v>0</v>
      </c>
      <c r="V301" s="88">
        <f t="shared" si="96"/>
        <v>0</v>
      </c>
      <c r="W301" s="88">
        <f t="shared" si="96"/>
        <v>0</v>
      </c>
      <c r="X301" s="88">
        <f t="shared" si="96"/>
        <v>0</v>
      </c>
      <c r="Y301" s="88">
        <f t="shared" si="96"/>
        <v>0</v>
      </c>
      <c r="Z301" s="88">
        <f t="shared" si="96"/>
        <v>0</v>
      </c>
      <c r="AA301" s="88">
        <f t="shared" si="96"/>
        <v>0</v>
      </c>
      <c r="AB301" s="88">
        <f t="shared" si="96"/>
        <v>0</v>
      </c>
      <c r="AC301" s="88">
        <f t="shared" si="96"/>
        <v>0</v>
      </c>
      <c r="AD301" s="53" t="e">
        <f>#REF!*D301</f>
        <v>#REF!</v>
      </c>
      <c r="AE301" s="53" t="e">
        <f>AD301-#REF!</f>
        <v>#REF!</v>
      </c>
      <c r="AF301" s="8"/>
      <c r="AG301" s="33" t="e">
        <f>#REF!-D301</f>
        <v>#REF!</v>
      </c>
      <c r="AH301" s="8"/>
      <c r="AI301" s="8"/>
      <c r="AJ301" s="8"/>
      <c r="AK301" s="8"/>
    </row>
    <row r="302" spans="1:37" s="17" customFormat="1" ht="30.6" outlineLevel="1" x14ac:dyDescent="0.2">
      <c r="A302" s="61" t="s">
        <v>903</v>
      </c>
      <c r="B302" s="14" t="s">
        <v>2309</v>
      </c>
      <c r="C302" s="8" t="s">
        <v>47</v>
      </c>
      <c r="D302" s="25">
        <f t="shared" si="91"/>
        <v>2</v>
      </c>
      <c r="E302" s="54"/>
      <c r="F302" s="9"/>
      <c r="G302" s="33">
        <v>0</v>
      </c>
      <c r="H302" s="33">
        <v>0</v>
      </c>
      <c r="I302" s="9">
        <v>0</v>
      </c>
      <c r="J302" s="9">
        <v>0</v>
      </c>
      <c r="K302" s="9">
        <v>0</v>
      </c>
      <c r="L302" s="9">
        <v>2</v>
      </c>
      <c r="M302" s="9">
        <v>0</v>
      </c>
      <c r="N302" s="9">
        <v>0</v>
      </c>
      <c r="O302" s="9">
        <v>0</v>
      </c>
      <c r="P302" s="9">
        <v>0</v>
      </c>
      <c r="Q302" s="9">
        <v>0</v>
      </c>
      <c r="R302" s="9">
        <v>0</v>
      </c>
      <c r="S302" s="9">
        <v>0</v>
      </c>
      <c r="T302" s="49">
        <v>0</v>
      </c>
      <c r="U302" s="33">
        <v>0</v>
      </c>
      <c r="V302" s="9">
        <v>0</v>
      </c>
      <c r="W302" s="9">
        <v>0</v>
      </c>
      <c r="X302" s="9">
        <v>0</v>
      </c>
      <c r="Y302" s="9">
        <v>0</v>
      </c>
      <c r="Z302" s="9">
        <v>0</v>
      </c>
      <c r="AA302" s="9">
        <v>0</v>
      </c>
      <c r="AB302" s="9">
        <v>0</v>
      </c>
      <c r="AC302" s="9">
        <v>0</v>
      </c>
      <c r="AD302" s="53" t="e">
        <f>#REF!*D302</f>
        <v>#REF!</v>
      </c>
      <c r="AE302" s="53" t="e">
        <f>AD302-#REF!</f>
        <v>#REF!</v>
      </c>
      <c r="AF302" s="8"/>
      <c r="AG302" s="33" t="e">
        <f>#REF!-D302</f>
        <v>#REF!</v>
      </c>
      <c r="AH302" s="8"/>
      <c r="AI302" s="8"/>
      <c r="AJ302" s="8"/>
      <c r="AK302" s="8"/>
    </row>
    <row r="303" spans="1:37" s="17" customFormat="1" ht="30.6" outlineLevel="1" x14ac:dyDescent="0.2">
      <c r="A303" s="61" t="s">
        <v>904</v>
      </c>
      <c r="B303" s="14" t="s">
        <v>2310</v>
      </c>
      <c r="C303" s="8" t="s">
        <v>47</v>
      </c>
      <c r="D303" s="25">
        <f t="shared" si="91"/>
        <v>1</v>
      </c>
      <c r="E303" s="54"/>
      <c r="F303" s="9"/>
      <c r="G303" s="33">
        <v>0</v>
      </c>
      <c r="H303" s="33">
        <v>0</v>
      </c>
      <c r="I303" s="9">
        <v>0</v>
      </c>
      <c r="J303" s="9">
        <v>0</v>
      </c>
      <c r="K303" s="9">
        <v>0</v>
      </c>
      <c r="L303" s="9">
        <v>1</v>
      </c>
      <c r="M303" s="9">
        <v>0</v>
      </c>
      <c r="N303" s="9">
        <v>0</v>
      </c>
      <c r="O303" s="9">
        <v>0</v>
      </c>
      <c r="P303" s="9">
        <v>0</v>
      </c>
      <c r="Q303" s="9">
        <v>0</v>
      </c>
      <c r="R303" s="9">
        <v>0</v>
      </c>
      <c r="S303" s="9">
        <v>0</v>
      </c>
      <c r="T303" s="49">
        <v>0</v>
      </c>
      <c r="U303" s="33">
        <v>0</v>
      </c>
      <c r="V303" s="9">
        <v>0</v>
      </c>
      <c r="W303" s="9">
        <v>0</v>
      </c>
      <c r="X303" s="9">
        <v>0</v>
      </c>
      <c r="Y303" s="9">
        <v>0</v>
      </c>
      <c r="Z303" s="9">
        <v>0</v>
      </c>
      <c r="AA303" s="9">
        <v>0</v>
      </c>
      <c r="AB303" s="9">
        <v>0</v>
      </c>
      <c r="AC303" s="9">
        <v>0</v>
      </c>
      <c r="AD303" s="53" t="e">
        <f>#REF!*D303</f>
        <v>#REF!</v>
      </c>
      <c r="AE303" s="53" t="e">
        <f>AD303-#REF!</f>
        <v>#REF!</v>
      </c>
      <c r="AF303" s="8"/>
      <c r="AG303" s="33" t="e">
        <f>#REF!-D303</f>
        <v>#REF!</v>
      </c>
      <c r="AH303" s="8"/>
      <c r="AI303" s="8"/>
      <c r="AJ303" s="8"/>
      <c r="AK303" s="8"/>
    </row>
    <row r="304" spans="1:37" s="17" customFormat="1" ht="40.799999999999997" outlineLevel="1" x14ac:dyDescent="0.2">
      <c r="A304" s="61" t="s">
        <v>905</v>
      </c>
      <c r="B304" s="14" t="s">
        <v>460</v>
      </c>
      <c r="C304" s="8" t="s">
        <v>47</v>
      </c>
      <c r="D304" s="25">
        <f t="shared" si="91"/>
        <v>110</v>
      </c>
      <c r="E304" s="54"/>
      <c r="F304" s="9"/>
      <c r="G304" s="88">
        <f>G287/1.5</f>
        <v>0</v>
      </c>
      <c r="H304" s="88">
        <f t="shared" ref="H304:AC304" si="97">H278/1.5</f>
        <v>0</v>
      </c>
      <c r="I304" s="88">
        <f t="shared" si="97"/>
        <v>0</v>
      </c>
      <c r="J304" s="88">
        <f t="shared" si="97"/>
        <v>0</v>
      </c>
      <c r="K304" s="88">
        <f t="shared" si="97"/>
        <v>0</v>
      </c>
      <c r="L304" s="88">
        <f t="shared" si="97"/>
        <v>0</v>
      </c>
      <c r="M304" s="88">
        <f t="shared" si="97"/>
        <v>0</v>
      </c>
      <c r="N304" s="88">
        <f t="shared" si="97"/>
        <v>0</v>
      </c>
      <c r="O304" s="88">
        <f t="shared" si="97"/>
        <v>0</v>
      </c>
      <c r="P304" s="88">
        <f t="shared" si="97"/>
        <v>0</v>
      </c>
      <c r="Q304" s="88">
        <f t="shared" si="97"/>
        <v>0</v>
      </c>
      <c r="R304" s="88">
        <f t="shared" si="97"/>
        <v>0</v>
      </c>
      <c r="S304" s="88">
        <f t="shared" si="97"/>
        <v>0</v>
      </c>
      <c r="T304" s="88">
        <f t="shared" si="97"/>
        <v>0</v>
      </c>
      <c r="U304" s="88">
        <f t="shared" si="97"/>
        <v>0</v>
      </c>
      <c r="V304" s="88">
        <f t="shared" si="97"/>
        <v>0</v>
      </c>
      <c r="W304" s="88">
        <f t="shared" si="97"/>
        <v>28</v>
      </c>
      <c r="X304" s="88">
        <f t="shared" si="97"/>
        <v>16</v>
      </c>
      <c r="Y304" s="88">
        <f t="shared" si="97"/>
        <v>22</v>
      </c>
      <c r="Z304" s="88">
        <f t="shared" si="97"/>
        <v>28</v>
      </c>
      <c r="AA304" s="88">
        <f t="shared" si="97"/>
        <v>16</v>
      </c>
      <c r="AB304" s="88">
        <f t="shared" si="97"/>
        <v>0</v>
      </c>
      <c r="AC304" s="88">
        <f t="shared" si="97"/>
        <v>0</v>
      </c>
      <c r="AD304" s="53" t="e">
        <f>#REF!*D304</f>
        <v>#REF!</v>
      </c>
      <c r="AE304" s="53" t="e">
        <f>AD304-#REF!</f>
        <v>#REF!</v>
      </c>
      <c r="AF304" s="8"/>
      <c r="AG304" s="33" t="e">
        <f>#REF!-D304</f>
        <v>#REF!</v>
      </c>
      <c r="AH304" s="8"/>
      <c r="AI304" s="8"/>
      <c r="AJ304" s="8"/>
      <c r="AK304" s="8"/>
    </row>
    <row r="305" spans="1:37" s="17" customFormat="1" ht="40.799999999999997" outlineLevel="1" x14ac:dyDescent="0.2">
      <c r="A305" s="61" t="s">
        <v>906</v>
      </c>
      <c r="B305" s="14" t="s">
        <v>422</v>
      </c>
      <c r="C305" s="8" t="s">
        <v>47</v>
      </c>
      <c r="D305" s="25">
        <f t="shared" si="91"/>
        <v>432.66666666666663</v>
      </c>
      <c r="E305" s="54"/>
      <c r="F305" s="9"/>
      <c r="G305" s="88">
        <f>G288/1.5</f>
        <v>0</v>
      </c>
      <c r="H305" s="88">
        <f t="shared" ref="H305:AC305" si="98">H288/1.5+H281/1.5</f>
        <v>10</v>
      </c>
      <c r="I305" s="88">
        <f t="shared" si="98"/>
        <v>70</v>
      </c>
      <c r="J305" s="88">
        <f t="shared" si="98"/>
        <v>0</v>
      </c>
      <c r="K305" s="88">
        <f t="shared" si="98"/>
        <v>0</v>
      </c>
      <c r="L305" s="88">
        <f t="shared" si="98"/>
        <v>26</v>
      </c>
      <c r="M305" s="88">
        <f t="shared" si="98"/>
        <v>72</v>
      </c>
      <c r="N305" s="88">
        <f t="shared" si="98"/>
        <v>44.666666666666664</v>
      </c>
      <c r="O305" s="88">
        <f t="shared" si="98"/>
        <v>60</v>
      </c>
      <c r="P305" s="88">
        <f t="shared" si="98"/>
        <v>30</v>
      </c>
      <c r="Q305" s="88">
        <f t="shared" si="98"/>
        <v>58</v>
      </c>
      <c r="R305" s="88">
        <f t="shared" si="98"/>
        <v>22</v>
      </c>
      <c r="S305" s="88">
        <f t="shared" si="98"/>
        <v>0</v>
      </c>
      <c r="T305" s="88">
        <f t="shared" si="98"/>
        <v>0</v>
      </c>
      <c r="U305" s="88">
        <f t="shared" si="98"/>
        <v>0</v>
      </c>
      <c r="V305" s="88">
        <f t="shared" si="98"/>
        <v>0</v>
      </c>
      <c r="W305" s="88">
        <f t="shared" si="98"/>
        <v>10</v>
      </c>
      <c r="X305" s="88">
        <f t="shared" si="98"/>
        <v>4</v>
      </c>
      <c r="Y305" s="88">
        <f t="shared" si="98"/>
        <v>4</v>
      </c>
      <c r="Z305" s="88">
        <f t="shared" si="98"/>
        <v>8</v>
      </c>
      <c r="AA305" s="88">
        <f t="shared" si="98"/>
        <v>14</v>
      </c>
      <c r="AB305" s="88">
        <f t="shared" si="98"/>
        <v>0</v>
      </c>
      <c r="AC305" s="88">
        <f t="shared" si="98"/>
        <v>0</v>
      </c>
      <c r="AD305" s="53" t="e">
        <f>#REF!*D305</f>
        <v>#REF!</v>
      </c>
      <c r="AE305" s="53" t="e">
        <f>AD305-#REF!</f>
        <v>#REF!</v>
      </c>
      <c r="AF305" s="8"/>
      <c r="AG305" s="33" t="e">
        <f>#REF!-D305</f>
        <v>#REF!</v>
      </c>
      <c r="AH305" s="8"/>
      <c r="AI305" s="8"/>
      <c r="AJ305" s="8"/>
      <c r="AK305" s="8"/>
    </row>
    <row r="306" spans="1:37" s="17" customFormat="1" ht="40.799999999999997" outlineLevel="1" x14ac:dyDescent="0.2">
      <c r="A306" s="61" t="s">
        <v>907</v>
      </c>
      <c r="B306" s="14" t="s">
        <v>2311</v>
      </c>
      <c r="C306" s="8" t="s">
        <v>47</v>
      </c>
      <c r="D306" s="25">
        <f t="shared" si="91"/>
        <v>38</v>
      </c>
      <c r="E306" s="54"/>
      <c r="F306" s="9"/>
      <c r="G306" s="88">
        <f t="shared" ref="G306:AC306" si="99">G300/1.5</f>
        <v>0</v>
      </c>
      <c r="H306" s="88">
        <f t="shared" si="99"/>
        <v>0</v>
      </c>
      <c r="I306" s="88">
        <f t="shared" si="99"/>
        <v>0</v>
      </c>
      <c r="J306" s="88">
        <f t="shared" si="99"/>
        <v>0</v>
      </c>
      <c r="K306" s="88">
        <f t="shared" si="99"/>
        <v>0</v>
      </c>
      <c r="L306" s="88">
        <f t="shared" si="99"/>
        <v>38</v>
      </c>
      <c r="M306" s="88">
        <f t="shared" si="99"/>
        <v>0</v>
      </c>
      <c r="N306" s="88">
        <f t="shared" si="99"/>
        <v>0</v>
      </c>
      <c r="O306" s="88">
        <f t="shared" si="99"/>
        <v>0</v>
      </c>
      <c r="P306" s="88">
        <f t="shared" si="99"/>
        <v>0</v>
      </c>
      <c r="Q306" s="88">
        <f t="shared" si="99"/>
        <v>0</v>
      </c>
      <c r="R306" s="88">
        <f t="shared" si="99"/>
        <v>0</v>
      </c>
      <c r="S306" s="88">
        <f t="shared" si="99"/>
        <v>0</v>
      </c>
      <c r="T306" s="88">
        <f t="shared" si="99"/>
        <v>0</v>
      </c>
      <c r="U306" s="88">
        <f t="shared" si="99"/>
        <v>0</v>
      </c>
      <c r="V306" s="88">
        <f t="shared" si="99"/>
        <v>0</v>
      </c>
      <c r="W306" s="88">
        <f t="shared" si="99"/>
        <v>0</v>
      </c>
      <c r="X306" s="88">
        <f t="shared" si="99"/>
        <v>0</v>
      </c>
      <c r="Y306" s="88">
        <f t="shared" si="99"/>
        <v>0</v>
      </c>
      <c r="Z306" s="88">
        <f t="shared" si="99"/>
        <v>0</v>
      </c>
      <c r="AA306" s="88">
        <f t="shared" si="99"/>
        <v>0</v>
      </c>
      <c r="AB306" s="88">
        <f t="shared" si="99"/>
        <v>0</v>
      </c>
      <c r="AC306" s="88">
        <f t="shared" si="99"/>
        <v>0</v>
      </c>
      <c r="AD306" s="53" t="e">
        <f>#REF!*D306</f>
        <v>#REF!</v>
      </c>
      <c r="AE306" s="53" t="e">
        <f>AD306-#REF!</f>
        <v>#REF!</v>
      </c>
      <c r="AF306" s="8"/>
      <c r="AG306" s="33" t="e">
        <f>#REF!-D306</f>
        <v>#REF!</v>
      </c>
      <c r="AH306" s="8"/>
      <c r="AI306" s="8"/>
      <c r="AJ306" s="8"/>
      <c r="AK306" s="8"/>
    </row>
    <row r="307" spans="1:37" s="17" customFormat="1" ht="30.6" outlineLevel="1" x14ac:dyDescent="0.2">
      <c r="A307" s="61" t="s">
        <v>908</v>
      </c>
      <c r="B307" s="14" t="s">
        <v>421</v>
      </c>
      <c r="C307" s="8" t="s">
        <v>47</v>
      </c>
      <c r="D307" s="25">
        <f t="shared" si="91"/>
        <v>480.66666666666669</v>
      </c>
      <c r="E307" s="54"/>
      <c r="F307" s="9"/>
      <c r="G307" s="88">
        <f>(G300+G288)/3*2</f>
        <v>0</v>
      </c>
      <c r="H307" s="88">
        <f t="shared" ref="H307:AB307" si="100">(H300+H288+H295+H281)/3*2</f>
        <v>10</v>
      </c>
      <c r="I307" s="88">
        <f t="shared" si="100"/>
        <v>70</v>
      </c>
      <c r="J307" s="88">
        <f t="shared" si="100"/>
        <v>0</v>
      </c>
      <c r="K307" s="88">
        <f t="shared" si="100"/>
        <v>0</v>
      </c>
      <c r="L307" s="88">
        <f t="shared" si="100"/>
        <v>64</v>
      </c>
      <c r="M307" s="88">
        <f t="shared" si="100"/>
        <v>72</v>
      </c>
      <c r="N307" s="88">
        <f t="shared" si="100"/>
        <v>44.666666666666664</v>
      </c>
      <c r="O307" s="88">
        <f t="shared" si="100"/>
        <v>60</v>
      </c>
      <c r="P307" s="88">
        <f t="shared" si="100"/>
        <v>30</v>
      </c>
      <c r="Q307" s="88">
        <f t="shared" si="100"/>
        <v>58</v>
      </c>
      <c r="R307" s="88">
        <f t="shared" si="100"/>
        <v>22</v>
      </c>
      <c r="S307" s="88">
        <f t="shared" si="100"/>
        <v>0</v>
      </c>
      <c r="T307" s="88">
        <f t="shared" si="100"/>
        <v>0</v>
      </c>
      <c r="U307" s="88">
        <f t="shared" si="100"/>
        <v>0</v>
      </c>
      <c r="V307" s="88">
        <f t="shared" si="100"/>
        <v>0</v>
      </c>
      <c r="W307" s="88">
        <f t="shared" si="100"/>
        <v>20</v>
      </c>
      <c r="X307" s="88">
        <f t="shared" si="100"/>
        <v>4</v>
      </c>
      <c r="Y307" s="88">
        <f t="shared" si="100"/>
        <v>4</v>
      </c>
      <c r="Z307" s="88">
        <f t="shared" si="100"/>
        <v>8</v>
      </c>
      <c r="AA307" s="88">
        <f t="shared" si="100"/>
        <v>14</v>
      </c>
      <c r="AB307" s="88">
        <f t="shared" si="100"/>
        <v>0</v>
      </c>
      <c r="AC307" s="88">
        <f>(AC300+AC288)/3*2</f>
        <v>0</v>
      </c>
      <c r="AD307" s="53" t="e">
        <f>#REF!*D307</f>
        <v>#REF!</v>
      </c>
      <c r="AE307" s="53" t="e">
        <f>AD307-#REF!</f>
        <v>#REF!</v>
      </c>
      <c r="AF307" s="8"/>
      <c r="AG307" s="33" t="e">
        <f>#REF!-D307</f>
        <v>#REF!</v>
      </c>
      <c r="AH307" s="8"/>
      <c r="AI307" s="8"/>
      <c r="AJ307" s="8"/>
      <c r="AK307" s="8"/>
    </row>
    <row r="308" spans="1:37" s="17" customFormat="1" ht="20.399999999999999" outlineLevel="1" collapsed="1" x14ac:dyDescent="0.2">
      <c r="A308" s="61" t="s">
        <v>909</v>
      </c>
      <c r="B308" s="14" t="s">
        <v>424</v>
      </c>
      <c r="C308" s="8" t="s">
        <v>47</v>
      </c>
      <c r="D308" s="25">
        <f t="shared" ref="D308:D339" si="101">SUM(G308:AC308)</f>
        <v>842.66666666666674</v>
      </c>
      <c r="E308" s="54"/>
      <c r="F308" s="9"/>
      <c r="G308" s="88">
        <f>G305+G306+G316</f>
        <v>0</v>
      </c>
      <c r="H308" s="88">
        <f t="shared" ref="H308:AC308" si="102">H305+H306+H316+H304</f>
        <v>10</v>
      </c>
      <c r="I308" s="88">
        <f t="shared" si="102"/>
        <v>134</v>
      </c>
      <c r="J308" s="88">
        <f t="shared" si="102"/>
        <v>0</v>
      </c>
      <c r="K308" s="88">
        <f t="shared" si="102"/>
        <v>0</v>
      </c>
      <c r="L308" s="88">
        <f t="shared" si="102"/>
        <v>64</v>
      </c>
      <c r="M308" s="88">
        <f t="shared" si="102"/>
        <v>72</v>
      </c>
      <c r="N308" s="88">
        <f t="shared" si="102"/>
        <v>44.666666666666664</v>
      </c>
      <c r="O308" s="88">
        <f t="shared" si="102"/>
        <v>108</v>
      </c>
      <c r="P308" s="88">
        <f t="shared" si="102"/>
        <v>78</v>
      </c>
      <c r="Q308" s="88">
        <f t="shared" si="102"/>
        <v>86</v>
      </c>
      <c r="R308" s="88">
        <f t="shared" si="102"/>
        <v>22</v>
      </c>
      <c r="S308" s="88">
        <f t="shared" si="102"/>
        <v>0</v>
      </c>
      <c r="T308" s="88">
        <f t="shared" si="102"/>
        <v>52</v>
      </c>
      <c r="U308" s="88">
        <f t="shared" si="102"/>
        <v>22</v>
      </c>
      <c r="V308" s="88">
        <f t="shared" si="102"/>
        <v>0</v>
      </c>
      <c r="W308" s="88">
        <f t="shared" si="102"/>
        <v>38</v>
      </c>
      <c r="X308" s="88">
        <f t="shared" si="102"/>
        <v>20</v>
      </c>
      <c r="Y308" s="88">
        <f t="shared" si="102"/>
        <v>26</v>
      </c>
      <c r="Z308" s="88">
        <f t="shared" si="102"/>
        <v>36</v>
      </c>
      <c r="AA308" s="88">
        <f t="shared" si="102"/>
        <v>30</v>
      </c>
      <c r="AB308" s="88">
        <f t="shared" si="102"/>
        <v>0</v>
      </c>
      <c r="AC308" s="88">
        <f t="shared" si="102"/>
        <v>0</v>
      </c>
      <c r="AD308" s="53" t="e">
        <f>#REF!*D308</f>
        <v>#REF!</v>
      </c>
      <c r="AE308" s="53" t="e">
        <f>AD308-#REF!</f>
        <v>#REF!</v>
      </c>
      <c r="AF308" s="8"/>
      <c r="AG308" s="33" t="e">
        <f>#REF!-D308</f>
        <v>#REF!</v>
      </c>
      <c r="AH308" s="8"/>
      <c r="AI308" s="8"/>
      <c r="AJ308" s="8"/>
      <c r="AK308" s="8"/>
    </row>
    <row r="309" spans="1:37" s="12" customFormat="1" ht="20.399999999999999" outlineLevel="1" x14ac:dyDescent="0.2">
      <c r="A309" s="61" t="s">
        <v>910</v>
      </c>
      <c r="B309" s="14" t="s">
        <v>69</v>
      </c>
      <c r="C309" s="9" t="s">
        <v>47</v>
      </c>
      <c r="D309" s="25">
        <f t="shared" si="101"/>
        <v>1685.3333333333335</v>
      </c>
      <c r="E309" s="54"/>
      <c r="F309" s="78"/>
      <c r="G309" s="88">
        <f t="shared" ref="G309:AC309" si="103">G308*2</f>
        <v>0</v>
      </c>
      <c r="H309" s="88">
        <f t="shared" si="103"/>
        <v>20</v>
      </c>
      <c r="I309" s="88">
        <f t="shared" si="103"/>
        <v>268</v>
      </c>
      <c r="J309" s="88">
        <f t="shared" si="103"/>
        <v>0</v>
      </c>
      <c r="K309" s="88">
        <f t="shared" si="103"/>
        <v>0</v>
      </c>
      <c r="L309" s="88">
        <f t="shared" si="103"/>
        <v>128</v>
      </c>
      <c r="M309" s="88">
        <f t="shared" si="103"/>
        <v>144</v>
      </c>
      <c r="N309" s="88">
        <f t="shared" si="103"/>
        <v>89.333333333333329</v>
      </c>
      <c r="O309" s="88">
        <f t="shared" si="103"/>
        <v>216</v>
      </c>
      <c r="P309" s="88">
        <f t="shared" si="103"/>
        <v>156</v>
      </c>
      <c r="Q309" s="88">
        <f t="shared" si="103"/>
        <v>172</v>
      </c>
      <c r="R309" s="88">
        <f t="shared" si="103"/>
        <v>44</v>
      </c>
      <c r="S309" s="88">
        <f t="shared" si="103"/>
        <v>0</v>
      </c>
      <c r="T309" s="88">
        <f t="shared" si="103"/>
        <v>104</v>
      </c>
      <c r="U309" s="88">
        <f t="shared" si="103"/>
        <v>44</v>
      </c>
      <c r="V309" s="88">
        <f t="shared" si="103"/>
        <v>0</v>
      </c>
      <c r="W309" s="88">
        <f t="shared" si="103"/>
        <v>76</v>
      </c>
      <c r="X309" s="88">
        <f t="shared" si="103"/>
        <v>40</v>
      </c>
      <c r="Y309" s="88">
        <f t="shared" si="103"/>
        <v>52</v>
      </c>
      <c r="Z309" s="88">
        <f t="shared" si="103"/>
        <v>72</v>
      </c>
      <c r="AA309" s="88">
        <f t="shared" si="103"/>
        <v>60</v>
      </c>
      <c r="AB309" s="88">
        <f t="shared" si="103"/>
        <v>0</v>
      </c>
      <c r="AC309" s="88">
        <f t="shared" si="103"/>
        <v>0</v>
      </c>
      <c r="AD309" s="53" t="e">
        <f>#REF!*D309</f>
        <v>#REF!</v>
      </c>
      <c r="AE309" s="53" t="e">
        <f>AD309-#REF!</f>
        <v>#REF!</v>
      </c>
      <c r="AF309" s="9"/>
      <c r="AG309" s="33" t="e">
        <f>#REF!-D309</f>
        <v>#REF!</v>
      </c>
      <c r="AH309" s="9"/>
      <c r="AI309" s="9"/>
      <c r="AJ309" s="9"/>
      <c r="AK309" s="9"/>
    </row>
    <row r="310" spans="1:37" s="12" customFormat="1" ht="20.399999999999999" outlineLevel="1" x14ac:dyDescent="0.2">
      <c r="A310" s="61" t="s">
        <v>911</v>
      </c>
      <c r="B310" s="14" t="s">
        <v>1032</v>
      </c>
      <c r="C310" s="9" t="s">
        <v>47</v>
      </c>
      <c r="D310" s="25">
        <f t="shared" si="101"/>
        <v>5056</v>
      </c>
      <c r="E310" s="54"/>
      <c r="F310" s="78"/>
      <c r="G310" s="88">
        <f t="shared" ref="G310:AC310" si="104">G308*6</f>
        <v>0</v>
      </c>
      <c r="H310" s="88">
        <f t="shared" si="104"/>
        <v>60</v>
      </c>
      <c r="I310" s="88">
        <f t="shared" si="104"/>
        <v>804</v>
      </c>
      <c r="J310" s="88">
        <f t="shared" si="104"/>
        <v>0</v>
      </c>
      <c r="K310" s="88">
        <f t="shared" si="104"/>
        <v>0</v>
      </c>
      <c r="L310" s="88">
        <f t="shared" si="104"/>
        <v>384</v>
      </c>
      <c r="M310" s="88">
        <f t="shared" si="104"/>
        <v>432</v>
      </c>
      <c r="N310" s="88">
        <f t="shared" si="104"/>
        <v>268</v>
      </c>
      <c r="O310" s="88">
        <f t="shared" si="104"/>
        <v>648</v>
      </c>
      <c r="P310" s="88">
        <f t="shared" si="104"/>
        <v>468</v>
      </c>
      <c r="Q310" s="88">
        <f t="shared" si="104"/>
        <v>516</v>
      </c>
      <c r="R310" s="88">
        <f t="shared" si="104"/>
        <v>132</v>
      </c>
      <c r="S310" s="88">
        <f t="shared" si="104"/>
        <v>0</v>
      </c>
      <c r="T310" s="88">
        <f t="shared" si="104"/>
        <v>312</v>
      </c>
      <c r="U310" s="88">
        <f t="shared" si="104"/>
        <v>132</v>
      </c>
      <c r="V310" s="88">
        <f t="shared" si="104"/>
        <v>0</v>
      </c>
      <c r="W310" s="88">
        <f t="shared" si="104"/>
        <v>228</v>
      </c>
      <c r="X310" s="88">
        <f t="shared" si="104"/>
        <v>120</v>
      </c>
      <c r="Y310" s="88">
        <f t="shared" si="104"/>
        <v>156</v>
      </c>
      <c r="Z310" s="88">
        <f t="shared" si="104"/>
        <v>216</v>
      </c>
      <c r="AA310" s="88">
        <f t="shared" si="104"/>
        <v>180</v>
      </c>
      <c r="AB310" s="88">
        <f t="shared" si="104"/>
        <v>0</v>
      </c>
      <c r="AC310" s="88">
        <f t="shared" si="104"/>
        <v>0</v>
      </c>
      <c r="AD310" s="53" t="e">
        <f>#REF!*D310</f>
        <v>#REF!</v>
      </c>
      <c r="AE310" s="53" t="e">
        <f>AD310-#REF!</f>
        <v>#REF!</v>
      </c>
      <c r="AF310" s="9"/>
      <c r="AG310" s="33" t="e">
        <f>#REF!-D310</f>
        <v>#REF!</v>
      </c>
      <c r="AH310" s="9"/>
      <c r="AI310" s="9"/>
      <c r="AJ310" s="9"/>
      <c r="AK310" s="9"/>
    </row>
    <row r="311" spans="1:37" s="17" customFormat="1" ht="20.399999999999999" outlineLevel="1" x14ac:dyDescent="0.2">
      <c r="A311" s="61" t="s">
        <v>912</v>
      </c>
      <c r="B311" s="14" t="s">
        <v>1033</v>
      </c>
      <c r="C311" s="8" t="s">
        <v>48</v>
      </c>
      <c r="D311" s="25">
        <f t="shared" si="101"/>
        <v>243</v>
      </c>
      <c r="E311" s="54"/>
      <c r="F311" s="9"/>
      <c r="G311" s="88">
        <f t="shared" ref="G311:AC311" si="105">MROUND(G305*0.55,3)</f>
        <v>0</v>
      </c>
      <c r="H311" s="88">
        <f t="shared" si="105"/>
        <v>6</v>
      </c>
      <c r="I311" s="88">
        <f t="shared" si="105"/>
        <v>39</v>
      </c>
      <c r="J311" s="88">
        <f t="shared" si="105"/>
        <v>0</v>
      </c>
      <c r="K311" s="88">
        <f t="shared" si="105"/>
        <v>0</v>
      </c>
      <c r="L311" s="88">
        <f t="shared" si="105"/>
        <v>15</v>
      </c>
      <c r="M311" s="88">
        <f t="shared" si="105"/>
        <v>39</v>
      </c>
      <c r="N311" s="88">
        <f t="shared" si="105"/>
        <v>24</v>
      </c>
      <c r="O311" s="88">
        <f t="shared" si="105"/>
        <v>33</v>
      </c>
      <c r="P311" s="88">
        <f t="shared" si="105"/>
        <v>18</v>
      </c>
      <c r="Q311" s="88">
        <f t="shared" si="105"/>
        <v>33</v>
      </c>
      <c r="R311" s="88">
        <f t="shared" si="105"/>
        <v>12</v>
      </c>
      <c r="S311" s="88">
        <f t="shared" si="105"/>
        <v>0</v>
      </c>
      <c r="T311" s="88">
        <f t="shared" si="105"/>
        <v>0</v>
      </c>
      <c r="U311" s="88">
        <f t="shared" si="105"/>
        <v>0</v>
      </c>
      <c r="V311" s="88">
        <f t="shared" si="105"/>
        <v>0</v>
      </c>
      <c r="W311" s="88">
        <f t="shared" si="105"/>
        <v>6</v>
      </c>
      <c r="X311" s="88">
        <f t="shared" si="105"/>
        <v>3</v>
      </c>
      <c r="Y311" s="88">
        <f t="shared" si="105"/>
        <v>3</v>
      </c>
      <c r="Z311" s="88">
        <f t="shared" si="105"/>
        <v>3</v>
      </c>
      <c r="AA311" s="88">
        <f t="shared" si="105"/>
        <v>9</v>
      </c>
      <c r="AB311" s="88">
        <f t="shared" si="105"/>
        <v>0</v>
      </c>
      <c r="AC311" s="88">
        <f t="shared" si="105"/>
        <v>0</v>
      </c>
      <c r="AD311" s="53" t="e">
        <f>#REF!*D311</f>
        <v>#REF!</v>
      </c>
      <c r="AE311" s="53" t="e">
        <f>AD311-#REF!</f>
        <v>#REF!</v>
      </c>
      <c r="AF311" s="8"/>
      <c r="AG311" s="33" t="e">
        <f>#REF!-D311</f>
        <v>#REF!</v>
      </c>
      <c r="AH311" s="8"/>
      <c r="AI311" s="8"/>
      <c r="AJ311" s="8"/>
      <c r="AK311" s="8"/>
    </row>
    <row r="312" spans="1:37" s="17" customFormat="1" ht="26.25" customHeight="1" outlineLevel="1" x14ac:dyDescent="0.2">
      <c r="A312" s="61" t="s">
        <v>913</v>
      </c>
      <c r="B312" s="47" t="s">
        <v>425</v>
      </c>
      <c r="C312" s="8" t="s">
        <v>47</v>
      </c>
      <c r="D312" s="25">
        <f t="shared" si="101"/>
        <v>4705.3333333333339</v>
      </c>
      <c r="E312" s="54"/>
      <c r="F312" s="9"/>
      <c r="G312" s="88">
        <f t="shared" ref="G312:AC312" si="106">G307*8+G314*4+G315*6+G317*2+G318*2</f>
        <v>0</v>
      </c>
      <c r="H312" s="88">
        <f t="shared" si="106"/>
        <v>80</v>
      </c>
      <c r="I312" s="88">
        <f t="shared" si="106"/>
        <v>712</v>
      </c>
      <c r="J312" s="88">
        <f t="shared" si="106"/>
        <v>0</v>
      </c>
      <c r="K312" s="88">
        <f t="shared" si="106"/>
        <v>0</v>
      </c>
      <c r="L312" s="88">
        <f t="shared" si="106"/>
        <v>548</v>
      </c>
      <c r="M312" s="88">
        <f t="shared" si="106"/>
        <v>612</v>
      </c>
      <c r="N312" s="88">
        <f t="shared" si="106"/>
        <v>391.33333333333331</v>
      </c>
      <c r="O312" s="88">
        <f t="shared" si="106"/>
        <v>658</v>
      </c>
      <c r="P312" s="88">
        <f t="shared" si="106"/>
        <v>392</v>
      </c>
      <c r="Q312" s="88">
        <f t="shared" si="106"/>
        <v>560</v>
      </c>
      <c r="R312" s="88">
        <f t="shared" si="106"/>
        <v>176</v>
      </c>
      <c r="S312" s="88">
        <f t="shared" si="106"/>
        <v>0</v>
      </c>
      <c r="T312" s="88">
        <f t="shared" si="106"/>
        <v>104</v>
      </c>
      <c r="U312" s="88">
        <f t="shared" si="106"/>
        <v>50</v>
      </c>
      <c r="V312" s="88">
        <f t="shared" si="106"/>
        <v>18</v>
      </c>
      <c r="W312" s="88">
        <f t="shared" si="106"/>
        <v>160</v>
      </c>
      <c r="X312" s="88">
        <f t="shared" si="106"/>
        <v>32</v>
      </c>
      <c r="Y312" s="88">
        <f t="shared" si="106"/>
        <v>36</v>
      </c>
      <c r="Z312" s="88">
        <f t="shared" si="106"/>
        <v>64</v>
      </c>
      <c r="AA312" s="88">
        <f t="shared" si="106"/>
        <v>112</v>
      </c>
      <c r="AB312" s="88">
        <f t="shared" si="106"/>
        <v>0</v>
      </c>
      <c r="AC312" s="88">
        <f t="shared" si="106"/>
        <v>0</v>
      </c>
      <c r="AD312" s="53" t="e">
        <f>#REF!*D312</f>
        <v>#REF!</v>
      </c>
      <c r="AE312" s="53" t="e">
        <f>AD312-#REF!</f>
        <v>#REF!</v>
      </c>
      <c r="AF312" s="8"/>
      <c r="AG312" s="33" t="e">
        <f>#REF!-D312</f>
        <v>#REF!</v>
      </c>
      <c r="AH312" s="8"/>
      <c r="AI312" s="8"/>
      <c r="AJ312" s="8"/>
      <c r="AK312" s="8"/>
    </row>
    <row r="313" spans="1:37" s="17" customFormat="1" ht="30.6" outlineLevel="1" x14ac:dyDescent="0.2">
      <c r="A313" s="61" t="s">
        <v>914</v>
      </c>
      <c r="B313" s="47" t="s">
        <v>2468</v>
      </c>
      <c r="C313" s="8" t="s">
        <v>48</v>
      </c>
      <c r="D313" s="25">
        <f t="shared" si="101"/>
        <v>393</v>
      </c>
      <c r="E313" s="54"/>
      <c r="F313" s="9"/>
      <c r="G313" s="33">
        <v>0</v>
      </c>
      <c r="H313" s="33">
        <v>0</v>
      </c>
      <c r="I313" s="9">
        <v>96</v>
      </c>
      <c r="J313" s="9">
        <v>0</v>
      </c>
      <c r="K313" s="9">
        <v>0</v>
      </c>
      <c r="L313" s="9">
        <v>0</v>
      </c>
      <c r="M313" s="9">
        <v>0</v>
      </c>
      <c r="N313" s="9">
        <v>0</v>
      </c>
      <c r="O313" s="9">
        <v>72</v>
      </c>
      <c r="P313" s="9">
        <v>72</v>
      </c>
      <c r="Q313" s="9">
        <v>42</v>
      </c>
      <c r="R313" s="9">
        <v>0</v>
      </c>
      <c r="S313" s="9">
        <v>0</v>
      </c>
      <c r="T313" s="49">
        <v>78</v>
      </c>
      <c r="U313" s="33">
        <v>33</v>
      </c>
      <c r="V313" s="9">
        <v>0</v>
      </c>
      <c r="W313" s="9">
        <v>0</v>
      </c>
      <c r="X313" s="9">
        <v>0</v>
      </c>
      <c r="Y313" s="9">
        <v>0</v>
      </c>
      <c r="Z313" s="9">
        <v>0</v>
      </c>
      <c r="AA313" s="9">
        <v>0</v>
      </c>
      <c r="AB313" s="9">
        <v>0</v>
      </c>
      <c r="AC313" s="9">
        <v>0</v>
      </c>
      <c r="AD313" s="53" t="e">
        <f>#REF!*D313</f>
        <v>#REF!</v>
      </c>
      <c r="AE313" s="53" t="e">
        <f>AD313-#REF!</f>
        <v>#REF!</v>
      </c>
      <c r="AF313" s="8"/>
      <c r="AG313" s="33" t="e">
        <f>#REF!-D313</f>
        <v>#REF!</v>
      </c>
      <c r="AH313" s="8"/>
      <c r="AI313" s="8"/>
      <c r="AJ313" s="8"/>
      <c r="AK313" s="8"/>
    </row>
    <row r="314" spans="1:37" s="17" customFormat="1" ht="20.399999999999999" outlineLevel="1" x14ac:dyDescent="0.2">
      <c r="A314" s="61" t="s">
        <v>915</v>
      </c>
      <c r="B314" s="47" t="s">
        <v>2499</v>
      </c>
      <c r="C314" s="9" t="s">
        <v>47</v>
      </c>
      <c r="D314" s="25">
        <f t="shared" si="101"/>
        <v>131</v>
      </c>
      <c r="E314" s="54"/>
      <c r="F314" s="9"/>
      <c r="G314" s="88">
        <f t="shared" ref="G314:AC314" si="107">G313/3</f>
        <v>0</v>
      </c>
      <c r="H314" s="88">
        <f t="shared" si="107"/>
        <v>0</v>
      </c>
      <c r="I314" s="88">
        <f t="shared" si="107"/>
        <v>32</v>
      </c>
      <c r="J314" s="88">
        <f t="shared" si="107"/>
        <v>0</v>
      </c>
      <c r="K314" s="88">
        <f t="shared" si="107"/>
        <v>0</v>
      </c>
      <c r="L314" s="88">
        <f t="shared" si="107"/>
        <v>0</v>
      </c>
      <c r="M314" s="88">
        <f t="shared" si="107"/>
        <v>0</v>
      </c>
      <c r="N314" s="88">
        <f t="shared" si="107"/>
        <v>0</v>
      </c>
      <c r="O314" s="88">
        <f t="shared" si="107"/>
        <v>24</v>
      </c>
      <c r="P314" s="88">
        <f t="shared" si="107"/>
        <v>24</v>
      </c>
      <c r="Q314" s="88">
        <f t="shared" si="107"/>
        <v>14</v>
      </c>
      <c r="R314" s="88">
        <f t="shared" si="107"/>
        <v>0</v>
      </c>
      <c r="S314" s="88">
        <f t="shared" si="107"/>
        <v>0</v>
      </c>
      <c r="T314" s="88">
        <f t="shared" si="107"/>
        <v>26</v>
      </c>
      <c r="U314" s="88">
        <f t="shared" si="107"/>
        <v>11</v>
      </c>
      <c r="V314" s="88">
        <f t="shared" si="107"/>
        <v>0</v>
      </c>
      <c r="W314" s="88">
        <f t="shared" si="107"/>
        <v>0</v>
      </c>
      <c r="X314" s="88">
        <f t="shared" si="107"/>
        <v>0</v>
      </c>
      <c r="Y314" s="88">
        <f t="shared" si="107"/>
        <v>0</v>
      </c>
      <c r="Z314" s="88">
        <f t="shared" si="107"/>
        <v>0</v>
      </c>
      <c r="AA314" s="88">
        <f t="shared" si="107"/>
        <v>0</v>
      </c>
      <c r="AB314" s="88">
        <f t="shared" si="107"/>
        <v>0</v>
      </c>
      <c r="AC314" s="88">
        <f t="shared" si="107"/>
        <v>0</v>
      </c>
      <c r="AD314" s="53" t="e">
        <f>#REF!*D314</f>
        <v>#REF!</v>
      </c>
      <c r="AE314" s="53" t="e">
        <f>AD314-#REF!</f>
        <v>#REF!</v>
      </c>
      <c r="AF314" s="8"/>
      <c r="AG314" s="33" t="e">
        <f>#REF!-D314</f>
        <v>#REF!</v>
      </c>
      <c r="AH314" s="8"/>
      <c r="AI314" s="8"/>
      <c r="AJ314" s="8"/>
      <c r="AK314" s="8"/>
    </row>
    <row r="315" spans="1:37" s="17" customFormat="1" ht="20.399999999999999" outlineLevel="1" x14ac:dyDescent="0.2">
      <c r="A315" s="61" t="s">
        <v>916</v>
      </c>
      <c r="B315" s="47" t="s">
        <v>2481</v>
      </c>
      <c r="C315" s="9" t="s">
        <v>47</v>
      </c>
      <c r="D315" s="25">
        <f t="shared" si="101"/>
        <v>12</v>
      </c>
      <c r="E315" s="54"/>
      <c r="F315" s="9"/>
      <c r="G315" s="33">
        <v>0</v>
      </c>
      <c r="H315" s="33">
        <v>0</v>
      </c>
      <c r="I315" s="9">
        <v>3</v>
      </c>
      <c r="J315" s="9">
        <v>0</v>
      </c>
      <c r="K315" s="9">
        <v>0</v>
      </c>
      <c r="L315" s="9">
        <v>0</v>
      </c>
      <c r="M315" s="9">
        <v>0</v>
      </c>
      <c r="N315" s="9">
        <v>0</v>
      </c>
      <c r="O315" s="9">
        <v>1</v>
      </c>
      <c r="P315" s="9">
        <v>2</v>
      </c>
      <c r="Q315" s="9">
        <v>2</v>
      </c>
      <c r="R315" s="9">
        <v>0</v>
      </c>
      <c r="S315" s="9">
        <v>0</v>
      </c>
      <c r="T315" s="49">
        <v>0</v>
      </c>
      <c r="U315" s="33">
        <v>1</v>
      </c>
      <c r="V315" s="9">
        <v>3</v>
      </c>
      <c r="W315" s="9">
        <v>0</v>
      </c>
      <c r="X315" s="9">
        <v>0</v>
      </c>
      <c r="Y315" s="9">
        <v>0</v>
      </c>
      <c r="Z315" s="9">
        <v>0</v>
      </c>
      <c r="AA315" s="9">
        <v>0</v>
      </c>
      <c r="AB315" s="9">
        <v>0</v>
      </c>
      <c r="AC315" s="9">
        <v>0</v>
      </c>
      <c r="AD315" s="53" t="e">
        <f>#REF!*D315</f>
        <v>#REF!</v>
      </c>
      <c r="AE315" s="53" t="e">
        <f>AD315-#REF!</f>
        <v>#REF!</v>
      </c>
      <c r="AF315" s="8"/>
      <c r="AG315" s="33" t="e">
        <f>#REF!-D315</f>
        <v>#REF!</v>
      </c>
      <c r="AH315" s="8"/>
      <c r="AI315" s="8"/>
      <c r="AJ315" s="8"/>
      <c r="AK315" s="8"/>
    </row>
    <row r="316" spans="1:37" s="17" customFormat="1" ht="20.399999999999999" outlineLevel="1" x14ac:dyDescent="0.2">
      <c r="A316" s="61" t="s">
        <v>917</v>
      </c>
      <c r="B316" s="47" t="s">
        <v>2476</v>
      </c>
      <c r="C316" s="9" t="s">
        <v>47</v>
      </c>
      <c r="D316" s="25">
        <f t="shared" si="101"/>
        <v>262</v>
      </c>
      <c r="E316" s="54"/>
      <c r="F316" s="9"/>
      <c r="G316" s="88">
        <f t="shared" ref="G316:AC316" si="108">G313/1.5</f>
        <v>0</v>
      </c>
      <c r="H316" s="88">
        <f t="shared" si="108"/>
        <v>0</v>
      </c>
      <c r="I316" s="88">
        <f t="shared" si="108"/>
        <v>64</v>
      </c>
      <c r="J316" s="88">
        <f t="shared" si="108"/>
        <v>0</v>
      </c>
      <c r="K316" s="88">
        <f t="shared" si="108"/>
        <v>0</v>
      </c>
      <c r="L316" s="88">
        <f t="shared" si="108"/>
        <v>0</v>
      </c>
      <c r="M316" s="88">
        <f t="shared" si="108"/>
        <v>0</v>
      </c>
      <c r="N316" s="88">
        <f t="shared" si="108"/>
        <v>0</v>
      </c>
      <c r="O316" s="88">
        <f t="shared" si="108"/>
        <v>48</v>
      </c>
      <c r="P316" s="88">
        <f t="shared" si="108"/>
        <v>48</v>
      </c>
      <c r="Q316" s="88">
        <f t="shared" si="108"/>
        <v>28</v>
      </c>
      <c r="R316" s="88">
        <f t="shared" si="108"/>
        <v>0</v>
      </c>
      <c r="S316" s="88">
        <f t="shared" si="108"/>
        <v>0</v>
      </c>
      <c r="T316" s="88">
        <f t="shared" si="108"/>
        <v>52</v>
      </c>
      <c r="U316" s="88">
        <f t="shared" si="108"/>
        <v>22</v>
      </c>
      <c r="V316" s="88">
        <f t="shared" si="108"/>
        <v>0</v>
      </c>
      <c r="W316" s="88">
        <f t="shared" si="108"/>
        <v>0</v>
      </c>
      <c r="X316" s="88">
        <f t="shared" si="108"/>
        <v>0</v>
      </c>
      <c r="Y316" s="88">
        <f t="shared" si="108"/>
        <v>0</v>
      </c>
      <c r="Z316" s="88">
        <f t="shared" si="108"/>
        <v>0</v>
      </c>
      <c r="AA316" s="88">
        <f t="shared" si="108"/>
        <v>0</v>
      </c>
      <c r="AB316" s="88">
        <f t="shared" si="108"/>
        <v>0</v>
      </c>
      <c r="AC316" s="88">
        <f t="shared" si="108"/>
        <v>0</v>
      </c>
      <c r="AD316" s="53" t="e">
        <f>#REF!*D316</f>
        <v>#REF!</v>
      </c>
      <c r="AE316" s="53" t="e">
        <f>AD316-#REF!</f>
        <v>#REF!</v>
      </c>
      <c r="AF316" s="8"/>
      <c r="AG316" s="33" t="e">
        <f>#REF!-D316</f>
        <v>#REF!</v>
      </c>
      <c r="AH316" s="8"/>
      <c r="AI316" s="8"/>
      <c r="AJ316" s="8"/>
      <c r="AK316" s="8"/>
    </row>
    <row r="317" spans="1:37" s="17" customFormat="1" ht="30.6" outlineLevel="1" x14ac:dyDescent="0.2">
      <c r="A317" s="61" t="s">
        <v>918</v>
      </c>
      <c r="B317" s="47" t="s">
        <v>2473</v>
      </c>
      <c r="C317" s="9" t="s">
        <v>47</v>
      </c>
      <c r="D317" s="25">
        <f t="shared" si="101"/>
        <v>34</v>
      </c>
      <c r="E317" s="54"/>
      <c r="F317" s="9"/>
      <c r="G317" s="33">
        <v>0</v>
      </c>
      <c r="H317" s="33">
        <v>0</v>
      </c>
      <c r="I317" s="9">
        <v>3</v>
      </c>
      <c r="J317" s="9">
        <v>0</v>
      </c>
      <c r="K317" s="9">
        <v>0</v>
      </c>
      <c r="L317" s="9">
        <v>0</v>
      </c>
      <c r="M317" s="9">
        <v>0</v>
      </c>
      <c r="N317" s="9">
        <v>0</v>
      </c>
      <c r="O317" s="9">
        <v>22</v>
      </c>
      <c r="P317" s="9">
        <v>2</v>
      </c>
      <c r="Q317" s="9">
        <v>7</v>
      </c>
      <c r="R317" s="9">
        <v>0</v>
      </c>
      <c r="S317" s="9">
        <v>0</v>
      </c>
      <c r="T317" s="49">
        <v>0</v>
      </c>
      <c r="U317" s="33">
        <v>0</v>
      </c>
      <c r="V317" s="9">
        <v>0</v>
      </c>
      <c r="W317" s="9">
        <v>0</v>
      </c>
      <c r="X317" s="9">
        <v>0</v>
      </c>
      <c r="Y317" s="9">
        <v>0</v>
      </c>
      <c r="Z317" s="9">
        <v>0</v>
      </c>
      <c r="AA317" s="9">
        <v>0</v>
      </c>
      <c r="AB317" s="9">
        <v>0</v>
      </c>
      <c r="AC317" s="9">
        <v>0</v>
      </c>
      <c r="AD317" s="53" t="e">
        <f>#REF!*D317</f>
        <v>#REF!</v>
      </c>
      <c r="AE317" s="53" t="e">
        <f>AD317-#REF!</f>
        <v>#REF!</v>
      </c>
      <c r="AF317" s="8"/>
      <c r="AG317" s="33" t="e">
        <f>#REF!-D317</f>
        <v>#REF!</v>
      </c>
      <c r="AH317" s="8"/>
      <c r="AI317" s="8"/>
      <c r="AJ317" s="8"/>
      <c r="AK317" s="8"/>
    </row>
    <row r="318" spans="1:37" s="17" customFormat="1" ht="27.75" customHeight="1" outlineLevel="1" x14ac:dyDescent="0.2">
      <c r="A318" s="61" t="s">
        <v>919</v>
      </c>
      <c r="B318" s="47" t="s">
        <v>2482</v>
      </c>
      <c r="C318" s="9" t="s">
        <v>47</v>
      </c>
      <c r="D318" s="25">
        <f t="shared" si="101"/>
        <v>98</v>
      </c>
      <c r="E318" s="54"/>
      <c r="F318" s="9"/>
      <c r="G318" s="33">
        <v>0</v>
      </c>
      <c r="H318" s="33">
        <v>0</v>
      </c>
      <c r="I318" s="9">
        <v>0</v>
      </c>
      <c r="J318" s="9">
        <v>0</v>
      </c>
      <c r="K318" s="9">
        <v>0</v>
      </c>
      <c r="L318" s="9">
        <v>18</v>
      </c>
      <c r="M318" s="9">
        <v>18</v>
      </c>
      <c r="N318" s="9">
        <v>17</v>
      </c>
      <c r="O318" s="9">
        <v>16</v>
      </c>
      <c r="P318" s="9">
        <v>20</v>
      </c>
      <c r="Q318" s="9">
        <v>7</v>
      </c>
      <c r="R318" s="9">
        <v>0</v>
      </c>
      <c r="S318" s="9">
        <v>0</v>
      </c>
      <c r="T318" s="49">
        <v>0</v>
      </c>
      <c r="U318" s="33">
        <v>0</v>
      </c>
      <c r="V318" s="9">
        <v>0</v>
      </c>
      <c r="W318" s="9">
        <v>0</v>
      </c>
      <c r="X318" s="9">
        <v>0</v>
      </c>
      <c r="Y318" s="9">
        <v>2</v>
      </c>
      <c r="Z318" s="9">
        <v>0</v>
      </c>
      <c r="AA318" s="9">
        <v>0</v>
      </c>
      <c r="AB318" s="9">
        <v>0</v>
      </c>
      <c r="AC318" s="9">
        <v>0</v>
      </c>
      <c r="AD318" s="53" t="e">
        <f>#REF!*D318</f>
        <v>#REF!</v>
      </c>
      <c r="AE318" s="53" t="e">
        <f>AD318-#REF!</f>
        <v>#REF!</v>
      </c>
      <c r="AF318" s="8"/>
      <c r="AG318" s="33" t="e">
        <f>#REF!-D318</f>
        <v>#REF!</v>
      </c>
      <c r="AH318" s="8"/>
      <c r="AI318" s="8"/>
      <c r="AJ318" s="8"/>
      <c r="AK318" s="8"/>
    </row>
    <row r="319" spans="1:37" s="17" customFormat="1" ht="30.6" outlineLevel="1" x14ac:dyDescent="0.2">
      <c r="A319" s="61" t="s">
        <v>920</v>
      </c>
      <c r="B319" s="47" t="s">
        <v>3073</v>
      </c>
      <c r="C319" s="8" t="s">
        <v>48</v>
      </c>
      <c r="D319" s="25">
        <f t="shared" si="101"/>
        <v>84</v>
      </c>
      <c r="E319" s="54"/>
      <c r="F319" s="9"/>
      <c r="G319" s="33">
        <v>0</v>
      </c>
      <c r="H319" s="33">
        <v>0</v>
      </c>
      <c r="I319" s="9">
        <v>0</v>
      </c>
      <c r="J319" s="9">
        <v>0</v>
      </c>
      <c r="K319" s="9">
        <v>0</v>
      </c>
      <c r="L319" s="9">
        <v>0</v>
      </c>
      <c r="M319" s="9">
        <v>0</v>
      </c>
      <c r="N319" s="9">
        <v>0</v>
      </c>
      <c r="O319" s="9">
        <v>0</v>
      </c>
      <c r="P319" s="9">
        <v>0</v>
      </c>
      <c r="Q319" s="9">
        <v>0</v>
      </c>
      <c r="R319" s="9">
        <v>36</v>
      </c>
      <c r="S319" s="9">
        <v>0</v>
      </c>
      <c r="T319" s="49">
        <v>0</v>
      </c>
      <c r="U319" s="33">
        <v>48</v>
      </c>
      <c r="V319" s="9">
        <v>0</v>
      </c>
      <c r="W319" s="9">
        <v>0</v>
      </c>
      <c r="X319" s="9">
        <v>0</v>
      </c>
      <c r="Y319" s="9">
        <v>0</v>
      </c>
      <c r="Z319" s="9">
        <v>0</v>
      </c>
      <c r="AA319" s="9">
        <v>0</v>
      </c>
      <c r="AB319" s="9">
        <v>0</v>
      </c>
      <c r="AC319" s="9">
        <v>0</v>
      </c>
      <c r="AD319" s="53" t="e">
        <f>#REF!*D319</f>
        <v>#REF!</v>
      </c>
      <c r="AE319" s="53" t="e">
        <f>AD319-#REF!</f>
        <v>#REF!</v>
      </c>
      <c r="AF319" s="8"/>
      <c r="AG319" s="33" t="e">
        <f>#REF!-D319</f>
        <v>#REF!</v>
      </c>
      <c r="AH319" s="8"/>
      <c r="AI319" s="8"/>
      <c r="AJ319" s="8"/>
      <c r="AK319" s="8"/>
    </row>
    <row r="320" spans="1:37" s="17" customFormat="1" ht="20.399999999999999" outlineLevel="1" x14ac:dyDescent="0.2">
      <c r="A320" s="61" t="s">
        <v>921</v>
      </c>
      <c r="B320" s="47" t="s">
        <v>2483</v>
      </c>
      <c r="C320" s="8" t="s">
        <v>47</v>
      </c>
      <c r="D320" s="25">
        <f t="shared" si="101"/>
        <v>5</v>
      </c>
      <c r="E320" s="54"/>
      <c r="F320" s="9"/>
      <c r="G320" s="33">
        <v>0</v>
      </c>
      <c r="H320" s="33">
        <v>0</v>
      </c>
      <c r="I320" s="9">
        <v>0</v>
      </c>
      <c r="J320" s="9">
        <v>0</v>
      </c>
      <c r="K320" s="9">
        <v>0</v>
      </c>
      <c r="L320" s="9">
        <v>0</v>
      </c>
      <c r="M320" s="9">
        <v>0</v>
      </c>
      <c r="N320" s="9">
        <v>0</v>
      </c>
      <c r="O320" s="9">
        <v>0</v>
      </c>
      <c r="P320" s="9">
        <v>0</v>
      </c>
      <c r="Q320" s="9">
        <v>0</v>
      </c>
      <c r="R320" s="9">
        <v>2</v>
      </c>
      <c r="S320" s="9">
        <v>0</v>
      </c>
      <c r="T320" s="49">
        <v>0</v>
      </c>
      <c r="U320" s="33">
        <v>3</v>
      </c>
      <c r="V320" s="9">
        <v>0</v>
      </c>
      <c r="W320" s="9">
        <v>0</v>
      </c>
      <c r="X320" s="9">
        <v>0</v>
      </c>
      <c r="Y320" s="9">
        <v>0</v>
      </c>
      <c r="Z320" s="9">
        <v>0</v>
      </c>
      <c r="AA320" s="9">
        <v>0</v>
      </c>
      <c r="AB320" s="9">
        <v>0</v>
      </c>
      <c r="AC320" s="9">
        <v>0</v>
      </c>
      <c r="AD320" s="53" t="e">
        <f>#REF!*D320</f>
        <v>#REF!</v>
      </c>
      <c r="AE320" s="53" t="e">
        <f>AD320-#REF!</f>
        <v>#REF!</v>
      </c>
      <c r="AF320" s="8"/>
      <c r="AG320" s="33" t="e">
        <f>#REF!-D320</f>
        <v>#REF!</v>
      </c>
      <c r="AH320" s="8"/>
      <c r="AI320" s="8"/>
      <c r="AJ320" s="8"/>
      <c r="AK320" s="8"/>
    </row>
    <row r="321" spans="1:37" s="17" customFormat="1" ht="30.6" outlineLevel="1" x14ac:dyDescent="0.2">
      <c r="A321" s="61" t="s">
        <v>922</v>
      </c>
      <c r="B321" s="47" t="s">
        <v>3074</v>
      </c>
      <c r="C321" s="8" t="s">
        <v>48</v>
      </c>
      <c r="D321" s="25">
        <f t="shared" si="101"/>
        <v>93</v>
      </c>
      <c r="E321" s="54"/>
      <c r="F321" s="9"/>
      <c r="G321" s="33">
        <v>0</v>
      </c>
      <c r="H321" s="33">
        <v>75</v>
      </c>
      <c r="I321" s="9">
        <v>0</v>
      </c>
      <c r="J321" s="9">
        <v>0</v>
      </c>
      <c r="K321" s="9">
        <v>0</v>
      </c>
      <c r="L321" s="9">
        <v>0</v>
      </c>
      <c r="M321" s="9">
        <v>0</v>
      </c>
      <c r="N321" s="9">
        <v>0</v>
      </c>
      <c r="O321" s="9">
        <v>0</v>
      </c>
      <c r="P321" s="9">
        <v>0</v>
      </c>
      <c r="Q321" s="9">
        <v>0</v>
      </c>
      <c r="R321" s="9">
        <v>0</v>
      </c>
      <c r="S321" s="9">
        <v>0</v>
      </c>
      <c r="T321" s="49">
        <v>0</v>
      </c>
      <c r="U321" s="33">
        <v>18</v>
      </c>
      <c r="V321" s="9">
        <v>0</v>
      </c>
      <c r="W321" s="9">
        <v>0</v>
      </c>
      <c r="X321" s="9">
        <v>0</v>
      </c>
      <c r="Y321" s="9">
        <v>0</v>
      </c>
      <c r="Z321" s="9">
        <v>0</v>
      </c>
      <c r="AA321" s="9">
        <v>0</v>
      </c>
      <c r="AB321" s="9">
        <v>0</v>
      </c>
      <c r="AC321" s="9">
        <v>0</v>
      </c>
      <c r="AD321" s="53" t="e">
        <f>#REF!*D321</f>
        <v>#REF!</v>
      </c>
      <c r="AE321" s="53" t="e">
        <f>AD321-#REF!</f>
        <v>#REF!</v>
      </c>
      <c r="AF321" s="8"/>
      <c r="AG321" s="33" t="e">
        <f>#REF!-D321</f>
        <v>#REF!</v>
      </c>
      <c r="AH321" s="8"/>
      <c r="AI321" s="8"/>
      <c r="AJ321" s="8"/>
      <c r="AK321" s="8"/>
    </row>
    <row r="322" spans="1:37" s="17" customFormat="1" ht="20.399999999999999" outlineLevel="1" x14ac:dyDescent="0.2">
      <c r="A322" s="61" t="s">
        <v>923</v>
      </c>
      <c r="B322" s="47" t="s">
        <v>2484</v>
      </c>
      <c r="C322" s="8" t="s">
        <v>47</v>
      </c>
      <c r="D322" s="25">
        <f t="shared" si="101"/>
        <v>5</v>
      </c>
      <c r="E322" s="54"/>
      <c r="F322" s="9"/>
      <c r="G322" s="33">
        <v>0</v>
      </c>
      <c r="H322" s="33">
        <v>5</v>
      </c>
      <c r="I322" s="9">
        <v>0</v>
      </c>
      <c r="J322" s="9">
        <v>0</v>
      </c>
      <c r="K322" s="9">
        <v>0</v>
      </c>
      <c r="L322" s="9">
        <v>0</v>
      </c>
      <c r="M322" s="9">
        <v>0</v>
      </c>
      <c r="N322" s="9">
        <v>0</v>
      </c>
      <c r="O322" s="9">
        <v>0</v>
      </c>
      <c r="P322" s="9">
        <v>0</v>
      </c>
      <c r="Q322" s="9">
        <v>0</v>
      </c>
      <c r="R322" s="9">
        <v>0</v>
      </c>
      <c r="S322" s="9">
        <v>0</v>
      </c>
      <c r="T322" s="49">
        <v>0</v>
      </c>
      <c r="U322" s="33">
        <v>0</v>
      </c>
      <c r="V322" s="9">
        <v>0</v>
      </c>
      <c r="W322" s="9">
        <v>0</v>
      </c>
      <c r="X322" s="9">
        <v>0</v>
      </c>
      <c r="Y322" s="9">
        <v>0</v>
      </c>
      <c r="Z322" s="9">
        <v>0</v>
      </c>
      <c r="AA322" s="9">
        <v>0</v>
      </c>
      <c r="AB322" s="9">
        <v>0</v>
      </c>
      <c r="AC322" s="9">
        <v>0</v>
      </c>
      <c r="AD322" s="53" t="e">
        <f>#REF!*D322</f>
        <v>#REF!</v>
      </c>
      <c r="AE322" s="53" t="e">
        <f>AD322-#REF!</f>
        <v>#REF!</v>
      </c>
      <c r="AF322" s="8"/>
      <c r="AG322" s="33" t="e">
        <f>#REF!-D322</f>
        <v>#REF!</v>
      </c>
      <c r="AH322" s="8"/>
      <c r="AI322" s="8"/>
      <c r="AJ322" s="8"/>
      <c r="AK322" s="8"/>
    </row>
    <row r="323" spans="1:37" s="17" customFormat="1" ht="20.399999999999999" outlineLevel="1" x14ac:dyDescent="0.2">
      <c r="A323" s="61" t="s">
        <v>924</v>
      </c>
      <c r="B323" s="47" t="s">
        <v>2485</v>
      </c>
      <c r="C323" s="8" t="s">
        <v>47</v>
      </c>
      <c r="D323" s="25">
        <f t="shared" si="101"/>
        <v>1</v>
      </c>
      <c r="E323" s="54"/>
      <c r="F323" s="9"/>
      <c r="G323" s="33">
        <v>0</v>
      </c>
      <c r="H323" s="33">
        <v>0</v>
      </c>
      <c r="I323" s="9">
        <v>0</v>
      </c>
      <c r="J323" s="9">
        <v>0</v>
      </c>
      <c r="K323" s="9">
        <v>0</v>
      </c>
      <c r="L323" s="9">
        <v>0</v>
      </c>
      <c r="M323" s="9">
        <v>0</v>
      </c>
      <c r="N323" s="9">
        <v>0</v>
      </c>
      <c r="O323" s="9">
        <v>0</v>
      </c>
      <c r="P323" s="9">
        <v>0</v>
      </c>
      <c r="Q323" s="9">
        <v>0</v>
      </c>
      <c r="R323" s="9">
        <v>0</v>
      </c>
      <c r="S323" s="9">
        <v>0</v>
      </c>
      <c r="T323" s="49">
        <v>0</v>
      </c>
      <c r="U323" s="33">
        <v>1</v>
      </c>
      <c r="V323" s="9">
        <v>0</v>
      </c>
      <c r="W323" s="9">
        <v>0</v>
      </c>
      <c r="X323" s="9">
        <v>0</v>
      </c>
      <c r="Y323" s="9">
        <v>0</v>
      </c>
      <c r="Z323" s="9">
        <v>0</v>
      </c>
      <c r="AA323" s="9">
        <v>0</v>
      </c>
      <c r="AB323" s="9">
        <v>0</v>
      </c>
      <c r="AC323" s="9">
        <v>0</v>
      </c>
      <c r="AD323" s="53" t="e">
        <f>#REF!*D323</f>
        <v>#REF!</v>
      </c>
      <c r="AE323" s="53" t="e">
        <f>AD323-#REF!</f>
        <v>#REF!</v>
      </c>
      <c r="AF323" s="8"/>
      <c r="AG323" s="33" t="e">
        <f>#REF!-D323</f>
        <v>#REF!</v>
      </c>
      <c r="AH323" s="8"/>
      <c r="AI323" s="8"/>
      <c r="AJ323" s="8"/>
      <c r="AK323" s="8"/>
    </row>
    <row r="324" spans="1:37" s="17" customFormat="1" ht="30.6" outlineLevel="1" x14ac:dyDescent="0.2">
      <c r="A324" s="61" t="s">
        <v>925</v>
      </c>
      <c r="B324" s="47" t="s">
        <v>3075</v>
      </c>
      <c r="C324" s="8" t="s">
        <v>48</v>
      </c>
      <c r="D324" s="25">
        <f t="shared" si="101"/>
        <v>33</v>
      </c>
      <c r="E324" s="54"/>
      <c r="F324" s="9"/>
      <c r="G324" s="33">
        <v>0</v>
      </c>
      <c r="H324" s="33">
        <v>33</v>
      </c>
      <c r="I324" s="9">
        <v>0</v>
      </c>
      <c r="J324" s="9">
        <v>0</v>
      </c>
      <c r="K324" s="9">
        <v>0</v>
      </c>
      <c r="L324" s="9">
        <v>0</v>
      </c>
      <c r="M324" s="9">
        <v>0</v>
      </c>
      <c r="N324" s="9">
        <v>0</v>
      </c>
      <c r="O324" s="9">
        <v>0</v>
      </c>
      <c r="P324" s="9">
        <v>0</v>
      </c>
      <c r="Q324" s="9">
        <v>0</v>
      </c>
      <c r="R324" s="9">
        <v>0</v>
      </c>
      <c r="S324" s="9">
        <v>0</v>
      </c>
      <c r="T324" s="49">
        <v>0</v>
      </c>
      <c r="U324" s="33">
        <v>0</v>
      </c>
      <c r="V324" s="9">
        <v>0</v>
      </c>
      <c r="W324" s="9">
        <v>0</v>
      </c>
      <c r="X324" s="9">
        <v>0</v>
      </c>
      <c r="Y324" s="9">
        <v>0</v>
      </c>
      <c r="Z324" s="9">
        <v>0</v>
      </c>
      <c r="AA324" s="9">
        <v>0</v>
      </c>
      <c r="AB324" s="9">
        <v>0</v>
      </c>
      <c r="AC324" s="9">
        <v>0</v>
      </c>
      <c r="AD324" s="53" t="e">
        <f>#REF!*D324</f>
        <v>#REF!</v>
      </c>
      <c r="AE324" s="53" t="e">
        <f>AD324-#REF!</f>
        <v>#REF!</v>
      </c>
      <c r="AF324" s="8"/>
      <c r="AG324" s="33" t="e">
        <f>#REF!-D324</f>
        <v>#REF!</v>
      </c>
      <c r="AH324" s="8"/>
      <c r="AI324" s="8"/>
      <c r="AJ324" s="8"/>
      <c r="AK324" s="8"/>
    </row>
    <row r="325" spans="1:37" s="17" customFormat="1" ht="30.6" outlineLevel="1" x14ac:dyDescent="0.2">
      <c r="A325" s="61" t="s">
        <v>926</v>
      </c>
      <c r="B325" s="47" t="s">
        <v>2486</v>
      </c>
      <c r="C325" s="8" t="s">
        <v>47</v>
      </c>
      <c r="D325" s="25">
        <f t="shared" si="101"/>
        <v>3</v>
      </c>
      <c r="E325" s="54"/>
      <c r="F325" s="9"/>
      <c r="G325" s="33">
        <v>0</v>
      </c>
      <c r="H325" s="33">
        <v>3</v>
      </c>
      <c r="I325" s="9">
        <v>0</v>
      </c>
      <c r="J325" s="9">
        <v>0</v>
      </c>
      <c r="K325" s="9">
        <v>0</v>
      </c>
      <c r="L325" s="9">
        <v>0</v>
      </c>
      <c r="M325" s="9">
        <v>0</v>
      </c>
      <c r="N325" s="9">
        <v>0</v>
      </c>
      <c r="O325" s="9">
        <v>0</v>
      </c>
      <c r="P325" s="9">
        <v>0</v>
      </c>
      <c r="Q325" s="9">
        <v>0</v>
      </c>
      <c r="R325" s="9">
        <v>0</v>
      </c>
      <c r="S325" s="9">
        <v>0</v>
      </c>
      <c r="T325" s="49">
        <v>0</v>
      </c>
      <c r="U325" s="33">
        <v>0</v>
      </c>
      <c r="V325" s="9">
        <v>0</v>
      </c>
      <c r="W325" s="9">
        <v>0</v>
      </c>
      <c r="X325" s="9">
        <v>0</v>
      </c>
      <c r="Y325" s="9">
        <v>0</v>
      </c>
      <c r="Z325" s="9">
        <v>0</v>
      </c>
      <c r="AA325" s="9">
        <v>0</v>
      </c>
      <c r="AB325" s="9">
        <v>0</v>
      </c>
      <c r="AC325" s="9">
        <v>0</v>
      </c>
      <c r="AD325" s="53" t="e">
        <f>#REF!*D325</f>
        <v>#REF!</v>
      </c>
      <c r="AE325" s="53" t="e">
        <f>AD325-#REF!</f>
        <v>#REF!</v>
      </c>
      <c r="AF325" s="8"/>
      <c r="AG325" s="33" t="e">
        <f>#REF!-D325</f>
        <v>#REF!</v>
      </c>
      <c r="AH325" s="8"/>
      <c r="AI325" s="8"/>
      <c r="AJ325" s="8"/>
      <c r="AK325" s="8"/>
    </row>
    <row r="326" spans="1:37" s="17" customFormat="1" ht="30.6" outlineLevel="1" x14ac:dyDescent="0.2">
      <c r="A326" s="61" t="s">
        <v>927</v>
      </c>
      <c r="B326" s="14" t="s">
        <v>2487</v>
      </c>
      <c r="C326" s="8" t="s">
        <v>47</v>
      </c>
      <c r="D326" s="25">
        <f t="shared" si="101"/>
        <v>2</v>
      </c>
      <c r="E326" s="54"/>
      <c r="F326" s="9"/>
      <c r="G326" s="33">
        <v>0</v>
      </c>
      <c r="H326" s="33">
        <v>2</v>
      </c>
      <c r="I326" s="9">
        <v>0</v>
      </c>
      <c r="J326" s="9">
        <v>0</v>
      </c>
      <c r="K326" s="9">
        <v>0</v>
      </c>
      <c r="L326" s="9">
        <v>0</v>
      </c>
      <c r="M326" s="9">
        <v>0</v>
      </c>
      <c r="N326" s="9">
        <v>0</v>
      </c>
      <c r="O326" s="9">
        <v>0</v>
      </c>
      <c r="P326" s="9">
        <v>0</v>
      </c>
      <c r="Q326" s="9">
        <v>0</v>
      </c>
      <c r="R326" s="9">
        <v>0</v>
      </c>
      <c r="S326" s="9">
        <v>0</v>
      </c>
      <c r="T326" s="49">
        <v>0</v>
      </c>
      <c r="U326" s="33">
        <v>0</v>
      </c>
      <c r="V326" s="9">
        <v>0</v>
      </c>
      <c r="W326" s="9">
        <v>0</v>
      </c>
      <c r="X326" s="9">
        <v>0</v>
      </c>
      <c r="Y326" s="9">
        <v>0</v>
      </c>
      <c r="Z326" s="9">
        <v>0</v>
      </c>
      <c r="AA326" s="9">
        <v>0</v>
      </c>
      <c r="AB326" s="9">
        <v>0</v>
      </c>
      <c r="AC326" s="9">
        <v>0</v>
      </c>
      <c r="AD326" s="53" t="e">
        <f>#REF!*D326</f>
        <v>#REF!</v>
      </c>
      <c r="AE326" s="53" t="e">
        <f>AD326-#REF!</f>
        <v>#REF!</v>
      </c>
      <c r="AF326" s="8"/>
      <c r="AG326" s="33" t="e">
        <f>#REF!-D326</f>
        <v>#REF!</v>
      </c>
      <c r="AH326" s="8"/>
      <c r="AI326" s="8"/>
      <c r="AJ326" s="8"/>
      <c r="AK326" s="8"/>
    </row>
    <row r="327" spans="1:37" s="17" customFormat="1" ht="30.6" outlineLevel="1" x14ac:dyDescent="0.2">
      <c r="A327" s="61" t="s">
        <v>928</v>
      </c>
      <c r="B327" s="14" t="s">
        <v>2488</v>
      </c>
      <c r="C327" s="8" t="s">
        <v>47</v>
      </c>
      <c r="D327" s="25">
        <f t="shared" si="101"/>
        <v>4</v>
      </c>
      <c r="E327" s="54"/>
      <c r="F327" s="9"/>
      <c r="G327" s="33">
        <v>0</v>
      </c>
      <c r="H327" s="33">
        <v>4</v>
      </c>
      <c r="I327" s="9">
        <v>0</v>
      </c>
      <c r="J327" s="9">
        <v>0</v>
      </c>
      <c r="K327" s="9">
        <v>0</v>
      </c>
      <c r="L327" s="9">
        <v>0</v>
      </c>
      <c r="M327" s="9">
        <v>0</v>
      </c>
      <c r="N327" s="9">
        <v>0</v>
      </c>
      <c r="O327" s="9">
        <v>0</v>
      </c>
      <c r="P327" s="9">
        <v>0</v>
      </c>
      <c r="Q327" s="9">
        <v>0</v>
      </c>
      <c r="R327" s="9">
        <v>0</v>
      </c>
      <c r="S327" s="9">
        <v>0</v>
      </c>
      <c r="T327" s="49">
        <v>0</v>
      </c>
      <c r="U327" s="33">
        <v>0</v>
      </c>
      <c r="V327" s="9">
        <v>0</v>
      </c>
      <c r="W327" s="9">
        <v>0</v>
      </c>
      <c r="X327" s="9">
        <v>0</v>
      </c>
      <c r="Y327" s="9">
        <v>0</v>
      </c>
      <c r="Z327" s="9">
        <v>0</v>
      </c>
      <c r="AA327" s="9">
        <v>0</v>
      </c>
      <c r="AB327" s="9">
        <v>0</v>
      </c>
      <c r="AC327" s="9">
        <v>0</v>
      </c>
      <c r="AD327" s="53" t="e">
        <f>#REF!*D327</f>
        <v>#REF!</v>
      </c>
      <c r="AE327" s="53" t="e">
        <f>AD327-#REF!</f>
        <v>#REF!</v>
      </c>
      <c r="AF327" s="8"/>
      <c r="AG327" s="33" t="e">
        <f>#REF!-D327</f>
        <v>#REF!</v>
      </c>
      <c r="AH327" s="8"/>
      <c r="AI327" s="8"/>
      <c r="AJ327" s="8"/>
      <c r="AK327" s="8"/>
    </row>
    <row r="328" spans="1:37" s="17" customFormat="1" ht="30.6" outlineLevel="1" x14ac:dyDescent="0.2">
      <c r="A328" s="61" t="s">
        <v>929</v>
      </c>
      <c r="B328" s="14" t="s">
        <v>500</v>
      </c>
      <c r="C328" s="8" t="s">
        <v>47</v>
      </c>
      <c r="D328" s="25">
        <f t="shared" si="101"/>
        <v>228</v>
      </c>
      <c r="E328" s="54"/>
      <c r="F328" s="9"/>
      <c r="G328" s="88">
        <f t="shared" ref="G328:AC328" si="109">(G319+G321+G324)/3*2+(G327+G326+G322++G320)*4+(G323+G325)*6</f>
        <v>0</v>
      </c>
      <c r="H328" s="88">
        <f t="shared" si="109"/>
        <v>134</v>
      </c>
      <c r="I328" s="88">
        <f t="shared" si="109"/>
        <v>0</v>
      </c>
      <c r="J328" s="88">
        <f t="shared" si="109"/>
        <v>0</v>
      </c>
      <c r="K328" s="88">
        <f t="shared" si="109"/>
        <v>0</v>
      </c>
      <c r="L328" s="88">
        <f t="shared" si="109"/>
        <v>0</v>
      </c>
      <c r="M328" s="88">
        <f t="shared" si="109"/>
        <v>0</v>
      </c>
      <c r="N328" s="88">
        <f t="shared" si="109"/>
        <v>0</v>
      </c>
      <c r="O328" s="88">
        <f t="shared" si="109"/>
        <v>0</v>
      </c>
      <c r="P328" s="88">
        <f t="shared" si="109"/>
        <v>0</v>
      </c>
      <c r="Q328" s="88">
        <f t="shared" si="109"/>
        <v>0</v>
      </c>
      <c r="R328" s="88">
        <f t="shared" si="109"/>
        <v>32</v>
      </c>
      <c r="S328" s="88">
        <f t="shared" si="109"/>
        <v>0</v>
      </c>
      <c r="T328" s="88">
        <f t="shared" si="109"/>
        <v>0</v>
      </c>
      <c r="U328" s="88">
        <f t="shared" si="109"/>
        <v>62</v>
      </c>
      <c r="V328" s="88">
        <f t="shared" si="109"/>
        <v>0</v>
      </c>
      <c r="W328" s="88">
        <f t="shared" si="109"/>
        <v>0</v>
      </c>
      <c r="X328" s="88">
        <f t="shared" si="109"/>
        <v>0</v>
      </c>
      <c r="Y328" s="88">
        <f t="shared" si="109"/>
        <v>0</v>
      </c>
      <c r="Z328" s="88">
        <f t="shared" si="109"/>
        <v>0</v>
      </c>
      <c r="AA328" s="88">
        <f t="shared" si="109"/>
        <v>0</v>
      </c>
      <c r="AB328" s="88">
        <f t="shared" si="109"/>
        <v>0</v>
      </c>
      <c r="AC328" s="88">
        <f t="shared" si="109"/>
        <v>0</v>
      </c>
      <c r="AD328" s="53" t="e">
        <f>#REF!*D328</f>
        <v>#REF!</v>
      </c>
      <c r="AE328" s="53" t="e">
        <f>AD328-#REF!</f>
        <v>#REF!</v>
      </c>
      <c r="AF328" s="8"/>
      <c r="AG328" s="33" t="e">
        <f>#REF!-D328</f>
        <v>#REF!</v>
      </c>
      <c r="AH328" s="8"/>
      <c r="AI328" s="8"/>
      <c r="AJ328" s="8"/>
      <c r="AK328" s="8"/>
    </row>
    <row r="329" spans="1:37" s="17" customFormat="1" ht="26.25" customHeight="1" outlineLevel="1" x14ac:dyDescent="0.2">
      <c r="A329" s="61" t="s">
        <v>930</v>
      </c>
      <c r="B329" s="47" t="s">
        <v>425</v>
      </c>
      <c r="C329" s="8" t="s">
        <v>47</v>
      </c>
      <c r="D329" s="25">
        <f t="shared" si="101"/>
        <v>1824</v>
      </c>
      <c r="E329" s="54"/>
      <c r="F329" s="9"/>
      <c r="G329" s="88">
        <f t="shared" ref="G329:S329" si="110">G328*8</f>
        <v>0</v>
      </c>
      <c r="H329" s="88">
        <f t="shared" si="110"/>
        <v>1072</v>
      </c>
      <c r="I329" s="88">
        <f t="shared" si="110"/>
        <v>0</v>
      </c>
      <c r="J329" s="88">
        <f t="shared" si="110"/>
        <v>0</v>
      </c>
      <c r="K329" s="88">
        <f t="shared" si="110"/>
        <v>0</v>
      </c>
      <c r="L329" s="88">
        <f t="shared" si="110"/>
        <v>0</v>
      </c>
      <c r="M329" s="88">
        <f t="shared" si="110"/>
        <v>0</v>
      </c>
      <c r="N329" s="88">
        <f t="shared" si="110"/>
        <v>0</v>
      </c>
      <c r="O329" s="88">
        <f t="shared" si="110"/>
        <v>0</v>
      </c>
      <c r="P329" s="88">
        <f t="shared" si="110"/>
        <v>0</v>
      </c>
      <c r="Q329" s="88">
        <f t="shared" si="110"/>
        <v>0</v>
      </c>
      <c r="R329" s="88">
        <f t="shared" si="110"/>
        <v>256</v>
      </c>
      <c r="S329" s="88">
        <f t="shared" si="110"/>
        <v>0</v>
      </c>
      <c r="T329" s="49">
        <v>0</v>
      </c>
      <c r="U329" s="88">
        <f t="shared" ref="U329:AB329" si="111">U328*8</f>
        <v>496</v>
      </c>
      <c r="V329" s="88">
        <f t="shared" si="111"/>
        <v>0</v>
      </c>
      <c r="W329" s="88">
        <f t="shared" si="111"/>
        <v>0</v>
      </c>
      <c r="X329" s="88">
        <f t="shared" si="111"/>
        <v>0</v>
      </c>
      <c r="Y329" s="88">
        <f t="shared" si="111"/>
        <v>0</v>
      </c>
      <c r="Z329" s="88">
        <f t="shared" si="111"/>
        <v>0</v>
      </c>
      <c r="AA329" s="88">
        <f t="shared" si="111"/>
        <v>0</v>
      </c>
      <c r="AB329" s="88">
        <f t="shared" si="111"/>
        <v>0</v>
      </c>
      <c r="AC329" s="49">
        <v>0</v>
      </c>
      <c r="AD329" s="53" t="e">
        <f>#REF!*D329</f>
        <v>#REF!</v>
      </c>
      <c r="AE329" s="53" t="e">
        <f>AD329-#REF!</f>
        <v>#REF!</v>
      </c>
      <c r="AF329" s="8"/>
      <c r="AG329" s="33" t="e">
        <f>#REF!-D329</f>
        <v>#REF!</v>
      </c>
      <c r="AH329" s="8"/>
      <c r="AI329" s="8"/>
      <c r="AJ329" s="8"/>
      <c r="AK329" s="8"/>
    </row>
    <row r="330" spans="1:37" s="12" customFormat="1" ht="10.199999999999999" outlineLevel="1" x14ac:dyDescent="0.2">
      <c r="A330" s="61" t="s">
        <v>2656</v>
      </c>
      <c r="B330" s="11" t="s">
        <v>56</v>
      </c>
      <c r="C330" s="9" t="s">
        <v>57</v>
      </c>
      <c r="D330" s="25">
        <f t="shared" si="101"/>
        <v>28</v>
      </c>
      <c r="E330" s="54"/>
      <c r="F330" s="78"/>
      <c r="G330" s="88">
        <f t="shared" ref="G330:AC330" si="112">MROUND(SUM(G239:G245)*3/100,1)</f>
        <v>0</v>
      </c>
      <c r="H330" s="88">
        <f t="shared" si="112"/>
        <v>7</v>
      </c>
      <c r="I330" s="88">
        <f t="shared" si="112"/>
        <v>3</v>
      </c>
      <c r="J330" s="88">
        <f t="shared" si="112"/>
        <v>0</v>
      </c>
      <c r="K330" s="88">
        <f t="shared" si="112"/>
        <v>1</v>
      </c>
      <c r="L330" s="88">
        <f t="shared" si="112"/>
        <v>1</v>
      </c>
      <c r="M330" s="88">
        <f t="shared" si="112"/>
        <v>1</v>
      </c>
      <c r="N330" s="88">
        <f t="shared" si="112"/>
        <v>1</v>
      </c>
      <c r="O330" s="88">
        <f t="shared" si="112"/>
        <v>4</v>
      </c>
      <c r="P330" s="88">
        <f t="shared" si="112"/>
        <v>1</v>
      </c>
      <c r="Q330" s="88">
        <f t="shared" si="112"/>
        <v>1</v>
      </c>
      <c r="R330" s="88">
        <f t="shared" si="112"/>
        <v>0</v>
      </c>
      <c r="S330" s="88">
        <f t="shared" si="112"/>
        <v>0</v>
      </c>
      <c r="T330" s="88">
        <f t="shared" si="112"/>
        <v>0</v>
      </c>
      <c r="U330" s="88">
        <f t="shared" si="112"/>
        <v>2</v>
      </c>
      <c r="V330" s="88">
        <f t="shared" si="112"/>
        <v>2</v>
      </c>
      <c r="W330" s="88">
        <f t="shared" si="112"/>
        <v>1</v>
      </c>
      <c r="X330" s="88">
        <f t="shared" si="112"/>
        <v>1</v>
      </c>
      <c r="Y330" s="88">
        <f t="shared" si="112"/>
        <v>1</v>
      </c>
      <c r="Z330" s="88">
        <f t="shared" si="112"/>
        <v>0</v>
      </c>
      <c r="AA330" s="88">
        <f t="shared" si="112"/>
        <v>1</v>
      </c>
      <c r="AB330" s="88">
        <f t="shared" si="112"/>
        <v>0</v>
      </c>
      <c r="AC330" s="88">
        <f t="shared" si="112"/>
        <v>0</v>
      </c>
      <c r="AD330" s="53" t="e">
        <f>#REF!*D330</f>
        <v>#REF!</v>
      </c>
      <c r="AE330" s="53" t="e">
        <f>AD330-#REF!</f>
        <v>#REF!</v>
      </c>
      <c r="AF330" s="9"/>
      <c r="AG330" s="33" t="e">
        <f>#REF!-D330</f>
        <v>#REF!</v>
      </c>
    </row>
    <row r="331" spans="1:37" s="12" customFormat="1" ht="20.399999999999999" outlineLevel="1" x14ac:dyDescent="0.2">
      <c r="A331" s="61" t="s">
        <v>2657</v>
      </c>
      <c r="B331" s="14" t="s">
        <v>2477</v>
      </c>
      <c r="C331" s="9" t="s">
        <v>47</v>
      </c>
      <c r="D331" s="25">
        <f t="shared" si="101"/>
        <v>142</v>
      </c>
      <c r="E331" s="54"/>
      <c r="F331" s="78"/>
      <c r="G331" s="33">
        <v>0</v>
      </c>
      <c r="H331" s="33">
        <v>31</v>
      </c>
      <c r="I331" s="9">
        <v>70</v>
      </c>
      <c r="J331" s="9">
        <v>0</v>
      </c>
      <c r="K331" s="9">
        <v>0</v>
      </c>
      <c r="L331" s="9">
        <v>0</v>
      </c>
      <c r="M331" s="9">
        <v>0</v>
      </c>
      <c r="N331" s="9">
        <v>0</v>
      </c>
      <c r="O331" s="9">
        <v>7</v>
      </c>
      <c r="P331" s="9">
        <v>10</v>
      </c>
      <c r="Q331" s="9">
        <v>14</v>
      </c>
      <c r="R331" s="9">
        <v>0</v>
      </c>
      <c r="S331" s="9">
        <v>0</v>
      </c>
      <c r="T331" s="9">
        <v>0</v>
      </c>
      <c r="U331" s="33">
        <v>10</v>
      </c>
      <c r="V331" s="9">
        <v>0</v>
      </c>
      <c r="W331" s="9">
        <v>0</v>
      </c>
      <c r="X331" s="9">
        <v>0</v>
      </c>
      <c r="Y331" s="9">
        <v>0</v>
      </c>
      <c r="Z331" s="9">
        <v>0</v>
      </c>
      <c r="AA331" s="9">
        <v>0</v>
      </c>
      <c r="AB331" s="9">
        <v>0</v>
      </c>
      <c r="AC331" s="9">
        <v>0</v>
      </c>
      <c r="AD331" s="53" t="e">
        <f>#REF!*D331</f>
        <v>#REF!</v>
      </c>
      <c r="AE331" s="53" t="e">
        <f>AD331-#REF!</f>
        <v>#REF!</v>
      </c>
      <c r="AF331" s="9"/>
      <c r="AG331" s="33" t="e">
        <f>#REF!-D331</f>
        <v>#REF!</v>
      </c>
      <c r="AH331" s="9"/>
      <c r="AI331" s="9"/>
      <c r="AJ331" s="9"/>
      <c r="AK331" s="9"/>
    </row>
    <row r="332" spans="1:37" s="12" customFormat="1" ht="20.399999999999999" outlineLevel="1" x14ac:dyDescent="0.2">
      <c r="A332" s="61" t="s">
        <v>2658</v>
      </c>
      <c r="B332" s="14" t="s">
        <v>2478</v>
      </c>
      <c r="C332" s="9" t="s">
        <v>47</v>
      </c>
      <c r="D332" s="25">
        <f t="shared" si="101"/>
        <v>554</v>
      </c>
      <c r="E332" s="54"/>
      <c r="F332" s="78"/>
      <c r="G332" s="33">
        <v>0</v>
      </c>
      <c r="H332" s="33">
        <v>103</v>
      </c>
      <c r="I332" s="9">
        <v>21</v>
      </c>
      <c r="J332" s="9">
        <v>0</v>
      </c>
      <c r="K332" s="9">
        <v>0</v>
      </c>
      <c r="L332" s="9">
        <f>43-4</f>
        <v>39</v>
      </c>
      <c r="M332" s="9">
        <f>78/2</f>
        <v>39</v>
      </c>
      <c r="N332" s="9">
        <f>74/2</f>
        <v>37</v>
      </c>
      <c r="O332" s="9">
        <v>121</v>
      </c>
      <c r="P332" s="9">
        <f>82/2</f>
        <v>41</v>
      </c>
      <c r="Q332" s="9">
        <f>54/2</f>
        <v>27</v>
      </c>
      <c r="R332" s="9">
        <v>0</v>
      </c>
      <c r="S332" s="9">
        <v>0</v>
      </c>
      <c r="T332" s="9">
        <v>0</v>
      </c>
      <c r="U332" s="33">
        <v>34</v>
      </c>
      <c r="V332" s="9">
        <v>0</v>
      </c>
      <c r="W332" s="9">
        <v>0</v>
      </c>
      <c r="X332" s="9">
        <v>22</v>
      </c>
      <c r="Y332" s="9">
        <v>30</v>
      </c>
      <c r="Z332" s="9">
        <v>18</v>
      </c>
      <c r="AA332" s="9">
        <v>22</v>
      </c>
      <c r="AB332" s="9">
        <v>0</v>
      </c>
      <c r="AC332" s="9">
        <v>0</v>
      </c>
      <c r="AD332" s="53" t="e">
        <f>#REF!*D332</f>
        <v>#REF!</v>
      </c>
      <c r="AE332" s="53" t="e">
        <f>AD332-#REF!</f>
        <v>#REF!</v>
      </c>
      <c r="AF332" s="9"/>
      <c r="AG332" s="33" t="e">
        <f>#REF!-D332</f>
        <v>#REF!</v>
      </c>
      <c r="AH332" s="9"/>
      <c r="AI332" s="9"/>
      <c r="AJ332" s="9"/>
      <c r="AK332" s="9"/>
    </row>
    <row r="333" spans="1:37" s="12" customFormat="1" ht="20.399999999999999" outlineLevel="1" x14ac:dyDescent="0.2">
      <c r="A333" s="61" t="s">
        <v>3077</v>
      </c>
      <c r="B333" s="14" t="s">
        <v>2479</v>
      </c>
      <c r="C333" s="9" t="s">
        <v>47</v>
      </c>
      <c r="D333" s="25">
        <f t="shared" si="101"/>
        <v>177</v>
      </c>
      <c r="E333" s="54"/>
      <c r="F333" s="78"/>
      <c r="G333" s="33">
        <v>0</v>
      </c>
      <c r="H333" s="33">
        <v>56</v>
      </c>
      <c r="I333" s="9">
        <v>6</v>
      </c>
      <c r="J333" s="9">
        <v>0</v>
      </c>
      <c r="K333" s="9">
        <v>3</v>
      </c>
      <c r="L333" s="9">
        <v>2</v>
      </c>
      <c r="M333" s="9">
        <v>2</v>
      </c>
      <c r="N333" s="9">
        <v>2</v>
      </c>
      <c r="O333" s="9">
        <v>2</v>
      </c>
      <c r="P333" s="9">
        <v>2</v>
      </c>
      <c r="Q333" s="9">
        <v>4</v>
      </c>
      <c r="R333" s="9">
        <v>30</v>
      </c>
      <c r="S333" s="9">
        <v>0</v>
      </c>
      <c r="T333" s="9">
        <v>0</v>
      </c>
      <c r="U333" s="33">
        <v>19</v>
      </c>
      <c r="V333" s="9">
        <v>30</v>
      </c>
      <c r="W333" s="9">
        <v>16</v>
      </c>
      <c r="X333" s="9">
        <v>2</v>
      </c>
      <c r="Y333" s="9">
        <f>Y241/1.5</f>
        <v>0</v>
      </c>
      <c r="Z333" s="9">
        <f>Z241/1.5</f>
        <v>0</v>
      </c>
      <c r="AA333" s="9">
        <v>1</v>
      </c>
      <c r="AB333" s="9">
        <v>0</v>
      </c>
      <c r="AC333" s="9">
        <v>0</v>
      </c>
      <c r="AD333" s="53" t="e">
        <f>#REF!*D333</f>
        <v>#REF!</v>
      </c>
      <c r="AE333" s="53" t="e">
        <f>AD333-#REF!</f>
        <v>#REF!</v>
      </c>
      <c r="AF333" s="9"/>
      <c r="AG333" s="33" t="e">
        <f>#REF!-D333</f>
        <v>#REF!</v>
      </c>
      <c r="AH333" s="9"/>
      <c r="AI333" s="9"/>
      <c r="AJ333" s="9"/>
      <c r="AK333" s="9"/>
    </row>
    <row r="334" spans="1:37" s="12" customFormat="1" ht="20.399999999999999" outlineLevel="1" x14ac:dyDescent="0.2">
      <c r="A334" s="61" t="s">
        <v>3078</v>
      </c>
      <c r="B334" s="14" t="s">
        <v>2480</v>
      </c>
      <c r="C334" s="9" t="s">
        <v>47</v>
      </c>
      <c r="D334" s="25">
        <f t="shared" si="101"/>
        <v>123</v>
      </c>
      <c r="E334" s="54"/>
      <c r="F334" s="78"/>
      <c r="G334" s="33">
        <v>0</v>
      </c>
      <c r="H334" s="33">
        <v>48</v>
      </c>
      <c r="I334" s="9">
        <v>5</v>
      </c>
      <c r="J334" s="9">
        <v>1</v>
      </c>
      <c r="K334" s="9">
        <v>4</v>
      </c>
      <c r="L334" s="9">
        <v>5</v>
      </c>
      <c r="M334" s="9">
        <v>3</v>
      </c>
      <c r="N334" s="9">
        <v>0</v>
      </c>
      <c r="O334" s="9">
        <f>12</f>
        <v>12</v>
      </c>
      <c r="P334" s="9">
        <v>0</v>
      </c>
      <c r="Q334" s="9">
        <v>1</v>
      </c>
      <c r="R334" s="9">
        <v>28</v>
      </c>
      <c r="S334" s="9">
        <v>0</v>
      </c>
      <c r="T334" s="9">
        <v>0</v>
      </c>
      <c r="U334" s="33">
        <v>16</v>
      </c>
      <c r="V334" s="9">
        <v>0</v>
      </c>
      <c r="W334" s="9">
        <v>0</v>
      </c>
      <c r="X334" s="9">
        <v>0</v>
      </c>
      <c r="Y334" s="9">
        <v>0</v>
      </c>
      <c r="Z334" s="9">
        <v>0</v>
      </c>
      <c r="AA334" s="9">
        <v>0</v>
      </c>
      <c r="AB334" s="9">
        <v>0</v>
      </c>
      <c r="AC334" s="9">
        <v>0</v>
      </c>
      <c r="AD334" s="53" t="e">
        <f>#REF!*D334</f>
        <v>#REF!</v>
      </c>
      <c r="AE334" s="53" t="e">
        <f>AD334-#REF!</f>
        <v>#REF!</v>
      </c>
      <c r="AF334" s="9"/>
      <c r="AG334" s="33" t="e">
        <f>#REF!-D334</f>
        <v>#REF!</v>
      </c>
      <c r="AH334" s="9"/>
      <c r="AI334" s="9"/>
      <c r="AJ334" s="9"/>
      <c r="AK334" s="9"/>
    </row>
    <row r="335" spans="1:37" s="12" customFormat="1" ht="20.399999999999999" outlineLevel="1" x14ac:dyDescent="0.2">
      <c r="A335" s="61" t="s">
        <v>3079</v>
      </c>
      <c r="B335" s="14" t="s">
        <v>2489</v>
      </c>
      <c r="C335" s="9" t="s">
        <v>47</v>
      </c>
      <c r="D335" s="25">
        <f t="shared" si="101"/>
        <v>27</v>
      </c>
      <c r="E335" s="54"/>
      <c r="F335" s="78"/>
      <c r="G335" s="33">
        <v>0</v>
      </c>
      <c r="H335" s="33">
        <v>6</v>
      </c>
      <c r="I335" s="9">
        <v>4</v>
      </c>
      <c r="J335" s="9">
        <v>4</v>
      </c>
      <c r="K335" s="9">
        <v>0</v>
      </c>
      <c r="L335" s="9">
        <v>1</v>
      </c>
      <c r="M335" s="9">
        <v>0</v>
      </c>
      <c r="N335" s="9">
        <v>1</v>
      </c>
      <c r="O335" s="9">
        <v>2</v>
      </c>
      <c r="P335" s="9">
        <v>1</v>
      </c>
      <c r="Q335" s="9">
        <v>0</v>
      </c>
      <c r="R335" s="9">
        <v>4</v>
      </c>
      <c r="S335" s="9">
        <v>0</v>
      </c>
      <c r="T335" s="9">
        <v>0</v>
      </c>
      <c r="U335" s="33">
        <v>0</v>
      </c>
      <c r="V335" s="9">
        <v>0</v>
      </c>
      <c r="W335" s="9">
        <v>0</v>
      </c>
      <c r="X335" s="9">
        <v>0</v>
      </c>
      <c r="Y335" s="9">
        <v>0</v>
      </c>
      <c r="Z335" s="9">
        <v>0</v>
      </c>
      <c r="AA335" s="9">
        <v>0</v>
      </c>
      <c r="AB335" s="9">
        <v>4</v>
      </c>
      <c r="AC335" s="9">
        <v>0</v>
      </c>
      <c r="AD335" s="53" t="e">
        <f>#REF!*D335</f>
        <v>#REF!</v>
      </c>
      <c r="AE335" s="53" t="e">
        <f>AD335-#REF!</f>
        <v>#REF!</v>
      </c>
      <c r="AF335" s="9"/>
      <c r="AG335" s="33" t="e">
        <f>#REF!-D335</f>
        <v>#REF!</v>
      </c>
      <c r="AH335" s="9"/>
      <c r="AI335" s="9"/>
      <c r="AJ335" s="9"/>
      <c r="AK335" s="9"/>
    </row>
    <row r="336" spans="1:37" s="12" customFormat="1" ht="20.399999999999999" outlineLevel="1" x14ac:dyDescent="0.2">
      <c r="A336" s="61" t="s">
        <v>3080</v>
      </c>
      <c r="B336" s="14" t="s">
        <v>2490</v>
      </c>
      <c r="C336" s="9" t="s">
        <v>47</v>
      </c>
      <c r="D336" s="25">
        <f t="shared" si="101"/>
        <v>99</v>
      </c>
      <c r="E336" s="54"/>
      <c r="F336" s="78"/>
      <c r="G336" s="33">
        <v>0</v>
      </c>
      <c r="H336" s="33">
        <v>7</v>
      </c>
      <c r="I336" s="9">
        <v>12</v>
      </c>
      <c r="J336" s="9">
        <v>0</v>
      </c>
      <c r="K336" s="9">
        <v>24</v>
      </c>
      <c r="L336" s="9">
        <v>0</v>
      </c>
      <c r="M336" s="9">
        <v>0</v>
      </c>
      <c r="N336" s="9">
        <v>0</v>
      </c>
      <c r="O336" s="9">
        <v>0</v>
      </c>
      <c r="P336" s="9">
        <v>0</v>
      </c>
      <c r="Q336" s="9">
        <v>1</v>
      </c>
      <c r="R336" s="9">
        <v>43</v>
      </c>
      <c r="S336" s="9">
        <v>0</v>
      </c>
      <c r="T336" s="9">
        <v>0</v>
      </c>
      <c r="U336" s="33">
        <v>0</v>
      </c>
      <c r="V336" s="9">
        <v>0</v>
      </c>
      <c r="W336" s="9">
        <v>0</v>
      </c>
      <c r="X336" s="9">
        <v>12</v>
      </c>
      <c r="Y336" s="9">
        <v>0</v>
      </c>
      <c r="Z336" s="9">
        <v>0</v>
      </c>
      <c r="AA336" s="9">
        <v>0</v>
      </c>
      <c r="AB336" s="9">
        <v>0</v>
      </c>
      <c r="AC336" s="9">
        <v>0</v>
      </c>
      <c r="AD336" s="53" t="e">
        <f>#REF!*D336</f>
        <v>#REF!</v>
      </c>
      <c r="AE336" s="53" t="e">
        <f>AD336-#REF!</f>
        <v>#REF!</v>
      </c>
      <c r="AF336" s="9"/>
      <c r="AG336" s="33" t="e">
        <f>#REF!-D336</f>
        <v>#REF!</v>
      </c>
      <c r="AH336" s="9"/>
      <c r="AI336" s="9"/>
      <c r="AJ336" s="9"/>
      <c r="AK336" s="9"/>
    </row>
    <row r="337" spans="1:37" s="12" customFormat="1" ht="20.399999999999999" outlineLevel="1" x14ac:dyDescent="0.2">
      <c r="A337" s="61" t="s">
        <v>3081</v>
      </c>
      <c r="B337" s="14" t="s">
        <v>2491</v>
      </c>
      <c r="C337" s="9" t="s">
        <v>47</v>
      </c>
      <c r="D337" s="25">
        <f t="shared" si="101"/>
        <v>47</v>
      </c>
      <c r="E337" s="54"/>
      <c r="F337" s="78"/>
      <c r="G337" s="33">
        <v>0</v>
      </c>
      <c r="H337" s="33">
        <v>0</v>
      </c>
      <c r="I337" s="9">
        <v>37</v>
      </c>
      <c r="J337" s="9">
        <v>0</v>
      </c>
      <c r="K337" s="9">
        <v>0</v>
      </c>
      <c r="L337" s="9">
        <v>0</v>
      </c>
      <c r="M337" s="9">
        <v>0</v>
      </c>
      <c r="N337" s="9">
        <v>0</v>
      </c>
      <c r="O337" s="9">
        <v>0</v>
      </c>
      <c r="P337" s="9">
        <v>0</v>
      </c>
      <c r="Q337" s="9">
        <v>0</v>
      </c>
      <c r="R337" s="9">
        <f>10/2</f>
        <v>5</v>
      </c>
      <c r="S337" s="9">
        <v>0</v>
      </c>
      <c r="T337" s="9">
        <v>0</v>
      </c>
      <c r="U337" s="33">
        <v>0</v>
      </c>
      <c r="V337" s="9">
        <v>0</v>
      </c>
      <c r="W337" s="9">
        <v>0</v>
      </c>
      <c r="X337" s="9">
        <v>0</v>
      </c>
      <c r="Y337" s="9">
        <v>5</v>
      </c>
      <c r="Z337" s="9">
        <v>0</v>
      </c>
      <c r="AA337" s="9">
        <v>0</v>
      </c>
      <c r="AB337" s="9">
        <v>0</v>
      </c>
      <c r="AC337" s="9">
        <v>0</v>
      </c>
      <c r="AD337" s="53" t="e">
        <f>#REF!*D337</f>
        <v>#REF!</v>
      </c>
      <c r="AE337" s="53" t="e">
        <f>AD337-#REF!</f>
        <v>#REF!</v>
      </c>
      <c r="AF337" s="9"/>
      <c r="AG337" s="33" t="e">
        <f>#REF!-D337</f>
        <v>#REF!</v>
      </c>
      <c r="AH337" s="9"/>
      <c r="AI337" s="9"/>
      <c r="AJ337" s="9"/>
      <c r="AK337" s="9"/>
    </row>
    <row r="338" spans="1:37" s="12" customFormat="1" ht="20.399999999999999" outlineLevel="1" x14ac:dyDescent="0.2">
      <c r="A338" s="61" t="s">
        <v>3082</v>
      </c>
      <c r="B338" s="14" t="s">
        <v>69</v>
      </c>
      <c r="C338" s="9" t="s">
        <v>47</v>
      </c>
      <c r="D338" s="25">
        <f t="shared" si="101"/>
        <v>1169</v>
      </c>
      <c r="E338" s="54"/>
      <c r="F338" s="78"/>
      <c r="G338" s="88">
        <f t="shared" ref="G338:S338" si="113">SUM(G331:G337)</f>
        <v>0</v>
      </c>
      <c r="H338" s="88">
        <f t="shared" si="113"/>
        <v>251</v>
      </c>
      <c r="I338" s="88">
        <f t="shared" si="113"/>
        <v>155</v>
      </c>
      <c r="J338" s="88">
        <f t="shared" si="113"/>
        <v>5</v>
      </c>
      <c r="K338" s="88">
        <f t="shared" si="113"/>
        <v>31</v>
      </c>
      <c r="L338" s="88">
        <f t="shared" si="113"/>
        <v>47</v>
      </c>
      <c r="M338" s="88">
        <f t="shared" si="113"/>
        <v>44</v>
      </c>
      <c r="N338" s="88">
        <f t="shared" si="113"/>
        <v>40</v>
      </c>
      <c r="O338" s="88">
        <f t="shared" si="113"/>
        <v>144</v>
      </c>
      <c r="P338" s="88">
        <f t="shared" si="113"/>
        <v>54</v>
      </c>
      <c r="Q338" s="88">
        <f t="shared" si="113"/>
        <v>47</v>
      </c>
      <c r="R338" s="88">
        <f t="shared" si="113"/>
        <v>110</v>
      </c>
      <c r="S338" s="88">
        <f t="shared" si="113"/>
        <v>0</v>
      </c>
      <c r="T338" s="88">
        <f>SUM(T331:T336)</f>
        <v>0</v>
      </c>
      <c r="U338" s="88">
        <f t="shared" ref="U338:AB338" si="114">SUM(U331:U337)</f>
        <v>79</v>
      </c>
      <c r="V338" s="88">
        <f t="shared" si="114"/>
        <v>30</v>
      </c>
      <c r="W338" s="88">
        <f t="shared" si="114"/>
        <v>16</v>
      </c>
      <c r="X338" s="88">
        <f t="shared" si="114"/>
        <v>36</v>
      </c>
      <c r="Y338" s="88">
        <f t="shared" si="114"/>
        <v>35</v>
      </c>
      <c r="Z338" s="88">
        <f t="shared" si="114"/>
        <v>18</v>
      </c>
      <c r="AA338" s="88">
        <f t="shared" si="114"/>
        <v>23</v>
      </c>
      <c r="AB338" s="88">
        <f t="shared" si="114"/>
        <v>4</v>
      </c>
      <c r="AC338" s="88">
        <f>SUM(AC331:AC336)</f>
        <v>0</v>
      </c>
      <c r="AD338" s="53" t="e">
        <f>#REF!*D338</f>
        <v>#REF!</v>
      </c>
      <c r="AE338" s="53" t="e">
        <f>AD338-#REF!</f>
        <v>#REF!</v>
      </c>
      <c r="AF338" s="9"/>
      <c r="AG338" s="33" t="e">
        <f>#REF!-D338</f>
        <v>#REF!</v>
      </c>
      <c r="AH338" s="9"/>
      <c r="AI338" s="9"/>
      <c r="AJ338" s="9"/>
      <c r="AK338" s="9"/>
    </row>
    <row r="339" spans="1:37" s="12" customFormat="1" ht="20.399999999999999" outlineLevel="1" x14ac:dyDescent="0.2">
      <c r="A339" s="61" t="s">
        <v>3083</v>
      </c>
      <c r="B339" s="14" t="s">
        <v>1032</v>
      </c>
      <c r="C339" s="9" t="s">
        <v>47</v>
      </c>
      <c r="D339" s="25">
        <f t="shared" si="101"/>
        <v>1169</v>
      </c>
      <c r="E339" s="54"/>
      <c r="F339" s="78"/>
      <c r="G339" s="88">
        <f t="shared" ref="G339:AC339" si="115">G338</f>
        <v>0</v>
      </c>
      <c r="H339" s="88">
        <f t="shared" si="115"/>
        <v>251</v>
      </c>
      <c r="I339" s="88">
        <f t="shared" si="115"/>
        <v>155</v>
      </c>
      <c r="J339" s="88">
        <f t="shared" si="115"/>
        <v>5</v>
      </c>
      <c r="K339" s="88">
        <f t="shared" si="115"/>
        <v>31</v>
      </c>
      <c r="L339" s="88">
        <f t="shared" si="115"/>
        <v>47</v>
      </c>
      <c r="M339" s="88">
        <f t="shared" si="115"/>
        <v>44</v>
      </c>
      <c r="N339" s="88">
        <f t="shared" si="115"/>
        <v>40</v>
      </c>
      <c r="O339" s="88">
        <f t="shared" si="115"/>
        <v>144</v>
      </c>
      <c r="P339" s="88">
        <f t="shared" si="115"/>
        <v>54</v>
      </c>
      <c r="Q339" s="88">
        <f t="shared" si="115"/>
        <v>47</v>
      </c>
      <c r="R339" s="88">
        <f t="shared" si="115"/>
        <v>110</v>
      </c>
      <c r="S339" s="88">
        <f t="shared" si="115"/>
        <v>0</v>
      </c>
      <c r="T339" s="88">
        <f t="shared" si="115"/>
        <v>0</v>
      </c>
      <c r="U339" s="88">
        <f t="shared" si="115"/>
        <v>79</v>
      </c>
      <c r="V339" s="88">
        <f t="shared" si="115"/>
        <v>30</v>
      </c>
      <c r="W339" s="88">
        <f t="shared" si="115"/>
        <v>16</v>
      </c>
      <c r="X339" s="88">
        <f t="shared" si="115"/>
        <v>36</v>
      </c>
      <c r="Y339" s="88">
        <f t="shared" si="115"/>
        <v>35</v>
      </c>
      <c r="Z339" s="88">
        <f t="shared" si="115"/>
        <v>18</v>
      </c>
      <c r="AA339" s="88">
        <f t="shared" si="115"/>
        <v>23</v>
      </c>
      <c r="AB339" s="88">
        <f t="shared" si="115"/>
        <v>4</v>
      </c>
      <c r="AC339" s="88">
        <f t="shared" si="115"/>
        <v>0</v>
      </c>
      <c r="AD339" s="53" t="e">
        <f>#REF!*D339</f>
        <v>#REF!</v>
      </c>
      <c r="AE339" s="53" t="e">
        <f>AD339-#REF!</f>
        <v>#REF!</v>
      </c>
      <c r="AF339" s="9"/>
      <c r="AG339" s="33" t="e">
        <f>#REF!-D339</f>
        <v>#REF!</v>
      </c>
      <c r="AH339" s="9"/>
      <c r="AI339" s="9"/>
      <c r="AJ339" s="9"/>
      <c r="AK339" s="9"/>
    </row>
    <row r="340" spans="1:37" s="12" customFormat="1" ht="20.399999999999999" outlineLevel="1" x14ac:dyDescent="0.2">
      <c r="A340" s="61" t="s">
        <v>3084</v>
      </c>
      <c r="B340" s="14" t="s">
        <v>70</v>
      </c>
      <c r="C340" s="9" t="s">
        <v>47</v>
      </c>
      <c r="D340" s="25">
        <f t="shared" ref="D340:D349" si="116">SUM(G340:AC340)</f>
        <v>43</v>
      </c>
      <c r="E340" s="54"/>
      <c r="F340" s="78"/>
      <c r="G340" s="33">
        <v>0</v>
      </c>
      <c r="H340" s="33">
        <v>2</v>
      </c>
      <c r="I340" s="9">
        <v>9</v>
      </c>
      <c r="J340" s="9">
        <v>0</v>
      </c>
      <c r="K340" s="9">
        <v>0</v>
      </c>
      <c r="L340" s="9">
        <v>0</v>
      </c>
      <c r="M340" s="9">
        <v>0</v>
      </c>
      <c r="N340" s="9">
        <v>0</v>
      </c>
      <c r="O340" s="9">
        <v>28</v>
      </c>
      <c r="P340" s="9">
        <v>0</v>
      </c>
      <c r="Q340" s="9">
        <v>0</v>
      </c>
      <c r="R340" s="9">
        <v>0</v>
      </c>
      <c r="S340" s="9">
        <v>0</v>
      </c>
      <c r="T340" s="9">
        <v>0</v>
      </c>
      <c r="U340" s="33">
        <v>1</v>
      </c>
      <c r="V340" s="9">
        <v>3</v>
      </c>
      <c r="W340" s="9">
        <v>0</v>
      </c>
      <c r="X340" s="9">
        <v>0</v>
      </c>
      <c r="Y340" s="9">
        <v>0</v>
      </c>
      <c r="Z340" s="9">
        <v>0</v>
      </c>
      <c r="AA340" s="9">
        <v>0</v>
      </c>
      <c r="AB340" s="9">
        <v>0</v>
      </c>
      <c r="AC340" s="9">
        <v>0</v>
      </c>
      <c r="AD340" s="53" t="e">
        <f>#REF!*D340</f>
        <v>#REF!</v>
      </c>
      <c r="AE340" s="53" t="e">
        <f>AD340-#REF!</f>
        <v>#REF!</v>
      </c>
      <c r="AF340" s="9"/>
      <c r="AG340" s="33" t="e">
        <f>#REF!-D340</f>
        <v>#REF!</v>
      </c>
      <c r="AH340" s="9"/>
      <c r="AI340" s="9"/>
      <c r="AJ340" s="9"/>
      <c r="AK340" s="9"/>
    </row>
    <row r="341" spans="1:37" s="17" customFormat="1" ht="30.6" outlineLevel="1" x14ac:dyDescent="0.2">
      <c r="A341" s="61" t="s">
        <v>3085</v>
      </c>
      <c r="B341" s="14" t="s">
        <v>490</v>
      </c>
      <c r="C341" s="8" t="s">
        <v>47</v>
      </c>
      <c r="D341" s="25">
        <f t="shared" si="116"/>
        <v>1</v>
      </c>
      <c r="E341" s="54"/>
      <c r="F341" s="9"/>
      <c r="G341" s="33">
        <v>0</v>
      </c>
      <c r="H341" s="33">
        <v>0</v>
      </c>
      <c r="I341" s="9">
        <v>0</v>
      </c>
      <c r="J341" s="9">
        <v>0</v>
      </c>
      <c r="K341" s="9">
        <v>0</v>
      </c>
      <c r="L341" s="9">
        <v>0</v>
      </c>
      <c r="M341" s="9">
        <v>0</v>
      </c>
      <c r="N341" s="9">
        <v>0</v>
      </c>
      <c r="O341" s="9">
        <v>0</v>
      </c>
      <c r="P341" s="9">
        <v>0</v>
      </c>
      <c r="Q341" s="9">
        <v>0</v>
      </c>
      <c r="R341" s="9">
        <v>0</v>
      </c>
      <c r="S341" s="9">
        <v>0</v>
      </c>
      <c r="T341" s="9">
        <v>0</v>
      </c>
      <c r="U341" s="33">
        <v>1</v>
      </c>
      <c r="V341" s="9">
        <v>0</v>
      </c>
      <c r="W341" s="9">
        <v>0</v>
      </c>
      <c r="X341" s="9">
        <v>0</v>
      </c>
      <c r="Y341" s="9">
        <v>0</v>
      </c>
      <c r="Z341" s="9">
        <v>0</v>
      </c>
      <c r="AA341" s="9">
        <v>0</v>
      </c>
      <c r="AB341" s="9">
        <v>0</v>
      </c>
      <c r="AC341" s="9">
        <v>0</v>
      </c>
      <c r="AD341" s="53" t="e">
        <f>#REF!*D341</f>
        <v>#REF!</v>
      </c>
      <c r="AE341" s="53" t="e">
        <f>AD341-#REF!</f>
        <v>#REF!</v>
      </c>
      <c r="AF341" s="8"/>
      <c r="AG341" s="33" t="e">
        <f>#REF!-D341</f>
        <v>#REF!</v>
      </c>
      <c r="AH341" s="8"/>
      <c r="AI341" s="8"/>
      <c r="AJ341" s="8"/>
      <c r="AK341" s="8"/>
    </row>
    <row r="342" spans="1:37" s="17" customFormat="1" ht="30.6" outlineLevel="1" x14ac:dyDescent="0.2">
      <c r="A342" s="61" t="s">
        <v>3086</v>
      </c>
      <c r="B342" s="14" t="s">
        <v>158</v>
      </c>
      <c r="C342" s="8" t="s">
        <v>47</v>
      </c>
      <c r="D342" s="25">
        <f t="shared" si="116"/>
        <v>14</v>
      </c>
      <c r="E342" s="54"/>
      <c r="F342" s="78"/>
      <c r="G342" s="33">
        <v>0</v>
      </c>
      <c r="H342" s="33">
        <v>4</v>
      </c>
      <c r="I342" s="9">
        <v>6</v>
      </c>
      <c r="J342" s="9">
        <v>0</v>
      </c>
      <c r="K342" s="9">
        <v>0</v>
      </c>
      <c r="L342" s="9">
        <v>0</v>
      </c>
      <c r="M342" s="9">
        <v>0</v>
      </c>
      <c r="N342" s="9">
        <v>0</v>
      </c>
      <c r="O342" s="9">
        <v>0</v>
      </c>
      <c r="P342" s="9">
        <v>0</v>
      </c>
      <c r="Q342" s="9">
        <v>0</v>
      </c>
      <c r="R342" s="9">
        <v>0</v>
      </c>
      <c r="S342" s="9">
        <v>0</v>
      </c>
      <c r="T342" s="9">
        <v>0</v>
      </c>
      <c r="U342" s="33">
        <v>2</v>
      </c>
      <c r="V342" s="9">
        <v>2</v>
      </c>
      <c r="W342" s="9">
        <v>0</v>
      </c>
      <c r="X342" s="9">
        <v>0</v>
      </c>
      <c r="Y342" s="9">
        <v>0</v>
      </c>
      <c r="Z342" s="9">
        <v>0</v>
      </c>
      <c r="AA342" s="9">
        <v>0</v>
      </c>
      <c r="AB342" s="9">
        <v>0</v>
      </c>
      <c r="AC342" s="9">
        <v>0</v>
      </c>
      <c r="AD342" s="53" t="e">
        <f>#REF!*D342</f>
        <v>#REF!</v>
      </c>
      <c r="AE342" s="53" t="e">
        <f>AD342-#REF!</f>
        <v>#REF!</v>
      </c>
      <c r="AF342" s="8"/>
      <c r="AG342" s="33" t="e">
        <f>#REF!-D342</f>
        <v>#REF!</v>
      </c>
      <c r="AH342" s="8"/>
      <c r="AI342" s="8"/>
      <c r="AJ342" s="8"/>
      <c r="AK342" s="8"/>
    </row>
    <row r="343" spans="1:37" s="17" customFormat="1" ht="27.75" customHeight="1" outlineLevel="1" x14ac:dyDescent="0.2">
      <c r="A343" s="61" t="s">
        <v>3087</v>
      </c>
      <c r="B343" s="47" t="s">
        <v>159</v>
      </c>
      <c r="C343" s="8" t="s">
        <v>47</v>
      </c>
      <c r="D343" s="25">
        <f t="shared" si="116"/>
        <v>42</v>
      </c>
      <c r="E343" s="54"/>
      <c r="F343" s="78"/>
      <c r="G343" s="88">
        <f t="shared" ref="G343:AC343" si="117">G342*3</f>
        <v>0</v>
      </c>
      <c r="H343" s="88">
        <f t="shared" si="117"/>
        <v>12</v>
      </c>
      <c r="I343" s="88">
        <f t="shared" si="117"/>
        <v>18</v>
      </c>
      <c r="J343" s="88">
        <f t="shared" si="117"/>
        <v>0</v>
      </c>
      <c r="K343" s="88">
        <f t="shared" si="117"/>
        <v>0</v>
      </c>
      <c r="L343" s="88">
        <f t="shared" si="117"/>
        <v>0</v>
      </c>
      <c r="M343" s="88">
        <f t="shared" si="117"/>
        <v>0</v>
      </c>
      <c r="N343" s="88">
        <f t="shared" si="117"/>
        <v>0</v>
      </c>
      <c r="O343" s="88">
        <f t="shared" si="117"/>
        <v>0</v>
      </c>
      <c r="P343" s="88">
        <f t="shared" si="117"/>
        <v>0</v>
      </c>
      <c r="Q343" s="88">
        <f t="shared" si="117"/>
        <v>0</v>
      </c>
      <c r="R343" s="88">
        <f t="shared" si="117"/>
        <v>0</v>
      </c>
      <c r="S343" s="88">
        <f t="shared" si="117"/>
        <v>0</v>
      </c>
      <c r="T343" s="88">
        <f t="shared" si="117"/>
        <v>0</v>
      </c>
      <c r="U343" s="88">
        <f t="shared" si="117"/>
        <v>6</v>
      </c>
      <c r="V343" s="88">
        <f t="shared" si="117"/>
        <v>6</v>
      </c>
      <c r="W343" s="88">
        <f t="shared" si="117"/>
        <v>0</v>
      </c>
      <c r="X343" s="88">
        <f t="shared" si="117"/>
        <v>0</v>
      </c>
      <c r="Y343" s="88">
        <f t="shared" si="117"/>
        <v>0</v>
      </c>
      <c r="Z343" s="88">
        <f t="shared" si="117"/>
        <v>0</v>
      </c>
      <c r="AA343" s="88">
        <f t="shared" si="117"/>
        <v>0</v>
      </c>
      <c r="AB343" s="88">
        <f t="shared" si="117"/>
        <v>0</v>
      </c>
      <c r="AC343" s="88">
        <f t="shared" si="117"/>
        <v>0</v>
      </c>
      <c r="AD343" s="53" t="e">
        <f>#REF!*D343</f>
        <v>#REF!</v>
      </c>
      <c r="AE343" s="53" t="e">
        <f>AD343-#REF!</f>
        <v>#REF!</v>
      </c>
      <c r="AF343" s="8"/>
      <c r="AG343" s="33" t="e">
        <f>#REF!-D343</f>
        <v>#REF!</v>
      </c>
      <c r="AH343" s="8"/>
      <c r="AI343" s="8"/>
      <c r="AJ343" s="8"/>
      <c r="AK343" s="8"/>
    </row>
    <row r="344" spans="1:37" s="17" customFormat="1" ht="20.399999999999999" outlineLevel="1" x14ac:dyDescent="0.2">
      <c r="A344" s="61" t="s">
        <v>3088</v>
      </c>
      <c r="B344" s="47" t="s">
        <v>433</v>
      </c>
      <c r="C344" s="8" t="s">
        <v>47</v>
      </c>
      <c r="D344" s="25">
        <f t="shared" si="116"/>
        <v>32</v>
      </c>
      <c r="E344" s="54"/>
      <c r="F344" s="78"/>
      <c r="G344" s="33">
        <v>0</v>
      </c>
      <c r="H344" s="33">
        <v>0</v>
      </c>
      <c r="I344" s="9">
        <v>2</v>
      </c>
      <c r="J344" s="9">
        <v>0</v>
      </c>
      <c r="K344" s="9">
        <v>0</v>
      </c>
      <c r="L344" s="9">
        <v>0</v>
      </c>
      <c r="M344" s="9">
        <v>0</v>
      </c>
      <c r="N344" s="9">
        <v>1</v>
      </c>
      <c r="O344" s="9">
        <v>0</v>
      </c>
      <c r="P344" s="9">
        <v>23</v>
      </c>
      <c r="Q344" s="9">
        <v>0</v>
      </c>
      <c r="R344" s="9">
        <v>0</v>
      </c>
      <c r="S344" s="9">
        <v>0</v>
      </c>
      <c r="T344" s="9">
        <v>0</v>
      </c>
      <c r="U344" s="33">
        <v>0</v>
      </c>
      <c r="V344" s="9">
        <v>0</v>
      </c>
      <c r="W344" s="9">
        <v>6</v>
      </c>
      <c r="X344" s="9">
        <v>0</v>
      </c>
      <c r="Y344" s="9">
        <v>0</v>
      </c>
      <c r="Z344" s="9">
        <v>0</v>
      </c>
      <c r="AA344" s="9">
        <v>0</v>
      </c>
      <c r="AB344" s="9">
        <v>0</v>
      </c>
      <c r="AC344" s="9">
        <v>0</v>
      </c>
      <c r="AD344" s="53" t="e">
        <f>#REF!*D344</f>
        <v>#REF!</v>
      </c>
      <c r="AE344" s="53" t="e">
        <f>AD344-#REF!</f>
        <v>#REF!</v>
      </c>
      <c r="AF344" s="8"/>
      <c r="AG344" s="33" t="e">
        <f>#REF!-D344</f>
        <v>#REF!</v>
      </c>
      <c r="AH344" s="8"/>
      <c r="AI344" s="8"/>
      <c r="AJ344" s="8"/>
      <c r="AK344" s="8"/>
    </row>
    <row r="345" spans="1:37" s="17" customFormat="1" ht="27" customHeight="1" outlineLevel="1" x14ac:dyDescent="0.2">
      <c r="A345" s="61" t="s">
        <v>3089</v>
      </c>
      <c r="B345" s="47" t="s">
        <v>322</v>
      </c>
      <c r="C345" s="8" t="s">
        <v>47</v>
      </c>
      <c r="D345" s="25">
        <f t="shared" si="116"/>
        <v>47</v>
      </c>
      <c r="E345" s="54"/>
      <c r="F345" s="78"/>
      <c r="G345" s="33">
        <v>0</v>
      </c>
      <c r="H345" s="33">
        <v>14</v>
      </c>
      <c r="I345" s="9">
        <v>2</v>
      </c>
      <c r="J345" s="9">
        <v>0</v>
      </c>
      <c r="K345" s="9">
        <v>1</v>
      </c>
      <c r="L345" s="9">
        <v>0</v>
      </c>
      <c r="M345" s="9">
        <v>0</v>
      </c>
      <c r="N345" s="9">
        <v>0</v>
      </c>
      <c r="O345" s="9">
        <v>0</v>
      </c>
      <c r="P345" s="9">
        <v>0</v>
      </c>
      <c r="Q345" s="9">
        <v>0</v>
      </c>
      <c r="R345" s="9">
        <v>10</v>
      </c>
      <c r="S345" s="9">
        <v>0</v>
      </c>
      <c r="T345" s="9">
        <v>0</v>
      </c>
      <c r="U345" s="33">
        <v>4</v>
      </c>
      <c r="V345" s="9">
        <v>10</v>
      </c>
      <c r="W345" s="9">
        <v>5</v>
      </c>
      <c r="X345" s="9">
        <v>1</v>
      </c>
      <c r="Y345" s="9">
        <v>0</v>
      </c>
      <c r="Z345" s="9">
        <v>0</v>
      </c>
      <c r="AA345" s="9">
        <v>0</v>
      </c>
      <c r="AB345" s="9">
        <v>0</v>
      </c>
      <c r="AC345" s="9">
        <v>0</v>
      </c>
      <c r="AD345" s="53" t="e">
        <f>#REF!*D345</f>
        <v>#REF!</v>
      </c>
      <c r="AE345" s="53" t="e">
        <f>AD345-#REF!</f>
        <v>#REF!</v>
      </c>
      <c r="AF345" s="8"/>
      <c r="AG345" s="33" t="e">
        <f>#REF!-D345</f>
        <v>#REF!</v>
      </c>
      <c r="AH345" s="8"/>
      <c r="AI345" s="8"/>
      <c r="AJ345" s="8"/>
      <c r="AK345" s="8"/>
    </row>
    <row r="346" spans="1:37" s="17" customFormat="1" ht="24" customHeight="1" outlineLevel="1" x14ac:dyDescent="0.2">
      <c r="A346" s="61" t="s">
        <v>3090</v>
      </c>
      <c r="B346" s="47" t="s">
        <v>469</v>
      </c>
      <c r="C346" s="8" t="s">
        <v>47</v>
      </c>
      <c r="D346" s="25">
        <f t="shared" si="116"/>
        <v>28</v>
      </c>
      <c r="E346" s="54"/>
      <c r="F346" s="78"/>
      <c r="G346" s="33">
        <v>0</v>
      </c>
      <c r="H346" s="33">
        <v>11</v>
      </c>
      <c r="I346" s="9">
        <v>2</v>
      </c>
      <c r="J346" s="9">
        <v>0</v>
      </c>
      <c r="K346" s="9">
        <v>0</v>
      </c>
      <c r="L346" s="9">
        <v>0</v>
      </c>
      <c r="M346" s="9">
        <v>0</v>
      </c>
      <c r="N346" s="9">
        <v>0</v>
      </c>
      <c r="O346" s="9">
        <v>8</v>
      </c>
      <c r="P346" s="9">
        <v>0</v>
      </c>
      <c r="Q346" s="9">
        <v>0</v>
      </c>
      <c r="R346" s="9">
        <v>5</v>
      </c>
      <c r="S346" s="9">
        <v>0</v>
      </c>
      <c r="T346" s="9">
        <v>0</v>
      </c>
      <c r="U346" s="33">
        <v>2</v>
      </c>
      <c r="V346" s="9">
        <v>0</v>
      </c>
      <c r="W346" s="9">
        <v>0</v>
      </c>
      <c r="X346" s="9">
        <v>0</v>
      </c>
      <c r="Y346" s="9">
        <v>0</v>
      </c>
      <c r="Z346" s="9">
        <v>0</v>
      </c>
      <c r="AA346" s="9">
        <v>0</v>
      </c>
      <c r="AB346" s="9">
        <v>0</v>
      </c>
      <c r="AC346" s="9">
        <v>0</v>
      </c>
      <c r="AD346" s="53" t="e">
        <f>#REF!*D346</f>
        <v>#REF!</v>
      </c>
      <c r="AE346" s="53" t="e">
        <f>AD346-#REF!</f>
        <v>#REF!</v>
      </c>
      <c r="AF346" s="8"/>
      <c r="AG346" s="33" t="e">
        <f>#REF!-D346</f>
        <v>#REF!</v>
      </c>
      <c r="AH346" s="8"/>
      <c r="AI346" s="8"/>
      <c r="AJ346" s="8"/>
      <c r="AK346" s="8"/>
    </row>
    <row r="347" spans="1:37" s="17" customFormat="1" ht="20.399999999999999" outlineLevel="1" x14ac:dyDescent="0.2">
      <c r="A347" s="61" t="s">
        <v>3091</v>
      </c>
      <c r="B347" s="47" t="s">
        <v>323</v>
      </c>
      <c r="C347" s="8" t="s">
        <v>47</v>
      </c>
      <c r="D347" s="25">
        <f t="shared" si="116"/>
        <v>13</v>
      </c>
      <c r="E347" s="54"/>
      <c r="F347" s="78"/>
      <c r="G347" s="33">
        <v>0</v>
      </c>
      <c r="H347" s="33">
        <v>2</v>
      </c>
      <c r="I347" s="9">
        <v>2</v>
      </c>
      <c r="J347" s="9">
        <v>2</v>
      </c>
      <c r="K347" s="9">
        <v>0</v>
      </c>
      <c r="L347" s="9">
        <v>4</v>
      </c>
      <c r="M347" s="9">
        <v>0</v>
      </c>
      <c r="N347" s="9">
        <v>0</v>
      </c>
      <c r="O347" s="9">
        <v>0</v>
      </c>
      <c r="P347" s="9">
        <v>0</v>
      </c>
      <c r="Q347" s="9">
        <v>0</v>
      </c>
      <c r="R347" s="9">
        <v>1</v>
      </c>
      <c r="S347" s="9">
        <v>0</v>
      </c>
      <c r="T347" s="9">
        <v>0</v>
      </c>
      <c r="U347" s="33">
        <v>0</v>
      </c>
      <c r="V347" s="9">
        <v>0</v>
      </c>
      <c r="W347" s="9">
        <v>0</v>
      </c>
      <c r="X347" s="9">
        <v>0</v>
      </c>
      <c r="Y347" s="9">
        <v>0</v>
      </c>
      <c r="Z347" s="9">
        <v>0</v>
      </c>
      <c r="AA347" s="9">
        <v>0</v>
      </c>
      <c r="AB347" s="9">
        <v>2</v>
      </c>
      <c r="AC347" s="9">
        <v>0</v>
      </c>
      <c r="AD347" s="53" t="e">
        <f>#REF!*D347</f>
        <v>#REF!</v>
      </c>
      <c r="AE347" s="53" t="e">
        <f>AD347-#REF!</f>
        <v>#REF!</v>
      </c>
      <c r="AF347" s="8"/>
      <c r="AG347" s="33" t="e">
        <f>#REF!-D347</f>
        <v>#REF!</v>
      </c>
      <c r="AH347" s="8"/>
      <c r="AI347" s="8"/>
      <c r="AJ347" s="8"/>
      <c r="AK347" s="8"/>
    </row>
    <row r="348" spans="1:37" s="17" customFormat="1" ht="20.399999999999999" outlineLevel="1" x14ac:dyDescent="0.2">
      <c r="A348" s="61" t="s">
        <v>3092</v>
      </c>
      <c r="B348" s="47" t="s">
        <v>324</v>
      </c>
      <c r="C348" s="8" t="s">
        <v>47</v>
      </c>
      <c r="D348" s="25">
        <f t="shared" si="116"/>
        <v>24</v>
      </c>
      <c r="E348" s="54"/>
      <c r="F348" s="78"/>
      <c r="G348" s="33">
        <v>0</v>
      </c>
      <c r="H348" s="33">
        <v>2</v>
      </c>
      <c r="I348" s="9">
        <v>2</v>
      </c>
      <c r="J348" s="9">
        <v>0</v>
      </c>
      <c r="K348" s="9">
        <v>3</v>
      </c>
      <c r="L348" s="9">
        <v>0</v>
      </c>
      <c r="M348" s="9">
        <v>0</v>
      </c>
      <c r="N348" s="9">
        <v>0</v>
      </c>
      <c r="O348" s="9">
        <v>0</v>
      </c>
      <c r="P348" s="9">
        <v>0</v>
      </c>
      <c r="Q348" s="9">
        <v>0</v>
      </c>
      <c r="R348" s="9">
        <v>17</v>
      </c>
      <c r="S348" s="9">
        <v>0</v>
      </c>
      <c r="T348" s="9">
        <v>0</v>
      </c>
      <c r="U348" s="33">
        <v>0</v>
      </c>
      <c r="V348" s="9">
        <v>0</v>
      </c>
      <c r="W348" s="9">
        <v>0</v>
      </c>
      <c r="X348" s="9">
        <v>0</v>
      </c>
      <c r="Y348" s="9">
        <v>0</v>
      </c>
      <c r="Z348" s="9">
        <v>0</v>
      </c>
      <c r="AA348" s="9">
        <v>0</v>
      </c>
      <c r="AB348" s="9">
        <v>0</v>
      </c>
      <c r="AC348" s="9">
        <v>0</v>
      </c>
      <c r="AD348" s="53" t="e">
        <f>#REF!*D348</f>
        <v>#REF!</v>
      </c>
      <c r="AE348" s="53" t="e">
        <f>AD348-#REF!</f>
        <v>#REF!</v>
      </c>
      <c r="AF348" s="8"/>
      <c r="AG348" s="33" t="e">
        <f>#REF!-D348</f>
        <v>#REF!</v>
      </c>
      <c r="AH348" s="8"/>
      <c r="AI348" s="8"/>
      <c r="AJ348" s="8"/>
      <c r="AK348" s="8"/>
    </row>
    <row r="349" spans="1:37" s="17" customFormat="1" ht="20.399999999999999" outlineLevel="1" x14ac:dyDescent="0.2">
      <c r="A349" s="61" t="s">
        <v>3093</v>
      </c>
      <c r="B349" s="47" t="s">
        <v>325</v>
      </c>
      <c r="C349" s="8" t="s">
        <v>47</v>
      </c>
      <c r="D349" s="25">
        <f t="shared" si="116"/>
        <v>5</v>
      </c>
      <c r="E349" s="54"/>
      <c r="F349" s="78"/>
      <c r="G349" s="33">
        <v>0</v>
      </c>
      <c r="H349" s="33">
        <v>0</v>
      </c>
      <c r="I349" s="9">
        <v>5</v>
      </c>
      <c r="J349" s="9">
        <v>0</v>
      </c>
      <c r="K349" s="9">
        <v>0</v>
      </c>
      <c r="L349" s="9">
        <v>0</v>
      </c>
      <c r="M349" s="9">
        <v>0</v>
      </c>
      <c r="N349" s="9">
        <v>0</v>
      </c>
      <c r="O349" s="9">
        <v>0</v>
      </c>
      <c r="P349" s="9">
        <v>0</v>
      </c>
      <c r="Q349" s="9">
        <v>0</v>
      </c>
      <c r="R349" s="9">
        <v>0</v>
      </c>
      <c r="S349" s="9">
        <v>0</v>
      </c>
      <c r="T349" s="9">
        <v>0</v>
      </c>
      <c r="U349" s="33">
        <v>0</v>
      </c>
      <c r="V349" s="9">
        <v>0</v>
      </c>
      <c r="W349" s="9">
        <v>0</v>
      </c>
      <c r="X349" s="9">
        <v>0</v>
      </c>
      <c r="Y349" s="9">
        <v>0</v>
      </c>
      <c r="Z349" s="9">
        <v>0</v>
      </c>
      <c r="AA349" s="9">
        <v>0</v>
      </c>
      <c r="AB349" s="9">
        <v>0</v>
      </c>
      <c r="AC349" s="9">
        <v>0</v>
      </c>
      <c r="AD349" s="53" t="e">
        <f>#REF!*D349</f>
        <v>#REF!</v>
      </c>
      <c r="AE349" s="53" t="e">
        <f>AD349-#REF!</f>
        <v>#REF!</v>
      </c>
      <c r="AF349" s="8"/>
      <c r="AG349" s="33" t="e">
        <f>#REF!-D349</f>
        <v>#REF!</v>
      </c>
      <c r="AH349" s="8"/>
      <c r="AI349" s="8"/>
      <c r="AJ349" s="8"/>
      <c r="AK349" s="8"/>
    </row>
    <row r="350" spans="1:37" outlineLevel="1" x14ac:dyDescent="0.25">
      <c r="A350" s="61"/>
      <c r="E350" s="54"/>
      <c r="H350" s="8"/>
      <c r="I350" s="8"/>
      <c r="J350" s="8"/>
      <c r="K350" s="8"/>
      <c r="L350" s="8"/>
      <c r="M350" s="8"/>
      <c r="N350" s="8"/>
      <c r="O350" s="8"/>
      <c r="P350" s="8"/>
      <c r="Q350" s="8"/>
      <c r="R350" s="8"/>
      <c r="S350" s="8"/>
      <c r="T350" s="8"/>
      <c r="U350" s="8"/>
      <c r="V350" s="8"/>
      <c r="W350" s="8"/>
      <c r="X350" s="8"/>
      <c r="Y350" s="8"/>
      <c r="Z350" s="8"/>
      <c r="AA350" s="8"/>
      <c r="AB350" s="8"/>
      <c r="AC350" s="8"/>
      <c r="AD350" s="53" t="e">
        <f>#REF!*D350</f>
        <v>#REF!</v>
      </c>
      <c r="AE350" s="53" t="e">
        <f>AD350-#REF!</f>
        <v>#REF!</v>
      </c>
      <c r="AG350" s="33" t="e">
        <f>#REF!-D350</f>
        <v>#REF!</v>
      </c>
    </row>
    <row r="351" spans="1:37" x14ac:dyDescent="0.25">
      <c r="A351" s="18" t="s">
        <v>27</v>
      </c>
      <c r="B351" s="35" t="s">
        <v>382</v>
      </c>
      <c r="C351" s="18" t="s">
        <v>41</v>
      </c>
      <c r="D351" s="52" t="e">
        <f>#REF!/#REF!*100</f>
        <v>#REF!</v>
      </c>
      <c r="E351" s="54"/>
      <c r="H351" s="8"/>
      <c r="I351" s="8"/>
      <c r="J351" s="8"/>
      <c r="K351" s="8"/>
      <c r="L351" s="8"/>
      <c r="M351" s="8"/>
      <c r="N351" s="8"/>
      <c r="O351" s="8"/>
      <c r="P351" s="8"/>
      <c r="Q351" s="8"/>
      <c r="R351" s="8"/>
      <c r="S351" s="8"/>
      <c r="T351" s="8"/>
      <c r="U351" s="8"/>
      <c r="V351" s="8"/>
      <c r="W351" s="8"/>
      <c r="X351" s="8"/>
      <c r="Y351" s="8"/>
      <c r="Z351" s="8"/>
      <c r="AA351" s="8"/>
      <c r="AB351" s="214" t="s">
        <v>375</v>
      </c>
      <c r="AC351" s="8"/>
      <c r="AD351" s="53" t="e">
        <f>#REF!*D351</f>
        <v>#REF!</v>
      </c>
      <c r="AE351" s="53" t="e">
        <f>AD351-#REF!</f>
        <v>#REF!</v>
      </c>
      <c r="AG351" s="33" t="e">
        <f>#REF!-D351</f>
        <v>#REF!</v>
      </c>
    </row>
    <row r="352" spans="1:37" s="12" customFormat="1" ht="33" outlineLevel="1" x14ac:dyDescent="0.2">
      <c r="A352" s="61" t="s">
        <v>587</v>
      </c>
      <c r="B352" s="14" t="s">
        <v>1034</v>
      </c>
      <c r="C352" s="9" t="s">
        <v>48</v>
      </c>
      <c r="D352" s="25">
        <f t="shared" ref="D352:D395" si="118">SUM(G352:AC352)</f>
        <v>3560</v>
      </c>
      <c r="E352" s="54"/>
      <c r="F352" s="9"/>
      <c r="G352" s="33">
        <v>0</v>
      </c>
      <c r="H352" s="33">
        <v>0</v>
      </c>
      <c r="I352" s="9">
        <v>10</v>
      </c>
      <c r="J352" s="9">
        <v>0</v>
      </c>
      <c r="K352" s="9">
        <v>0</v>
      </c>
      <c r="L352" s="9">
        <v>740</v>
      </c>
      <c r="M352" s="9">
        <v>535</v>
      </c>
      <c r="N352" s="9">
        <v>485</v>
      </c>
      <c r="O352" s="9">
        <v>420</v>
      </c>
      <c r="P352" s="9">
        <v>0</v>
      </c>
      <c r="Q352" s="9">
        <v>0</v>
      </c>
      <c r="R352" s="9">
        <f>70</f>
        <v>70</v>
      </c>
      <c r="S352" s="9">
        <v>0</v>
      </c>
      <c r="T352" s="9">
        <v>0</v>
      </c>
      <c r="U352" s="33">
        <v>0</v>
      </c>
      <c r="V352" s="9">
        <v>0</v>
      </c>
      <c r="W352" s="9">
        <v>60</v>
      </c>
      <c r="X352" s="9">
        <v>280</v>
      </c>
      <c r="Y352" s="9">
        <v>345</v>
      </c>
      <c r="Z352" s="9">
        <v>345</v>
      </c>
      <c r="AA352" s="9">
        <v>270</v>
      </c>
      <c r="AB352" s="9">
        <v>0</v>
      </c>
      <c r="AC352" s="9">
        <v>0</v>
      </c>
      <c r="AD352" s="53" t="e">
        <f>#REF!*D352</f>
        <v>#REF!</v>
      </c>
      <c r="AE352" s="53" t="e">
        <f>AD352-#REF!</f>
        <v>#REF!</v>
      </c>
      <c r="AF352" s="9"/>
      <c r="AG352" s="33" t="e">
        <f>#REF!-D352</f>
        <v>#REF!</v>
      </c>
      <c r="AH352" s="9"/>
      <c r="AI352" s="9"/>
      <c r="AJ352" s="9"/>
      <c r="AK352" s="9"/>
    </row>
    <row r="353" spans="1:37" s="12" customFormat="1" ht="33" outlineLevel="1" x14ac:dyDescent="0.2">
      <c r="A353" s="61" t="s">
        <v>588</v>
      </c>
      <c r="B353" s="14" t="s">
        <v>1035</v>
      </c>
      <c r="C353" s="9" t="s">
        <v>48</v>
      </c>
      <c r="D353" s="25">
        <f t="shared" si="118"/>
        <v>2515</v>
      </c>
      <c r="E353" s="54"/>
      <c r="F353" s="9"/>
      <c r="G353" s="33">
        <v>0</v>
      </c>
      <c r="H353" s="33">
        <f>700+60-370</f>
        <v>390</v>
      </c>
      <c r="I353" s="9">
        <f>170-60</f>
        <v>110</v>
      </c>
      <c r="J353" s="9">
        <v>0</v>
      </c>
      <c r="K353" s="9">
        <v>0</v>
      </c>
      <c r="L353" s="9">
        <v>0</v>
      </c>
      <c r="M353" s="9">
        <v>60</v>
      </c>
      <c r="N353" s="9">
        <v>65</v>
      </c>
      <c r="O353" s="9">
        <v>70</v>
      </c>
      <c r="P353" s="9">
        <v>70</v>
      </c>
      <c r="Q353" s="9">
        <v>70</v>
      </c>
      <c r="R353" s="9">
        <v>75</v>
      </c>
      <c r="S353" s="9">
        <v>0</v>
      </c>
      <c r="T353" s="9">
        <v>0</v>
      </c>
      <c r="U353" s="33">
        <v>720</v>
      </c>
      <c r="V353" s="9">
        <v>440</v>
      </c>
      <c r="W353" s="9">
        <v>300</v>
      </c>
      <c r="X353" s="9">
        <v>30</v>
      </c>
      <c r="Y353" s="9">
        <v>35</v>
      </c>
      <c r="Z353" s="9">
        <v>40</v>
      </c>
      <c r="AA353" s="9">
        <v>40</v>
      </c>
      <c r="AB353" s="9">
        <v>0</v>
      </c>
      <c r="AC353" s="9">
        <v>0</v>
      </c>
      <c r="AD353" s="53" t="e">
        <f>#REF!*D353</f>
        <v>#REF!</v>
      </c>
      <c r="AE353" s="53" t="e">
        <f>AD353-#REF!</f>
        <v>#REF!</v>
      </c>
      <c r="AF353" s="9"/>
      <c r="AG353" s="33" t="e">
        <f>#REF!-D353</f>
        <v>#REF!</v>
      </c>
      <c r="AH353" s="9"/>
      <c r="AI353" s="9"/>
      <c r="AJ353" s="9"/>
      <c r="AK353" s="9"/>
    </row>
    <row r="354" spans="1:37" s="12" customFormat="1" ht="33" outlineLevel="1" x14ac:dyDescent="0.2">
      <c r="A354" s="61" t="s">
        <v>589</v>
      </c>
      <c r="B354" s="14" t="s">
        <v>1036</v>
      </c>
      <c r="C354" s="9" t="s">
        <v>48</v>
      </c>
      <c r="D354" s="25">
        <f t="shared" si="118"/>
        <v>3135</v>
      </c>
      <c r="E354" s="54"/>
      <c r="F354" s="9"/>
      <c r="G354" s="33">
        <v>0</v>
      </c>
      <c r="H354" s="33">
        <f>700-280</f>
        <v>420</v>
      </c>
      <c r="I354" s="9">
        <v>0</v>
      </c>
      <c r="J354" s="9">
        <v>50</v>
      </c>
      <c r="K354" s="9">
        <v>0</v>
      </c>
      <c r="L354" s="9">
        <v>0</v>
      </c>
      <c r="M354" s="9">
        <v>45</v>
      </c>
      <c r="N354" s="9">
        <v>50</v>
      </c>
      <c r="O354" s="9">
        <v>380</v>
      </c>
      <c r="P354" s="9">
        <v>455</v>
      </c>
      <c r="Q354" s="9">
        <f>40+70+330</f>
        <v>440</v>
      </c>
      <c r="R354" s="9">
        <v>105</v>
      </c>
      <c r="S354" s="9">
        <v>0</v>
      </c>
      <c r="T354" s="9">
        <v>0</v>
      </c>
      <c r="U354" s="33">
        <v>280</v>
      </c>
      <c r="V354" s="9">
        <v>215</v>
      </c>
      <c r="W354" s="9">
        <v>210</v>
      </c>
      <c r="X354" s="9">
        <v>180</v>
      </c>
      <c r="Y354" s="9">
        <v>95</v>
      </c>
      <c r="Z354" s="9">
        <v>0</v>
      </c>
      <c r="AA354" s="9">
        <v>105</v>
      </c>
      <c r="AB354" s="9">
        <v>105</v>
      </c>
      <c r="AC354" s="9">
        <v>0</v>
      </c>
      <c r="AD354" s="53" t="e">
        <f>#REF!*D354</f>
        <v>#REF!</v>
      </c>
      <c r="AE354" s="53" t="e">
        <f>AD354-#REF!</f>
        <v>#REF!</v>
      </c>
      <c r="AF354" s="9"/>
      <c r="AG354" s="33" t="e">
        <f>#REF!-D354</f>
        <v>#REF!</v>
      </c>
      <c r="AH354" s="9"/>
      <c r="AI354" s="9"/>
      <c r="AJ354" s="9"/>
      <c r="AK354" s="9"/>
    </row>
    <row r="355" spans="1:37" s="12" customFormat="1" ht="33" outlineLevel="1" x14ac:dyDescent="0.2">
      <c r="A355" s="61" t="s">
        <v>590</v>
      </c>
      <c r="B355" s="14" t="s">
        <v>1037</v>
      </c>
      <c r="C355" s="9" t="s">
        <v>48</v>
      </c>
      <c r="D355" s="25">
        <f t="shared" si="118"/>
        <v>2240</v>
      </c>
      <c r="E355" s="54"/>
      <c r="F355" s="9"/>
      <c r="G355" s="33">
        <v>0</v>
      </c>
      <c r="H355" s="33">
        <f>155+35-55</f>
        <v>135</v>
      </c>
      <c r="I355" s="9">
        <f>190+40-110</f>
        <v>120</v>
      </c>
      <c r="J355" s="9">
        <f>95</f>
        <v>95</v>
      </c>
      <c r="K355" s="9">
        <v>245</v>
      </c>
      <c r="L355" s="9">
        <f>64+6</f>
        <v>70</v>
      </c>
      <c r="M355" s="9">
        <f>170+50</f>
        <v>220</v>
      </c>
      <c r="N355" s="9">
        <v>50</v>
      </c>
      <c r="O355" s="9">
        <v>0</v>
      </c>
      <c r="P355" s="9">
        <v>0</v>
      </c>
      <c r="Q355" s="9">
        <v>60</v>
      </c>
      <c r="R355" s="9">
        <f>40+420</f>
        <v>460</v>
      </c>
      <c r="S355" s="9">
        <v>0</v>
      </c>
      <c r="T355" s="9">
        <v>0</v>
      </c>
      <c r="U355" s="33">
        <f>55+245</f>
        <v>300</v>
      </c>
      <c r="V355" s="9">
        <v>0</v>
      </c>
      <c r="W355" s="9">
        <f>95</f>
        <v>95</v>
      </c>
      <c r="X355" s="9">
        <v>0</v>
      </c>
      <c r="Y355" s="9">
        <v>0</v>
      </c>
      <c r="Z355" s="9">
        <v>100</v>
      </c>
      <c r="AA355" s="9">
        <v>0</v>
      </c>
      <c r="AB355" s="49">
        <v>290</v>
      </c>
      <c r="AC355" s="9">
        <v>0</v>
      </c>
      <c r="AD355" s="53" t="e">
        <f>#REF!*D355</f>
        <v>#REF!</v>
      </c>
      <c r="AE355" s="53" t="e">
        <f>AD355-#REF!</f>
        <v>#REF!</v>
      </c>
      <c r="AF355" s="9"/>
      <c r="AG355" s="33" t="e">
        <f>#REF!-D355</f>
        <v>#REF!</v>
      </c>
      <c r="AH355" s="9"/>
      <c r="AI355" s="9"/>
      <c r="AJ355" s="9"/>
      <c r="AK355" s="9"/>
    </row>
    <row r="356" spans="1:37" s="12" customFormat="1" ht="33" outlineLevel="1" x14ac:dyDescent="0.2">
      <c r="A356" s="61" t="s">
        <v>591</v>
      </c>
      <c r="B356" s="14" t="s">
        <v>1038</v>
      </c>
      <c r="C356" s="9" t="s">
        <v>48</v>
      </c>
      <c r="D356" s="25">
        <f t="shared" si="118"/>
        <v>1745</v>
      </c>
      <c r="E356" s="54"/>
      <c r="F356" s="9"/>
      <c r="G356" s="33">
        <v>0</v>
      </c>
      <c r="H356" s="33">
        <f>35+130</f>
        <v>165</v>
      </c>
      <c r="I356" s="9">
        <v>145</v>
      </c>
      <c r="J356" s="9">
        <v>150</v>
      </c>
      <c r="K356" s="9">
        <v>0</v>
      </c>
      <c r="L356" s="9">
        <v>145</v>
      </c>
      <c r="M356" s="9">
        <v>105</v>
      </c>
      <c r="N356" s="9">
        <v>110</v>
      </c>
      <c r="O356" s="9">
        <v>210</v>
      </c>
      <c r="P356" s="9">
        <v>170</v>
      </c>
      <c r="Q356" s="9">
        <f>0</f>
        <v>0</v>
      </c>
      <c r="R356" s="9">
        <v>0</v>
      </c>
      <c r="S356" s="9">
        <v>0</v>
      </c>
      <c r="T356" s="9">
        <v>0</v>
      </c>
      <c r="U356" s="33">
        <v>0</v>
      </c>
      <c r="V356" s="9">
        <v>145</v>
      </c>
      <c r="W356" s="9">
        <v>105</v>
      </c>
      <c r="X356" s="9">
        <v>90</v>
      </c>
      <c r="Y356" s="9">
        <v>0</v>
      </c>
      <c r="Z356" s="9">
        <v>100</v>
      </c>
      <c r="AA356" s="9">
        <v>105</v>
      </c>
      <c r="AB356" s="9">
        <v>0</v>
      </c>
      <c r="AC356" s="9">
        <v>0</v>
      </c>
      <c r="AD356" s="53" t="e">
        <f>#REF!*D356</f>
        <v>#REF!</v>
      </c>
      <c r="AE356" s="53" t="e">
        <f>AD356-#REF!</f>
        <v>#REF!</v>
      </c>
      <c r="AF356" s="9"/>
      <c r="AG356" s="33" t="e">
        <f>#REF!-D356</f>
        <v>#REF!</v>
      </c>
      <c r="AH356" s="9"/>
      <c r="AI356" s="9"/>
      <c r="AJ356" s="9"/>
      <c r="AK356" s="9"/>
    </row>
    <row r="357" spans="1:37" s="12" customFormat="1" ht="33" outlineLevel="1" x14ac:dyDescent="0.2">
      <c r="A357" s="61" t="s">
        <v>592</v>
      </c>
      <c r="B357" s="14" t="s">
        <v>1039</v>
      </c>
      <c r="C357" s="9" t="s">
        <v>48</v>
      </c>
      <c r="D357" s="25">
        <f t="shared" si="118"/>
        <v>420</v>
      </c>
      <c r="E357" s="54"/>
      <c r="F357" s="9"/>
      <c r="G357" s="33">
        <v>0</v>
      </c>
      <c r="H357" s="33">
        <f>100</f>
        <v>100</v>
      </c>
      <c r="I357" s="9">
        <v>0</v>
      </c>
      <c r="J357" s="9">
        <v>0</v>
      </c>
      <c r="K357" s="9">
        <v>0</v>
      </c>
      <c r="L357" s="9">
        <v>0</v>
      </c>
      <c r="M357" s="9">
        <v>0</v>
      </c>
      <c r="N357" s="9">
        <v>0</v>
      </c>
      <c r="O357" s="9">
        <v>0</v>
      </c>
      <c r="P357" s="9">
        <v>0</v>
      </c>
      <c r="Q357" s="9">
        <f>40</f>
        <v>40</v>
      </c>
      <c r="R357" s="9">
        <f>30</f>
        <v>30</v>
      </c>
      <c r="S357" s="9">
        <v>0</v>
      </c>
      <c r="T357" s="9">
        <v>0</v>
      </c>
      <c r="U357" s="33">
        <v>0</v>
      </c>
      <c r="V357" s="9">
        <v>0</v>
      </c>
      <c r="W357" s="9">
        <v>0</v>
      </c>
      <c r="X357" s="9">
        <v>155</v>
      </c>
      <c r="Y357" s="9">
        <v>95</v>
      </c>
      <c r="Z357" s="9">
        <v>0</v>
      </c>
      <c r="AA357" s="9">
        <v>0</v>
      </c>
      <c r="AB357" s="9">
        <v>0</v>
      </c>
      <c r="AC357" s="9">
        <v>0</v>
      </c>
      <c r="AD357" s="53" t="e">
        <f>#REF!*D357</f>
        <v>#REF!</v>
      </c>
      <c r="AE357" s="53" t="e">
        <f>AD357-#REF!</f>
        <v>#REF!</v>
      </c>
      <c r="AF357" s="9"/>
      <c r="AG357" s="33" t="e">
        <f>#REF!-D357</f>
        <v>#REF!</v>
      </c>
      <c r="AH357" s="9"/>
      <c r="AI357" s="9"/>
      <c r="AJ357" s="9"/>
      <c r="AK357" s="9"/>
    </row>
    <row r="358" spans="1:37" s="12" customFormat="1" ht="33" outlineLevel="1" x14ac:dyDescent="0.2">
      <c r="A358" s="61" t="s">
        <v>593</v>
      </c>
      <c r="B358" s="14" t="s">
        <v>1040</v>
      </c>
      <c r="C358" s="9" t="s">
        <v>48</v>
      </c>
      <c r="D358" s="25">
        <f t="shared" si="118"/>
        <v>200</v>
      </c>
      <c r="E358" s="54"/>
      <c r="F358" s="9"/>
      <c r="G358" s="33">
        <v>0</v>
      </c>
      <c r="H358" s="33">
        <v>0</v>
      </c>
      <c r="I358" s="9">
        <v>155</v>
      </c>
      <c r="J358" s="9">
        <v>0</v>
      </c>
      <c r="K358" s="9">
        <v>0</v>
      </c>
      <c r="L358" s="9">
        <v>0</v>
      </c>
      <c r="M358" s="9">
        <v>0</v>
      </c>
      <c r="N358" s="9">
        <v>0</v>
      </c>
      <c r="O358" s="9">
        <v>0</v>
      </c>
      <c r="P358" s="9">
        <v>0</v>
      </c>
      <c r="Q358" s="9">
        <v>0</v>
      </c>
      <c r="R358" s="9">
        <v>45</v>
      </c>
      <c r="S358" s="9">
        <v>0</v>
      </c>
      <c r="T358" s="9">
        <v>0</v>
      </c>
      <c r="U358" s="33">
        <v>0</v>
      </c>
      <c r="V358" s="9">
        <v>0</v>
      </c>
      <c r="W358" s="9">
        <v>0</v>
      </c>
      <c r="X358" s="9">
        <v>0</v>
      </c>
      <c r="Y358" s="9">
        <v>0</v>
      </c>
      <c r="Z358" s="9">
        <v>0</v>
      </c>
      <c r="AA358" s="9">
        <v>0</v>
      </c>
      <c r="AB358" s="9">
        <v>0</v>
      </c>
      <c r="AC358" s="9">
        <v>0</v>
      </c>
      <c r="AD358" s="53" t="e">
        <f>#REF!*D358</f>
        <v>#REF!</v>
      </c>
      <c r="AE358" s="53" t="e">
        <f>AD358-#REF!</f>
        <v>#REF!</v>
      </c>
      <c r="AF358" s="9"/>
      <c r="AG358" s="33" t="e">
        <f>#REF!-D358</f>
        <v>#REF!</v>
      </c>
      <c r="AH358" s="9"/>
      <c r="AI358" s="9"/>
      <c r="AJ358" s="9"/>
      <c r="AK358" s="9"/>
    </row>
    <row r="359" spans="1:37" s="12" customFormat="1" ht="33" outlineLevel="1" x14ac:dyDescent="0.2">
      <c r="A359" s="61" t="s">
        <v>594</v>
      </c>
      <c r="B359" s="14" t="s">
        <v>1041</v>
      </c>
      <c r="C359" s="9" t="s">
        <v>48</v>
      </c>
      <c r="D359" s="25">
        <f t="shared" si="118"/>
        <v>340</v>
      </c>
      <c r="E359" s="54"/>
      <c r="F359" s="9"/>
      <c r="G359" s="33">
        <v>0</v>
      </c>
      <c r="H359" s="33">
        <v>0</v>
      </c>
      <c r="I359" s="9">
        <v>200</v>
      </c>
      <c r="J359" s="9">
        <v>0</v>
      </c>
      <c r="K359" s="9">
        <v>140</v>
      </c>
      <c r="L359" s="9">
        <v>0</v>
      </c>
      <c r="M359" s="9">
        <v>0</v>
      </c>
      <c r="N359" s="9">
        <v>0</v>
      </c>
      <c r="O359" s="9">
        <v>0</v>
      </c>
      <c r="P359" s="9">
        <v>0</v>
      </c>
      <c r="Q359" s="9">
        <v>0</v>
      </c>
      <c r="R359" s="9">
        <v>0</v>
      </c>
      <c r="S359" s="9">
        <v>0</v>
      </c>
      <c r="T359" s="9">
        <v>0</v>
      </c>
      <c r="U359" s="33">
        <v>0</v>
      </c>
      <c r="V359" s="9">
        <v>0</v>
      </c>
      <c r="W359" s="9">
        <v>0</v>
      </c>
      <c r="X359" s="9">
        <v>0</v>
      </c>
      <c r="Y359" s="9">
        <v>0</v>
      </c>
      <c r="Z359" s="9">
        <v>0</v>
      </c>
      <c r="AA359" s="9">
        <v>0</v>
      </c>
      <c r="AB359" s="9">
        <v>0</v>
      </c>
      <c r="AC359" s="9">
        <v>0</v>
      </c>
      <c r="AD359" s="53" t="e">
        <f>#REF!*D359</f>
        <v>#REF!</v>
      </c>
      <c r="AE359" s="53" t="e">
        <f>AD359-#REF!</f>
        <v>#REF!</v>
      </c>
      <c r="AF359" s="9"/>
      <c r="AG359" s="33" t="e">
        <f>#REF!-D359</f>
        <v>#REF!</v>
      </c>
      <c r="AH359" s="9"/>
      <c r="AI359" s="9"/>
      <c r="AJ359" s="9"/>
      <c r="AK359" s="9"/>
    </row>
    <row r="360" spans="1:37" s="12" customFormat="1" ht="33" outlineLevel="1" x14ac:dyDescent="0.2">
      <c r="A360" s="61" t="s">
        <v>595</v>
      </c>
      <c r="B360" s="14" t="s">
        <v>1042</v>
      </c>
      <c r="C360" s="9" t="s">
        <v>48</v>
      </c>
      <c r="D360" s="25">
        <f t="shared" si="118"/>
        <v>410</v>
      </c>
      <c r="E360" s="54"/>
      <c r="F360" s="9"/>
      <c r="G360" s="33">
        <v>0</v>
      </c>
      <c r="H360" s="33">
        <v>20</v>
      </c>
      <c r="I360" s="9">
        <v>230</v>
      </c>
      <c r="J360" s="9">
        <v>0</v>
      </c>
      <c r="K360" s="9">
        <v>0</v>
      </c>
      <c r="L360" s="9">
        <v>130</v>
      </c>
      <c r="M360" s="9">
        <v>0</v>
      </c>
      <c r="N360" s="9">
        <v>0</v>
      </c>
      <c r="O360" s="9">
        <v>0</v>
      </c>
      <c r="P360" s="9">
        <v>0</v>
      </c>
      <c r="Q360" s="9">
        <v>0</v>
      </c>
      <c r="R360" s="9">
        <v>30</v>
      </c>
      <c r="S360" s="9">
        <v>0</v>
      </c>
      <c r="T360" s="9">
        <v>0</v>
      </c>
      <c r="U360" s="33">
        <v>0</v>
      </c>
      <c r="V360" s="9">
        <v>0</v>
      </c>
      <c r="W360" s="9">
        <v>0</v>
      </c>
      <c r="X360" s="9">
        <v>0</v>
      </c>
      <c r="Y360" s="9">
        <v>0</v>
      </c>
      <c r="Z360" s="9">
        <v>0</v>
      </c>
      <c r="AA360" s="9">
        <v>0</v>
      </c>
      <c r="AB360" s="9">
        <v>0</v>
      </c>
      <c r="AC360" s="9">
        <v>0</v>
      </c>
      <c r="AD360" s="53" t="e">
        <f>#REF!*D360</f>
        <v>#REF!</v>
      </c>
      <c r="AE360" s="53" t="e">
        <f>AD360-#REF!</f>
        <v>#REF!</v>
      </c>
      <c r="AF360" s="9"/>
      <c r="AG360" s="33" t="e">
        <f>#REF!-D360</f>
        <v>#REF!</v>
      </c>
      <c r="AH360" s="9"/>
      <c r="AI360" s="9"/>
      <c r="AJ360" s="9"/>
      <c r="AK360" s="9"/>
    </row>
    <row r="361" spans="1:37" s="12" customFormat="1" ht="33" outlineLevel="1" x14ac:dyDescent="0.2">
      <c r="A361" s="61" t="s">
        <v>596</v>
      </c>
      <c r="B361" s="14" t="s">
        <v>1043</v>
      </c>
      <c r="C361" s="9" t="s">
        <v>48</v>
      </c>
      <c r="D361" s="25">
        <f t="shared" si="118"/>
        <v>425</v>
      </c>
      <c r="E361" s="54"/>
      <c r="F361" s="9"/>
      <c r="G361" s="33">
        <v>0</v>
      </c>
      <c r="H361" s="33">
        <v>0</v>
      </c>
      <c r="I361" s="9">
        <v>0</v>
      </c>
      <c r="J361" s="9">
        <v>0</v>
      </c>
      <c r="K361" s="9">
        <v>0</v>
      </c>
      <c r="L361" s="9">
        <v>120</v>
      </c>
      <c r="M361" s="9">
        <v>0</v>
      </c>
      <c r="N361" s="9">
        <v>0</v>
      </c>
      <c r="O361" s="9">
        <v>0</v>
      </c>
      <c r="P361" s="9">
        <v>0</v>
      </c>
      <c r="Q361" s="9">
        <v>0</v>
      </c>
      <c r="R361" s="9">
        <v>0</v>
      </c>
      <c r="S361" s="9">
        <v>0</v>
      </c>
      <c r="T361" s="9">
        <v>0</v>
      </c>
      <c r="U361" s="33">
        <v>0</v>
      </c>
      <c r="V361" s="9">
        <v>0</v>
      </c>
      <c r="W361" s="9">
        <v>0</v>
      </c>
      <c r="X361" s="9">
        <v>305</v>
      </c>
      <c r="Y361" s="9">
        <v>0</v>
      </c>
      <c r="Z361" s="9">
        <v>0</v>
      </c>
      <c r="AA361" s="9">
        <v>0</v>
      </c>
      <c r="AB361" s="9">
        <v>0</v>
      </c>
      <c r="AC361" s="9">
        <v>0</v>
      </c>
      <c r="AD361" s="53" t="e">
        <f>#REF!*D361</f>
        <v>#REF!</v>
      </c>
      <c r="AE361" s="53" t="e">
        <f>AD361-#REF!</f>
        <v>#REF!</v>
      </c>
      <c r="AF361" s="9"/>
      <c r="AG361" s="33" t="e">
        <f>#REF!-D361</f>
        <v>#REF!</v>
      </c>
      <c r="AH361" s="9"/>
      <c r="AI361" s="9"/>
      <c r="AJ361" s="9"/>
      <c r="AK361" s="9"/>
    </row>
    <row r="362" spans="1:37" s="12" customFormat="1" ht="33" outlineLevel="1" x14ac:dyDescent="0.2">
      <c r="A362" s="61" t="s">
        <v>597</v>
      </c>
      <c r="B362" s="14" t="s">
        <v>1044</v>
      </c>
      <c r="C362" s="9" t="s">
        <v>48</v>
      </c>
      <c r="D362" s="25">
        <f t="shared" si="118"/>
        <v>120</v>
      </c>
      <c r="E362" s="54"/>
      <c r="F362" s="9"/>
      <c r="G362" s="33">
        <v>0</v>
      </c>
      <c r="H362" s="33">
        <v>0</v>
      </c>
      <c r="I362" s="9">
        <v>0</v>
      </c>
      <c r="J362" s="9">
        <v>0</v>
      </c>
      <c r="K362" s="9">
        <v>0</v>
      </c>
      <c r="L362" s="9">
        <v>0</v>
      </c>
      <c r="M362" s="9">
        <v>0</v>
      </c>
      <c r="N362" s="9">
        <v>0</v>
      </c>
      <c r="O362" s="9">
        <v>0</v>
      </c>
      <c r="P362" s="9">
        <v>0</v>
      </c>
      <c r="Q362" s="9">
        <v>0</v>
      </c>
      <c r="R362" s="9">
        <v>120</v>
      </c>
      <c r="S362" s="9">
        <v>0</v>
      </c>
      <c r="T362" s="9">
        <v>0</v>
      </c>
      <c r="U362" s="33">
        <v>0</v>
      </c>
      <c r="V362" s="9">
        <v>0</v>
      </c>
      <c r="W362" s="9">
        <v>0</v>
      </c>
      <c r="X362" s="9">
        <v>0</v>
      </c>
      <c r="Y362" s="9">
        <v>0</v>
      </c>
      <c r="Z362" s="9">
        <v>0</v>
      </c>
      <c r="AA362" s="9">
        <v>0</v>
      </c>
      <c r="AB362" s="9">
        <v>0</v>
      </c>
      <c r="AC362" s="9">
        <v>0</v>
      </c>
      <c r="AD362" s="53" t="e">
        <f>#REF!*D362</f>
        <v>#REF!</v>
      </c>
      <c r="AE362" s="53" t="e">
        <f>AD362-#REF!</f>
        <v>#REF!</v>
      </c>
      <c r="AF362" s="9"/>
      <c r="AG362" s="33" t="e">
        <f>#REF!-D362</f>
        <v>#REF!</v>
      </c>
      <c r="AH362" s="9"/>
      <c r="AI362" s="9"/>
      <c r="AJ362" s="9"/>
      <c r="AK362" s="9"/>
    </row>
    <row r="363" spans="1:37" s="12" customFormat="1" ht="33" outlineLevel="1" x14ac:dyDescent="0.2">
      <c r="A363" s="61" t="s">
        <v>598</v>
      </c>
      <c r="B363" s="14" t="s">
        <v>1045</v>
      </c>
      <c r="C363" s="9" t="s">
        <v>48</v>
      </c>
      <c r="D363" s="25">
        <f t="shared" si="118"/>
        <v>1170</v>
      </c>
      <c r="E363" s="54"/>
      <c r="F363" s="9"/>
      <c r="G363" s="33">
        <v>0</v>
      </c>
      <c r="H363" s="33">
        <f>1160-770</f>
        <v>390</v>
      </c>
      <c r="I363" s="9">
        <v>0</v>
      </c>
      <c r="J363" s="9">
        <v>0</v>
      </c>
      <c r="K363" s="9">
        <v>0</v>
      </c>
      <c r="L363" s="9">
        <v>0</v>
      </c>
      <c r="M363" s="9">
        <v>0</v>
      </c>
      <c r="N363" s="9">
        <v>0</v>
      </c>
      <c r="O363" s="9">
        <v>0</v>
      </c>
      <c r="P363" s="9">
        <v>0</v>
      </c>
      <c r="Q363" s="9">
        <v>0</v>
      </c>
      <c r="R363" s="9">
        <v>0</v>
      </c>
      <c r="S363" s="9">
        <v>0</v>
      </c>
      <c r="T363" s="9">
        <v>0</v>
      </c>
      <c r="U363" s="33">
        <v>770</v>
      </c>
      <c r="V363" s="9">
        <v>0</v>
      </c>
      <c r="W363" s="9">
        <v>0</v>
      </c>
      <c r="X363" s="9">
        <v>10</v>
      </c>
      <c r="Y363" s="9">
        <v>0</v>
      </c>
      <c r="Z363" s="9">
        <v>0</v>
      </c>
      <c r="AA363" s="9">
        <v>0</v>
      </c>
      <c r="AB363" s="9">
        <v>0</v>
      </c>
      <c r="AC363" s="9">
        <v>0</v>
      </c>
      <c r="AD363" s="53" t="e">
        <f>#REF!*D363</f>
        <v>#REF!</v>
      </c>
      <c r="AE363" s="53" t="e">
        <f>AD363-#REF!</f>
        <v>#REF!</v>
      </c>
      <c r="AF363" s="9"/>
      <c r="AG363" s="33" t="e">
        <f>#REF!-D363</f>
        <v>#REF!</v>
      </c>
      <c r="AH363" s="9"/>
      <c r="AI363" s="9"/>
      <c r="AJ363" s="9"/>
      <c r="AK363" s="9"/>
    </row>
    <row r="364" spans="1:37" s="12" customFormat="1" ht="33" outlineLevel="1" x14ac:dyDescent="0.2">
      <c r="A364" s="61" t="s">
        <v>599</v>
      </c>
      <c r="B364" s="14" t="s">
        <v>1046</v>
      </c>
      <c r="C364" s="9" t="s">
        <v>48</v>
      </c>
      <c r="D364" s="25">
        <f t="shared" si="118"/>
        <v>9800</v>
      </c>
      <c r="E364" s="54"/>
      <c r="F364" s="9"/>
      <c r="G364" s="33">
        <v>0</v>
      </c>
      <c r="H364" s="33">
        <v>0</v>
      </c>
      <c r="I364" s="9">
        <v>0</v>
      </c>
      <c r="J364" s="9">
        <v>0</v>
      </c>
      <c r="K364" s="9">
        <v>0</v>
      </c>
      <c r="L364" s="9">
        <v>0</v>
      </c>
      <c r="M364" s="9">
        <v>0</v>
      </c>
      <c r="N364" s="9">
        <v>0</v>
      </c>
      <c r="O364" s="9">
        <v>5580</v>
      </c>
      <c r="P364" s="9">
        <v>4220</v>
      </c>
      <c r="Q364" s="9">
        <v>0</v>
      </c>
      <c r="R364" s="9">
        <v>0</v>
      </c>
      <c r="S364" s="9">
        <v>0</v>
      </c>
      <c r="T364" s="9">
        <v>0</v>
      </c>
      <c r="U364" s="33">
        <v>0</v>
      </c>
      <c r="V364" s="9">
        <v>0</v>
      </c>
      <c r="W364" s="9">
        <v>0</v>
      </c>
      <c r="X364" s="9">
        <v>0</v>
      </c>
      <c r="Y364" s="9">
        <v>0</v>
      </c>
      <c r="Z364" s="9">
        <v>0</v>
      </c>
      <c r="AA364" s="9">
        <v>0</v>
      </c>
      <c r="AB364" s="9">
        <v>0</v>
      </c>
      <c r="AC364" s="9">
        <v>0</v>
      </c>
      <c r="AD364" s="53" t="e">
        <f>#REF!*D364</f>
        <v>#REF!</v>
      </c>
      <c r="AE364" s="53" t="e">
        <f>AD364-#REF!</f>
        <v>#REF!</v>
      </c>
      <c r="AF364" s="9"/>
      <c r="AG364" s="33" t="e">
        <f>#REF!-D364</f>
        <v>#REF!</v>
      </c>
      <c r="AH364" s="9"/>
      <c r="AI364" s="9"/>
      <c r="AJ364" s="9"/>
      <c r="AK364" s="9"/>
    </row>
    <row r="365" spans="1:37" s="12" customFormat="1" ht="22.8" outlineLevel="1" x14ac:dyDescent="0.2">
      <c r="A365" s="61" t="s">
        <v>600</v>
      </c>
      <c r="B365" s="14" t="s">
        <v>1047</v>
      </c>
      <c r="C365" s="9" t="s">
        <v>48</v>
      </c>
      <c r="D365" s="25">
        <f t="shared" si="118"/>
        <v>330</v>
      </c>
      <c r="E365" s="54"/>
      <c r="F365" s="9"/>
      <c r="G365" s="33">
        <v>0</v>
      </c>
      <c r="H365" s="33">
        <v>0</v>
      </c>
      <c r="I365" s="9">
        <v>0</v>
      </c>
      <c r="J365" s="9">
        <v>0</v>
      </c>
      <c r="K365" s="9">
        <v>0</v>
      </c>
      <c r="L365" s="9">
        <v>0</v>
      </c>
      <c r="M365" s="9">
        <v>0</v>
      </c>
      <c r="N365" s="9">
        <v>0</v>
      </c>
      <c r="O365" s="9">
        <v>0</v>
      </c>
      <c r="P365" s="9">
        <v>0</v>
      </c>
      <c r="Q365" s="9">
        <v>330</v>
      </c>
      <c r="R365" s="9">
        <v>0</v>
      </c>
      <c r="S365" s="9">
        <v>0</v>
      </c>
      <c r="T365" s="9">
        <v>0</v>
      </c>
      <c r="U365" s="33">
        <v>0</v>
      </c>
      <c r="V365" s="9">
        <v>0</v>
      </c>
      <c r="W365" s="9">
        <v>0</v>
      </c>
      <c r="X365" s="9">
        <v>0</v>
      </c>
      <c r="Y365" s="9">
        <v>0</v>
      </c>
      <c r="Z365" s="9">
        <v>0</v>
      </c>
      <c r="AA365" s="9">
        <v>0</v>
      </c>
      <c r="AB365" s="9">
        <v>0</v>
      </c>
      <c r="AC365" s="9">
        <v>0</v>
      </c>
      <c r="AD365" s="53" t="e">
        <f>#REF!*D365</f>
        <v>#REF!</v>
      </c>
      <c r="AE365" s="53" t="e">
        <f>AD365-#REF!</f>
        <v>#REF!</v>
      </c>
      <c r="AF365" s="9"/>
      <c r="AG365" s="33" t="e">
        <f>#REF!-D365</f>
        <v>#REF!</v>
      </c>
      <c r="AH365" s="9"/>
      <c r="AI365" s="9"/>
      <c r="AJ365" s="9"/>
      <c r="AK365" s="9"/>
    </row>
    <row r="366" spans="1:37" s="12" customFormat="1" ht="22.8" outlineLevel="1" x14ac:dyDescent="0.2">
      <c r="A366" s="61" t="s">
        <v>601</v>
      </c>
      <c r="B366" s="14" t="s">
        <v>1048</v>
      </c>
      <c r="C366" s="9" t="s">
        <v>48</v>
      </c>
      <c r="D366" s="25">
        <f t="shared" si="118"/>
        <v>5115</v>
      </c>
      <c r="E366" s="54"/>
      <c r="F366" s="9"/>
      <c r="G366" s="33">
        <v>0</v>
      </c>
      <c r="H366" s="33">
        <f>140+165</f>
        <v>305</v>
      </c>
      <c r="I366" s="9">
        <v>0</v>
      </c>
      <c r="J366" s="9">
        <v>380</v>
      </c>
      <c r="K366" s="9">
        <v>975</v>
      </c>
      <c r="L366" s="9">
        <v>0</v>
      </c>
      <c r="M366" s="9">
        <v>185</v>
      </c>
      <c r="N366" s="9">
        <v>200</v>
      </c>
      <c r="O366" s="9">
        <v>0</v>
      </c>
      <c r="P366" s="9">
        <v>0</v>
      </c>
      <c r="Q366" s="9">
        <v>0</v>
      </c>
      <c r="R366" s="9">
        <v>1690</v>
      </c>
      <c r="S366" s="9">
        <v>0</v>
      </c>
      <c r="T366" s="9">
        <v>0</v>
      </c>
      <c r="U366" s="33">
        <f>245*4</f>
        <v>980</v>
      </c>
      <c r="V366" s="9">
        <v>0</v>
      </c>
      <c r="W366" s="9">
        <v>0</v>
      </c>
      <c r="X366" s="9">
        <v>0</v>
      </c>
      <c r="Y366" s="9">
        <v>0</v>
      </c>
      <c r="Z366" s="9">
        <f>100*4</f>
        <v>400</v>
      </c>
      <c r="AA366" s="9">
        <v>0</v>
      </c>
      <c r="AB366" s="9">
        <v>0</v>
      </c>
      <c r="AC366" s="9">
        <v>0</v>
      </c>
      <c r="AD366" s="53" t="e">
        <f>#REF!*D366</f>
        <v>#REF!</v>
      </c>
      <c r="AE366" s="53" t="e">
        <f>AD366-#REF!</f>
        <v>#REF!</v>
      </c>
      <c r="AF366" s="9"/>
      <c r="AG366" s="33" t="e">
        <f>#REF!-D366</f>
        <v>#REF!</v>
      </c>
      <c r="AH366" s="9"/>
      <c r="AI366" s="9"/>
      <c r="AJ366" s="9"/>
      <c r="AK366" s="9"/>
    </row>
    <row r="367" spans="1:37" s="12" customFormat="1" ht="22.8" outlineLevel="1" x14ac:dyDescent="0.2">
      <c r="A367" s="61" t="s">
        <v>602</v>
      </c>
      <c r="B367" s="14" t="s">
        <v>1049</v>
      </c>
      <c r="C367" s="9" t="s">
        <v>48</v>
      </c>
      <c r="D367" s="25">
        <f t="shared" si="118"/>
        <v>4025</v>
      </c>
      <c r="E367" s="54"/>
      <c r="F367" s="9"/>
      <c r="G367" s="33">
        <v>0</v>
      </c>
      <c r="H367" s="33">
        <v>130</v>
      </c>
      <c r="I367" s="9">
        <v>575</v>
      </c>
      <c r="J367" s="9">
        <v>360</v>
      </c>
      <c r="K367" s="9">
        <v>0</v>
      </c>
      <c r="L367" s="9">
        <f>145*4</f>
        <v>580</v>
      </c>
      <c r="M367" s="9">
        <f>105*4</f>
        <v>420</v>
      </c>
      <c r="N367" s="9">
        <f>110*4</f>
        <v>440</v>
      </c>
      <c r="O367" s="9">
        <f>210*4</f>
        <v>840</v>
      </c>
      <c r="P367" s="9">
        <f>170*4</f>
        <v>680</v>
      </c>
      <c r="Q367" s="9">
        <v>0</v>
      </c>
      <c r="R367" s="9">
        <v>0</v>
      </c>
      <c r="S367" s="9">
        <v>0</v>
      </c>
      <c r="T367" s="9">
        <v>0</v>
      </c>
      <c r="U367" s="33">
        <v>0</v>
      </c>
      <c r="V367" s="9">
        <v>0</v>
      </c>
      <c r="W367" s="9">
        <v>0</v>
      </c>
      <c r="X367" s="9">
        <v>0</v>
      </c>
      <c r="Y367" s="9">
        <v>0</v>
      </c>
      <c r="Z367" s="9">
        <v>0</v>
      </c>
      <c r="AA367" s="9">
        <v>0</v>
      </c>
      <c r="AB367" s="9">
        <v>0</v>
      </c>
      <c r="AC367" s="9">
        <v>0</v>
      </c>
      <c r="AD367" s="53" t="e">
        <f>#REF!*D367</f>
        <v>#REF!</v>
      </c>
      <c r="AE367" s="53" t="e">
        <f>AD367-#REF!</f>
        <v>#REF!</v>
      </c>
      <c r="AF367" s="9"/>
      <c r="AG367" s="33" t="e">
        <f>#REF!-D367</f>
        <v>#REF!</v>
      </c>
      <c r="AH367" s="9"/>
      <c r="AI367" s="9"/>
      <c r="AJ367" s="9"/>
      <c r="AK367" s="9"/>
    </row>
    <row r="368" spans="1:37" s="12" customFormat="1" ht="22.8" outlineLevel="1" x14ac:dyDescent="0.2">
      <c r="A368" s="61" t="s">
        <v>603</v>
      </c>
      <c r="B368" s="14" t="s">
        <v>1050</v>
      </c>
      <c r="C368" s="9" t="s">
        <v>48</v>
      </c>
      <c r="D368" s="25">
        <f t="shared" si="118"/>
        <v>2930</v>
      </c>
      <c r="E368" s="54"/>
      <c r="F368" s="9"/>
      <c r="G368" s="33">
        <v>0</v>
      </c>
      <c r="H368" s="33">
        <f>130*4</f>
        <v>520</v>
      </c>
      <c r="I368" s="9">
        <v>0</v>
      </c>
      <c r="J368" s="9">
        <f>410-180</f>
        <v>230</v>
      </c>
      <c r="K368" s="9">
        <v>0</v>
      </c>
      <c r="L368" s="9">
        <v>0</v>
      </c>
      <c r="M368" s="9">
        <v>0</v>
      </c>
      <c r="N368" s="9">
        <v>0</v>
      </c>
      <c r="O368" s="9">
        <v>0</v>
      </c>
      <c r="P368" s="9">
        <v>0</v>
      </c>
      <c r="Q368" s="9">
        <v>0</v>
      </c>
      <c r="R368" s="9">
        <v>0</v>
      </c>
      <c r="S368" s="9">
        <v>0</v>
      </c>
      <c r="T368" s="9">
        <v>0</v>
      </c>
      <c r="U368" s="33">
        <v>0</v>
      </c>
      <c r="V368" s="9">
        <f>145*4</f>
        <v>580</v>
      </c>
      <c r="W368" s="9">
        <f>105*4</f>
        <v>420</v>
      </c>
      <c r="X368" s="9">
        <f>90*4</f>
        <v>360</v>
      </c>
      <c r="Y368" s="9">
        <v>0</v>
      </c>
      <c r="Z368" s="9">
        <f>100*4</f>
        <v>400</v>
      </c>
      <c r="AA368" s="9">
        <f>105*4</f>
        <v>420</v>
      </c>
      <c r="AB368" s="9">
        <v>0</v>
      </c>
      <c r="AC368" s="9">
        <v>0</v>
      </c>
      <c r="AD368" s="53" t="e">
        <f>#REF!*D368</f>
        <v>#REF!</v>
      </c>
      <c r="AE368" s="53" t="e">
        <f>AD368-#REF!</f>
        <v>#REF!</v>
      </c>
      <c r="AF368" s="9"/>
      <c r="AG368" s="33" t="e">
        <f>#REF!-D368</f>
        <v>#REF!</v>
      </c>
      <c r="AH368" s="9"/>
      <c r="AI368" s="9"/>
      <c r="AJ368" s="9"/>
      <c r="AK368" s="9"/>
    </row>
    <row r="369" spans="1:37" s="12" customFormat="1" ht="22.8" outlineLevel="1" x14ac:dyDescent="0.2">
      <c r="A369" s="61" t="s">
        <v>604</v>
      </c>
      <c r="B369" s="14" t="s">
        <v>1051</v>
      </c>
      <c r="C369" s="9" t="s">
        <v>48</v>
      </c>
      <c r="D369" s="25">
        <f t="shared" si="118"/>
        <v>1660</v>
      </c>
      <c r="E369" s="54"/>
      <c r="F369" s="9"/>
      <c r="G369" s="33">
        <v>0</v>
      </c>
      <c r="H369" s="33">
        <v>390</v>
      </c>
      <c r="I369" s="9">
        <v>0</v>
      </c>
      <c r="J369" s="9">
        <v>0</v>
      </c>
      <c r="K369" s="9">
        <v>0</v>
      </c>
      <c r="L369" s="9">
        <v>0</v>
      </c>
      <c r="M369" s="9">
        <v>0</v>
      </c>
      <c r="N369" s="9">
        <v>0</v>
      </c>
      <c r="O369" s="9">
        <v>0</v>
      </c>
      <c r="P369" s="9">
        <v>0</v>
      </c>
      <c r="Q369" s="9">
        <v>160</v>
      </c>
      <c r="R369" s="9">
        <v>110</v>
      </c>
      <c r="S369" s="9">
        <v>0</v>
      </c>
      <c r="T369" s="9">
        <v>0</v>
      </c>
      <c r="U369" s="33">
        <v>0</v>
      </c>
      <c r="V369" s="9">
        <v>0</v>
      </c>
      <c r="W369" s="9">
        <v>0</v>
      </c>
      <c r="X369" s="9">
        <f>155*4</f>
        <v>620</v>
      </c>
      <c r="Y369" s="9">
        <f>95*4</f>
        <v>380</v>
      </c>
      <c r="Z369" s="9">
        <v>0</v>
      </c>
      <c r="AA369" s="9">
        <v>0</v>
      </c>
      <c r="AB369" s="9">
        <v>0</v>
      </c>
      <c r="AC369" s="9">
        <v>0</v>
      </c>
      <c r="AD369" s="53" t="e">
        <f>#REF!*D369</f>
        <v>#REF!</v>
      </c>
      <c r="AE369" s="53" t="e">
        <f>AD369-#REF!</f>
        <v>#REF!</v>
      </c>
      <c r="AF369" s="9"/>
      <c r="AG369" s="33" t="e">
        <f>#REF!-D369</f>
        <v>#REF!</v>
      </c>
      <c r="AH369" s="9"/>
      <c r="AI369" s="9"/>
      <c r="AJ369" s="9"/>
      <c r="AK369" s="9"/>
    </row>
    <row r="370" spans="1:37" s="12" customFormat="1" ht="22.8" outlineLevel="1" x14ac:dyDescent="0.2">
      <c r="A370" s="61" t="s">
        <v>605</v>
      </c>
      <c r="B370" s="14" t="s">
        <v>1052</v>
      </c>
      <c r="C370" s="9" t="s">
        <v>48</v>
      </c>
      <c r="D370" s="25">
        <f t="shared" si="118"/>
        <v>765</v>
      </c>
      <c r="E370" s="54"/>
      <c r="F370" s="9"/>
      <c r="G370" s="33">
        <v>0</v>
      </c>
      <c r="H370" s="33">
        <v>0</v>
      </c>
      <c r="I370" s="9">
        <v>620</v>
      </c>
      <c r="J370" s="9">
        <v>0</v>
      </c>
      <c r="K370" s="9">
        <v>0</v>
      </c>
      <c r="L370" s="9">
        <v>0</v>
      </c>
      <c r="M370" s="9">
        <v>0</v>
      </c>
      <c r="N370" s="9">
        <v>0</v>
      </c>
      <c r="O370" s="9">
        <v>0</v>
      </c>
      <c r="P370" s="9">
        <v>0</v>
      </c>
      <c r="Q370" s="9">
        <v>0</v>
      </c>
      <c r="R370" s="9">
        <v>145</v>
      </c>
      <c r="S370" s="9">
        <v>0</v>
      </c>
      <c r="T370" s="9">
        <v>0</v>
      </c>
      <c r="U370" s="33">
        <v>0</v>
      </c>
      <c r="V370" s="33">
        <v>0</v>
      </c>
      <c r="W370" s="33">
        <v>0</v>
      </c>
      <c r="X370" s="33">
        <v>0</v>
      </c>
      <c r="Y370" s="33">
        <v>0</v>
      </c>
      <c r="Z370" s="33">
        <v>0</v>
      </c>
      <c r="AA370" s="33">
        <v>0</v>
      </c>
      <c r="AB370" s="33">
        <v>0</v>
      </c>
      <c r="AC370" s="9">
        <v>0</v>
      </c>
      <c r="AD370" s="53" t="e">
        <f>#REF!*D370</f>
        <v>#REF!</v>
      </c>
      <c r="AE370" s="53" t="e">
        <f>AD370-#REF!</f>
        <v>#REF!</v>
      </c>
      <c r="AF370" s="9"/>
      <c r="AG370" s="33" t="e">
        <f>#REF!-D370</f>
        <v>#REF!</v>
      </c>
      <c r="AH370" s="9"/>
      <c r="AI370" s="9"/>
      <c r="AJ370" s="9"/>
      <c r="AK370" s="9"/>
    </row>
    <row r="371" spans="1:37" s="128" customFormat="1" ht="22.5" customHeight="1" outlineLevel="1" x14ac:dyDescent="0.2">
      <c r="A371" s="61" t="s">
        <v>606</v>
      </c>
      <c r="B371" s="47" t="s">
        <v>1053</v>
      </c>
      <c r="C371" s="9" t="s">
        <v>48</v>
      </c>
      <c r="D371" s="25">
        <f t="shared" si="118"/>
        <v>1335</v>
      </c>
      <c r="E371" s="54"/>
      <c r="F371" s="126"/>
      <c r="G371" s="127">
        <v>0</v>
      </c>
      <c r="H371" s="127">
        <v>0</v>
      </c>
      <c r="I371" s="126">
        <v>770</v>
      </c>
      <c r="J371" s="126">
        <f>0</f>
        <v>0</v>
      </c>
      <c r="K371" s="126">
        <v>565</v>
      </c>
      <c r="L371" s="126">
        <v>0</v>
      </c>
      <c r="M371" s="126">
        <v>0</v>
      </c>
      <c r="N371" s="126">
        <v>0</v>
      </c>
      <c r="O371" s="126">
        <v>0</v>
      </c>
      <c r="P371" s="126">
        <v>0</v>
      </c>
      <c r="Q371" s="126">
        <v>0</v>
      </c>
      <c r="R371" s="126">
        <v>0</v>
      </c>
      <c r="S371" s="126">
        <v>0</v>
      </c>
      <c r="T371" s="126">
        <v>0</v>
      </c>
      <c r="U371" s="33">
        <v>0</v>
      </c>
      <c r="V371" s="33">
        <v>0</v>
      </c>
      <c r="W371" s="33">
        <f>0</f>
        <v>0</v>
      </c>
      <c r="X371" s="33">
        <v>0</v>
      </c>
      <c r="Y371" s="33">
        <v>0</v>
      </c>
      <c r="Z371" s="33">
        <v>0</v>
      </c>
      <c r="AA371" s="33">
        <v>0</v>
      </c>
      <c r="AB371" s="33">
        <v>0</v>
      </c>
      <c r="AC371" s="9">
        <v>0</v>
      </c>
      <c r="AD371" s="53" t="e">
        <f>#REF!*D371</f>
        <v>#REF!</v>
      </c>
      <c r="AE371" s="53" t="e">
        <f>AD371-#REF!</f>
        <v>#REF!</v>
      </c>
      <c r="AF371" s="126"/>
      <c r="AG371" s="33" t="e">
        <f>#REF!-D371</f>
        <v>#REF!</v>
      </c>
      <c r="AH371" s="126"/>
      <c r="AI371" s="126"/>
      <c r="AJ371" s="126"/>
      <c r="AK371" s="126"/>
    </row>
    <row r="372" spans="1:37" s="128" customFormat="1" ht="22.5" customHeight="1" outlineLevel="1" x14ac:dyDescent="0.2">
      <c r="A372" s="61" t="s">
        <v>607</v>
      </c>
      <c r="B372" s="47" t="s">
        <v>1054</v>
      </c>
      <c r="C372" s="9" t="s">
        <v>48</v>
      </c>
      <c r="D372" s="25">
        <f t="shared" si="118"/>
        <v>80</v>
      </c>
      <c r="E372" s="54"/>
      <c r="F372" s="126"/>
      <c r="G372" s="127">
        <v>0</v>
      </c>
      <c r="H372" s="127">
        <v>80</v>
      </c>
      <c r="I372" s="126">
        <v>0</v>
      </c>
      <c r="J372" s="126">
        <v>0</v>
      </c>
      <c r="K372" s="126">
        <v>0</v>
      </c>
      <c r="L372" s="126">
        <v>0</v>
      </c>
      <c r="M372" s="126">
        <v>0</v>
      </c>
      <c r="N372" s="126">
        <v>0</v>
      </c>
      <c r="O372" s="126">
        <v>0</v>
      </c>
      <c r="P372" s="126">
        <v>0</v>
      </c>
      <c r="Q372" s="126">
        <v>0</v>
      </c>
      <c r="R372" s="126">
        <v>0</v>
      </c>
      <c r="S372" s="126">
        <v>0</v>
      </c>
      <c r="T372" s="126">
        <v>0</v>
      </c>
      <c r="U372" s="33">
        <v>0</v>
      </c>
      <c r="V372" s="33">
        <v>0</v>
      </c>
      <c r="W372" s="33">
        <v>0</v>
      </c>
      <c r="X372" s="33">
        <v>0</v>
      </c>
      <c r="Y372" s="33">
        <v>0</v>
      </c>
      <c r="Z372" s="33">
        <v>0</v>
      </c>
      <c r="AA372" s="33">
        <v>0</v>
      </c>
      <c r="AB372" s="33">
        <v>0</v>
      </c>
      <c r="AC372" s="9">
        <v>0</v>
      </c>
      <c r="AD372" s="53" t="e">
        <f>#REF!*D372</f>
        <v>#REF!</v>
      </c>
      <c r="AE372" s="53" t="e">
        <f>AD372-#REF!</f>
        <v>#REF!</v>
      </c>
      <c r="AF372" s="126"/>
      <c r="AG372" s="33" t="e">
        <f>#REF!-D372</f>
        <v>#REF!</v>
      </c>
      <c r="AH372" s="126"/>
      <c r="AI372" s="126"/>
      <c r="AJ372" s="126"/>
      <c r="AK372" s="126"/>
    </row>
    <row r="373" spans="1:37" s="128" customFormat="1" ht="22.5" customHeight="1" outlineLevel="1" x14ac:dyDescent="0.2">
      <c r="A373" s="61" t="s">
        <v>608</v>
      </c>
      <c r="B373" s="47" t="s">
        <v>1055</v>
      </c>
      <c r="C373" s="9" t="s">
        <v>48</v>
      </c>
      <c r="D373" s="25">
        <f t="shared" si="118"/>
        <v>1025</v>
      </c>
      <c r="E373" s="54"/>
      <c r="F373" s="126"/>
      <c r="G373" s="127">
        <v>0</v>
      </c>
      <c r="H373" s="127">
        <v>0</v>
      </c>
      <c r="I373" s="126">
        <v>915</v>
      </c>
      <c r="J373" s="126">
        <v>0</v>
      </c>
      <c r="K373" s="126">
        <v>0</v>
      </c>
      <c r="L373" s="126">
        <v>0</v>
      </c>
      <c r="M373" s="126">
        <v>0</v>
      </c>
      <c r="N373" s="126">
        <v>0</v>
      </c>
      <c r="O373" s="126">
        <v>0</v>
      </c>
      <c r="P373" s="126">
        <v>0</v>
      </c>
      <c r="Q373" s="126">
        <v>0</v>
      </c>
      <c r="R373" s="126">
        <v>110</v>
      </c>
      <c r="S373" s="126">
        <v>0</v>
      </c>
      <c r="T373" s="126">
        <v>0</v>
      </c>
      <c r="U373" s="33">
        <v>0</v>
      </c>
      <c r="V373" s="33">
        <v>0</v>
      </c>
      <c r="W373" s="33">
        <v>0</v>
      </c>
      <c r="X373" s="33">
        <v>0</v>
      </c>
      <c r="Y373" s="33">
        <v>0</v>
      </c>
      <c r="Z373" s="33">
        <v>0</v>
      </c>
      <c r="AA373" s="33">
        <v>0</v>
      </c>
      <c r="AB373" s="33">
        <v>0</v>
      </c>
      <c r="AC373" s="9">
        <v>0</v>
      </c>
      <c r="AD373" s="53" t="e">
        <f>#REF!*D373</f>
        <v>#REF!</v>
      </c>
      <c r="AE373" s="53" t="e">
        <f>AD373-#REF!</f>
        <v>#REF!</v>
      </c>
      <c r="AF373" s="126"/>
      <c r="AG373" s="33" t="e">
        <f>#REF!-D373</f>
        <v>#REF!</v>
      </c>
      <c r="AH373" s="126"/>
      <c r="AI373" s="126"/>
      <c r="AJ373" s="126"/>
      <c r="AK373" s="126"/>
    </row>
    <row r="374" spans="1:37" s="128" customFormat="1" ht="22.5" customHeight="1" outlineLevel="1" x14ac:dyDescent="0.2">
      <c r="A374" s="61" t="s">
        <v>609</v>
      </c>
      <c r="B374" s="47" t="s">
        <v>1056</v>
      </c>
      <c r="C374" s="9" t="s">
        <v>48</v>
      </c>
      <c r="D374" s="25">
        <f t="shared" si="118"/>
        <v>2155</v>
      </c>
      <c r="E374" s="54"/>
      <c r="F374" s="126"/>
      <c r="G374" s="127">
        <v>0</v>
      </c>
      <c r="H374" s="127">
        <v>0</v>
      </c>
      <c r="I374" s="126">
        <v>0</v>
      </c>
      <c r="J374" s="126">
        <v>0</v>
      </c>
      <c r="K374" s="126">
        <v>0</v>
      </c>
      <c r="L374" s="126">
        <v>0</v>
      </c>
      <c r="M374" s="126">
        <v>0</v>
      </c>
      <c r="N374" s="126">
        <v>0</v>
      </c>
      <c r="O374" s="126">
        <v>0</v>
      </c>
      <c r="P374" s="126">
        <v>0</v>
      </c>
      <c r="Q374" s="126">
        <v>0</v>
      </c>
      <c r="R374" s="126">
        <v>935</v>
      </c>
      <c r="S374" s="126">
        <v>0</v>
      </c>
      <c r="T374" s="126">
        <v>0</v>
      </c>
      <c r="U374" s="33">
        <v>0</v>
      </c>
      <c r="V374" s="33">
        <v>0</v>
      </c>
      <c r="W374" s="33">
        <v>0</v>
      </c>
      <c r="X374" s="33">
        <f>305*4</f>
        <v>1220</v>
      </c>
      <c r="Y374" s="33">
        <v>0</v>
      </c>
      <c r="Z374" s="33">
        <v>0</v>
      </c>
      <c r="AA374" s="33">
        <v>0</v>
      </c>
      <c r="AB374" s="33">
        <v>0</v>
      </c>
      <c r="AC374" s="9">
        <v>0</v>
      </c>
      <c r="AD374" s="53" t="e">
        <f>#REF!*D374</f>
        <v>#REF!</v>
      </c>
      <c r="AE374" s="53" t="e">
        <f>AD374-#REF!</f>
        <v>#REF!</v>
      </c>
      <c r="AF374" s="126"/>
      <c r="AG374" s="33" t="e">
        <f>#REF!-D374</f>
        <v>#REF!</v>
      </c>
      <c r="AH374" s="126"/>
      <c r="AI374" s="126"/>
      <c r="AJ374" s="126"/>
      <c r="AK374" s="126"/>
    </row>
    <row r="375" spans="1:37" s="12" customFormat="1" ht="20.399999999999999" outlineLevel="1" x14ac:dyDescent="0.2">
      <c r="A375" s="61" t="s">
        <v>610</v>
      </c>
      <c r="B375" s="14" t="s">
        <v>489</v>
      </c>
      <c r="C375" s="9" t="s">
        <v>48</v>
      </c>
      <c r="D375" s="25">
        <f t="shared" si="118"/>
        <v>100</v>
      </c>
      <c r="E375" s="54"/>
      <c r="F375" s="9"/>
      <c r="G375" s="33">
        <v>0</v>
      </c>
      <c r="H375" s="33">
        <v>0</v>
      </c>
      <c r="I375" s="9">
        <v>0</v>
      </c>
      <c r="J375" s="9">
        <v>0</v>
      </c>
      <c r="K375" s="9">
        <v>0</v>
      </c>
      <c r="L375" s="9">
        <v>0</v>
      </c>
      <c r="M375" s="9">
        <v>0</v>
      </c>
      <c r="N375" s="9">
        <v>0</v>
      </c>
      <c r="O375" s="9">
        <v>0</v>
      </c>
      <c r="P375" s="9">
        <v>0</v>
      </c>
      <c r="Q375" s="9">
        <v>0</v>
      </c>
      <c r="R375" s="9">
        <v>0</v>
      </c>
      <c r="S375" s="9">
        <v>0</v>
      </c>
      <c r="T375" s="9">
        <v>0</v>
      </c>
      <c r="U375" s="33">
        <v>100</v>
      </c>
      <c r="V375" s="33">
        <v>0</v>
      </c>
      <c r="W375" s="33">
        <v>0</v>
      </c>
      <c r="X375" s="33">
        <v>0</v>
      </c>
      <c r="Y375" s="33">
        <v>0</v>
      </c>
      <c r="Z375" s="33">
        <v>0</v>
      </c>
      <c r="AA375" s="33">
        <v>0</v>
      </c>
      <c r="AB375" s="33">
        <v>0</v>
      </c>
      <c r="AC375" s="9">
        <v>0</v>
      </c>
      <c r="AD375" s="53" t="e">
        <f>#REF!*D375</f>
        <v>#REF!</v>
      </c>
      <c r="AE375" s="53" t="e">
        <f>AD375-#REF!</f>
        <v>#REF!</v>
      </c>
      <c r="AF375" s="9"/>
      <c r="AG375" s="33" t="e">
        <f>#REF!-D375</f>
        <v>#REF!</v>
      </c>
      <c r="AH375" s="9"/>
      <c r="AI375" s="9"/>
      <c r="AJ375" s="9"/>
      <c r="AK375" s="9"/>
    </row>
    <row r="376" spans="1:37" s="12" customFormat="1" ht="20.399999999999999" outlineLevel="1" x14ac:dyDescent="0.2">
      <c r="A376" s="61" t="s">
        <v>611</v>
      </c>
      <c r="B376" s="14" t="s">
        <v>491</v>
      </c>
      <c r="C376" s="9" t="s">
        <v>48</v>
      </c>
      <c r="D376" s="25">
        <f t="shared" si="118"/>
        <v>850</v>
      </c>
      <c r="E376" s="54"/>
      <c r="F376" s="9"/>
      <c r="G376" s="33">
        <v>0</v>
      </c>
      <c r="H376" s="33">
        <v>0</v>
      </c>
      <c r="I376" s="9">
        <v>0</v>
      </c>
      <c r="J376" s="9">
        <v>0</v>
      </c>
      <c r="K376" s="9">
        <v>0</v>
      </c>
      <c r="L376" s="9">
        <v>0</v>
      </c>
      <c r="M376" s="9">
        <v>0</v>
      </c>
      <c r="N376" s="9">
        <v>0</v>
      </c>
      <c r="O376" s="9">
        <v>380</v>
      </c>
      <c r="P376" s="9">
        <v>400</v>
      </c>
      <c r="Q376" s="9">
        <v>70</v>
      </c>
      <c r="R376" s="9">
        <v>0</v>
      </c>
      <c r="S376" s="9">
        <v>0</v>
      </c>
      <c r="T376" s="9">
        <v>0</v>
      </c>
      <c r="U376" s="33">
        <v>0</v>
      </c>
      <c r="V376" s="33">
        <v>0</v>
      </c>
      <c r="W376" s="33">
        <v>0</v>
      </c>
      <c r="X376" s="33">
        <v>0</v>
      </c>
      <c r="Y376" s="33">
        <v>0</v>
      </c>
      <c r="Z376" s="33">
        <v>0</v>
      </c>
      <c r="AA376" s="33">
        <v>0</v>
      </c>
      <c r="AB376" s="33">
        <v>0</v>
      </c>
      <c r="AC376" s="9">
        <v>0</v>
      </c>
      <c r="AD376" s="53" t="e">
        <f>#REF!*D376</f>
        <v>#REF!</v>
      </c>
      <c r="AE376" s="53" t="e">
        <f>AD376-#REF!</f>
        <v>#REF!</v>
      </c>
      <c r="AF376" s="9"/>
      <c r="AG376" s="33" t="e">
        <f>#REF!-D376</f>
        <v>#REF!</v>
      </c>
      <c r="AH376" s="9"/>
      <c r="AI376" s="9"/>
      <c r="AJ376" s="9"/>
      <c r="AK376" s="9"/>
    </row>
    <row r="377" spans="1:37" s="12" customFormat="1" ht="20.399999999999999" outlineLevel="1" x14ac:dyDescent="0.2">
      <c r="A377" s="61" t="s">
        <v>612</v>
      </c>
      <c r="B377" s="14" t="s">
        <v>465</v>
      </c>
      <c r="C377" s="9" t="s">
        <v>48</v>
      </c>
      <c r="D377" s="25">
        <f t="shared" si="118"/>
        <v>10</v>
      </c>
      <c r="E377" s="54"/>
      <c r="F377" s="9"/>
      <c r="G377" s="33">
        <v>0</v>
      </c>
      <c r="H377" s="33">
        <v>0</v>
      </c>
      <c r="I377" s="9">
        <v>0</v>
      </c>
      <c r="J377" s="9">
        <v>0</v>
      </c>
      <c r="K377" s="9">
        <v>0</v>
      </c>
      <c r="L377" s="9">
        <v>0</v>
      </c>
      <c r="M377" s="9">
        <v>0</v>
      </c>
      <c r="N377" s="9">
        <v>0</v>
      </c>
      <c r="O377" s="9">
        <v>0</v>
      </c>
      <c r="P377" s="9">
        <v>0</v>
      </c>
      <c r="Q377" s="9">
        <v>0</v>
      </c>
      <c r="R377" s="9">
        <v>0</v>
      </c>
      <c r="S377" s="9">
        <v>0</v>
      </c>
      <c r="T377" s="9">
        <v>0</v>
      </c>
      <c r="U377" s="33">
        <v>0</v>
      </c>
      <c r="V377" s="33">
        <v>0</v>
      </c>
      <c r="W377" s="33">
        <v>0</v>
      </c>
      <c r="X377" s="33">
        <v>10</v>
      </c>
      <c r="Y377" s="33">
        <v>0</v>
      </c>
      <c r="Z377" s="33">
        <v>0</v>
      </c>
      <c r="AA377" s="33">
        <v>0</v>
      </c>
      <c r="AB377" s="33">
        <v>0</v>
      </c>
      <c r="AC377" s="9">
        <v>0</v>
      </c>
      <c r="AD377" s="53" t="e">
        <f>#REF!*D377</f>
        <v>#REF!</v>
      </c>
      <c r="AE377" s="53" t="e">
        <f>AD377-#REF!</f>
        <v>#REF!</v>
      </c>
      <c r="AF377" s="9"/>
      <c r="AG377" s="33" t="e">
        <f>#REF!-D377</f>
        <v>#REF!</v>
      </c>
      <c r="AH377" s="9"/>
      <c r="AI377" s="9"/>
      <c r="AJ377" s="9"/>
      <c r="AK377" s="9"/>
    </row>
    <row r="378" spans="1:37" s="12" customFormat="1" ht="20.399999999999999" outlineLevel="1" x14ac:dyDescent="0.2">
      <c r="A378" s="61" t="s">
        <v>613</v>
      </c>
      <c r="B378" s="14" t="s">
        <v>455</v>
      </c>
      <c r="C378" s="9" t="s">
        <v>48</v>
      </c>
      <c r="D378" s="25">
        <f t="shared" si="118"/>
        <v>3560</v>
      </c>
      <c r="E378" s="54"/>
      <c r="F378" s="9"/>
      <c r="G378" s="33">
        <v>0</v>
      </c>
      <c r="H378" s="33">
        <v>0</v>
      </c>
      <c r="I378" s="9">
        <v>10</v>
      </c>
      <c r="J378" s="9">
        <v>0</v>
      </c>
      <c r="K378" s="9">
        <v>0</v>
      </c>
      <c r="L378" s="9">
        <v>740</v>
      </c>
      <c r="M378" s="9">
        <v>535</v>
      </c>
      <c r="N378" s="9">
        <v>485</v>
      </c>
      <c r="O378" s="9">
        <v>420</v>
      </c>
      <c r="P378" s="9">
        <v>0</v>
      </c>
      <c r="Q378" s="9">
        <v>0</v>
      </c>
      <c r="R378" s="9">
        <f>70</f>
        <v>70</v>
      </c>
      <c r="S378" s="9">
        <v>0</v>
      </c>
      <c r="T378" s="9">
        <v>0</v>
      </c>
      <c r="U378" s="33">
        <v>0</v>
      </c>
      <c r="V378" s="33">
        <v>0</v>
      </c>
      <c r="W378" s="33">
        <v>60</v>
      </c>
      <c r="X378" s="33">
        <v>280</v>
      </c>
      <c r="Y378" s="33">
        <v>345</v>
      </c>
      <c r="Z378" s="33">
        <v>345</v>
      </c>
      <c r="AA378" s="33">
        <v>270</v>
      </c>
      <c r="AB378" s="33">
        <v>0</v>
      </c>
      <c r="AC378" s="9">
        <v>0</v>
      </c>
      <c r="AD378" s="53" t="e">
        <f>#REF!*D378</f>
        <v>#REF!</v>
      </c>
      <c r="AE378" s="53" t="e">
        <f>AD378-#REF!</f>
        <v>#REF!</v>
      </c>
      <c r="AF378" s="9"/>
      <c r="AG378" s="33" t="e">
        <f>#REF!-D378</f>
        <v>#REF!</v>
      </c>
      <c r="AH378" s="9"/>
      <c r="AI378" s="9"/>
      <c r="AJ378" s="9"/>
      <c r="AK378" s="9"/>
    </row>
    <row r="379" spans="1:37" s="12" customFormat="1" ht="20.399999999999999" outlineLevel="1" x14ac:dyDescent="0.2">
      <c r="A379" s="61" t="s">
        <v>614</v>
      </c>
      <c r="B379" s="14" t="s">
        <v>454</v>
      </c>
      <c r="C379" s="9" t="s">
        <v>48</v>
      </c>
      <c r="D379" s="25">
        <f t="shared" si="118"/>
        <v>2465</v>
      </c>
      <c r="E379" s="54"/>
      <c r="F379" s="9"/>
      <c r="G379" s="33">
        <v>0</v>
      </c>
      <c r="H379" s="33">
        <f>700-370</f>
        <v>330</v>
      </c>
      <c r="I379" s="9">
        <f>170-60</f>
        <v>110</v>
      </c>
      <c r="J379" s="9">
        <v>0</v>
      </c>
      <c r="K379" s="9">
        <v>0</v>
      </c>
      <c r="L379" s="9">
        <v>0</v>
      </c>
      <c r="M379" s="9">
        <v>60</v>
      </c>
      <c r="N379" s="9">
        <v>70</v>
      </c>
      <c r="O379" s="9">
        <v>70</v>
      </c>
      <c r="P379" s="9">
        <v>70</v>
      </c>
      <c r="Q379" s="9">
        <v>70</v>
      </c>
      <c r="R379" s="9">
        <v>80</v>
      </c>
      <c r="S379" s="9">
        <v>0</v>
      </c>
      <c r="T379" s="9">
        <v>0</v>
      </c>
      <c r="U379" s="33">
        <v>720</v>
      </c>
      <c r="V379" s="9">
        <v>440</v>
      </c>
      <c r="W379" s="9">
        <v>300</v>
      </c>
      <c r="X379" s="9">
        <v>30</v>
      </c>
      <c r="Y379" s="9">
        <v>35</v>
      </c>
      <c r="Z379" s="9">
        <v>40</v>
      </c>
      <c r="AA379" s="9">
        <v>40</v>
      </c>
      <c r="AB379" s="9">
        <v>0</v>
      </c>
      <c r="AC379" s="9">
        <v>0</v>
      </c>
      <c r="AD379" s="53" t="e">
        <f>#REF!*D379</f>
        <v>#REF!</v>
      </c>
      <c r="AE379" s="53" t="e">
        <f>AD379-#REF!</f>
        <v>#REF!</v>
      </c>
      <c r="AF379" s="9"/>
      <c r="AG379" s="33" t="e">
        <f>#REF!-D379</f>
        <v>#REF!</v>
      </c>
      <c r="AH379" s="9"/>
      <c r="AI379" s="9"/>
      <c r="AJ379" s="9"/>
      <c r="AK379" s="9"/>
    </row>
    <row r="380" spans="1:37" s="12" customFormat="1" ht="20.399999999999999" outlineLevel="1" x14ac:dyDescent="0.2">
      <c r="A380" s="61" t="s">
        <v>615</v>
      </c>
      <c r="B380" s="14" t="s">
        <v>456</v>
      </c>
      <c r="C380" s="9" t="s">
        <v>48</v>
      </c>
      <c r="D380" s="25">
        <f t="shared" si="118"/>
        <v>1755</v>
      </c>
      <c r="E380" s="54"/>
      <c r="F380" s="9"/>
      <c r="G380" s="33">
        <v>0</v>
      </c>
      <c r="H380" s="33">
        <f>700-280</f>
        <v>420</v>
      </c>
      <c r="I380" s="9">
        <v>0</v>
      </c>
      <c r="J380" s="9">
        <v>50</v>
      </c>
      <c r="K380" s="9">
        <v>0</v>
      </c>
      <c r="L380" s="9">
        <v>0</v>
      </c>
      <c r="M380" s="9">
        <v>45</v>
      </c>
      <c r="N380" s="9">
        <v>50</v>
      </c>
      <c r="O380" s="9">
        <v>0</v>
      </c>
      <c r="P380" s="9">
        <v>55</v>
      </c>
      <c r="Q380" s="9">
        <v>40</v>
      </c>
      <c r="R380" s="9">
        <v>105</v>
      </c>
      <c r="S380" s="9">
        <v>0</v>
      </c>
      <c r="T380" s="9">
        <v>0</v>
      </c>
      <c r="U380" s="33">
        <v>80</v>
      </c>
      <c r="V380" s="9">
        <v>215</v>
      </c>
      <c r="W380" s="9">
        <v>210</v>
      </c>
      <c r="X380" s="9">
        <v>180</v>
      </c>
      <c r="Y380" s="9">
        <v>95</v>
      </c>
      <c r="Z380" s="9">
        <v>0</v>
      </c>
      <c r="AA380" s="9">
        <v>105</v>
      </c>
      <c r="AB380" s="9">
        <v>105</v>
      </c>
      <c r="AC380" s="9">
        <v>0</v>
      </c>
      <c r="AD380" s="53" t="e">
        <f>#REF!*D380</f>
        <v>#REF!</v>
      </c>
      <c r="AE380" s="53" t="e">
        <f>AD380-#REF!</f>
        <v>#REF!</v>
      </c>
      <c r="AF380" s="9"/>
      <c r="AG380" s="33" t="e">
        <f>#REF!-D380</f>
        <v>#REF!</v>
      </c>
      <c r="AH380" s="9"/>
      <c r="AI380" s="9"/>
      <c r="AJ380" s="9"/>
      <c r="AK380" s="9"/>
    </row>
    <row r="381" spans="1:37" s="12" customFormat="1" ht="20.399999999999999" outlineLevel="1" x14ac:dyDescent="0.2">
      <c r="A381" s="61" t="s">
        <v>616</v>
      </c>
      <c r="B381" s="14" t="s">
        <v>488</v>
      </c>
      <c r="C381" s="9" t="s">
        <v>48</v>
      </c>
      <c r="D381" s="25">
        <f t="shared" si="118"/>
        <v>935</v>
      </c>
      <c r="E381" s="54"/>
      <c r="F381" s="9"/>
      <c r="G381" s="33">
        <v>0</v>
      </c>
      <c r="H381" s="33">
        <f>160-55</f>
        <v>105</v>
      </c>
      <c r="I381" s="9">
        <v>190</v>
      </c>
      <c r="J381" s="9">
        <v>0</v>
      </c>
      <c r="K381" s="9">
        <v>0</v>
      </c>
      <c r="L381" s="9">
        <f>64+6</f>
        <v>70</v>
      </c>
      <c r="M381" s="9">
        <v>180</v>
      </c>
      <c r="N381" s="9">
        <f>0</f>
        <v>0</v>
      </c>
      <c r="O381" s="9">
        <v>0</v>
      </c>
      <c r="P381" s="9">
        <v>0</v>
      </c>
      <c r="Q381" s="9">
        <v>60</v>
      </c>
      <c r="R381" s="9">
        <v>40</v>
      </c>
      <c r="S381" s="9">
        <v>0</v>
      </c>
      <c r="T381" s="9">
        <v>0</v>
      </c>
      <c r="U381" s="33">
        <v>0</v>
      </c>
      <c r="V381" s="9">
        <v>0</v>
      </c>
      <c r="W381" s="9">
        <v>0</v>
      </c>
      <c r="X381" s="9">
        <v>0</v>
      </c>
      <c r="Y381" s="9">
        <v>0</v>
      </c>
      <c r="Z381" s="9">
        <v>0</v>
      </c>
      <c r="AA381" s="9">
        <v>0</v>
      </c>
      <c r="AB381" s="49">
        <v>290</v>
      </c>
      <c r="AC381" s="9">
        <v>0</v>
      </c>
      <c r="AD381" s="53" t="e">
        <f>#REF!*D381</f>
        <v>#REF!</v>
      </c>
      <c r="AE381" s="53" t="e">
        <f>AD381-#REF!</f>
        <v>#REF!</v>
      </c>
      <c r="AF381" s="9"/>
      <c r="AG381" s="33" t="e">
        <f>#REF!-D381</f>
        <v>#REF!</v>
      </c>
      <c r="AH381" s="9"/>
      <c r="AI381" s="9"/>
      <c r="AJ381" s="9"/>
      <c r="AK381" s="9"/>
    </row>
    <row r="382" spans="1:37" s="12" customFormat="1" ht="22.8" outlineLevel="1" x14ac:dyDescent="0.2">
      <c r="A382" s="61" t="s">
        <v>617</v>
      </c>
      <c r="B382" s="14" t="s">
        <v>1057</v>
      </c>
      <c r="C382" s="9" t="s">
        <v>48</v>
      </c>
      <c r="D382" s="25">
        <f t="shared" si="118"/>
        <v>2070</v>
      </c>
      <c r="E382" s="54"/>
      <c r="F382" s="9"/>
      <c r="G382" s="33">
        <v>0</v>
      </c>
      <c r="H382" s="33">
        <v>75</v>
      </c>
      <c r="I382" s="9">
        <v>1280</v>
      </c>
      <c r="J382" s="9">
        <v>0</v>
      </c>
      <c r="K382" s="9">
        <v>0</v>
      </c>
      <c r="L382" s="9">
        <v>0</v>
      </c>
      <c r="M382" s="9">
        <v>0</v>
      </c>
      <c r="N382" s="9">
        <v>0</v>
      </c>
      <c r="O382" s="9">
        <v>180</v>
      </c>
      <c r="P382" s="9">
        <v>190</v>
      </c>
      <c r="Q382" s="9">
        <v>135</v>
      </c>
      <c r="R382" s="9">
        <v>0</v>
      </c>
      <c r="S382" s="9">
        <v>0</v>
      </c>
      <c r="T382" s="9">
        <v>135</v>
      </c>
      <c r="U382" s="33">
        <v>75</v>
      </c>
      <c r="V382" s="9">
        <v>0</v>
      </c>
      <c r="W382" s="9">
        <v>0</v>
      </c>
      <c r="X382" s="9">
        <v>0</v>
      </c>
      <c r="Y382" s="9">
        <v>0</v>
      </c>
      <c r="Z382" s="9">
        <v>0</v>
      </c>
      <c r="AA382" s="9">
        <v>0</v>
      </c>
      <c r="AB382" s="9">
        <v>0</v>
      </c>
      <c r="AC382" s="9">
        <v>0</v>
      </c>
      <c r="AD382" s="53" t="e">
        <f>#REF!*D382</f>
        <v>#REF!</v>
      </c>
      <c r="AE382" s="53" t="e">
        <f>AD382-#REF!</f>
        <v>#REF!</v>
      </c>
      <c r="AF382" s="9"/>
      <c r="AG382" s="33" t="e">
        <f>#REF!-D382</f>
        <v>#REF!</v>
      </c>
      <c r="AH382" s="9"/>
      <c r="AI382" s="9"/>
      <c r="AJ382" s="9"/>
      <c r="AK382" s="9"/>
    </row>
    <row r="383" spans="1:37" s="12" customFormat="1" ht="22.8" outlineLevel="1" x14ac:dyDescent="0.2">
      <c r="A383" s="61" t="s">
        <v>618</v>
      </c>
      <c r="B383" s="14" t="s">
        <v>1058</v>
      </c>
      <c r="C383" s="9" t="s">
        <v>48</v>
      </c>
      <c r="D383" s="25">
        <f t="shared" si="118"/>
        <v>340</v>
      </c>
      <c r="E383" s="54"/>
      <c r="F383" s="9"/>
      <c r="G383" s="33">
        <v>0</v>
      </c>
      <c r="H383" s="33">
        <f>340-200</f>
        <v>140</v>
      </c>
      <c r="I383" s="9">
        <v>0</v>
      </c>
      <c r="J383" s="9">
        <v>0</v>
      </c>
      <c r="K383" s="9">
        <v>0</v>
      </c>
      <c r="L383" s="9">
        <v>0</v>
      </c>
      <c r="M383" s="9">
        <v>0</v>
      </c>
      <c r="N383" s="9">
        <v>0</v>
      </c>
      <c r="O383" s="9">
        <v>0</v>
      </c>
      <c r="P383" s="9">
        <v>0</v>
      </c>
      <c r="Q383" s="9">
        <v>0</v>
      </c>
      <c r="R383" s="9">
        <v>0</v>
      </c>
      <c r="S383" s="9">
        <v>0</v>
      </c>
      <c r="T383" s="9">
        <v>0</v>
      </c>
      <c r="U383" s="33">
        <v>200</v>
      </c>
      <c r="V383" s="9">
        <v>0</v>
      </c>
      <c r="W383" s="9">
        <v>0</v>
      </c>
      <c r="X383" s="9">
        <v>0</v>
      </c>
      <c r="Y383" s="9">
        <v>0</v>
      </c>
      <c r="Z383" s="9">
        <v>0</v>
      </c>
      <c r="AA383" s="9">
        <v>0</v>
      </c>
      <c r="AB383" s="9">
        <v>0</v>
      </c>
      <c r="AC383" s="9">
        <v>0</v>
      </c>
      <c r="AD383" s="53" t="e">
        <f>#REF!*D383</f>
        <v>#REF!</v>
      </c>
      <c r="AE383" s="53" t="e">
        <f>AD383-#REF!</f>
        <v>#REF!</v>
      </c>
      <c r="AF383" s="9"/>
      <c r="AG383" s="33" t="e">
        <f>#REF!-D383</f>
        <v>#REF!</v>
      </c>
      <c r="AH383" s="9"/>
      <c r="AI383" s="9"/>
      <c r="AJ383" s="9"/>
      <c r="AK383" s="9"/>
    </row>
    <row r="384" spans="1:37" s="17" customFormat="1" ht="10.199999999999999" outlineLevel="1" x14ac:dyDescent="0.2">
      <c r="A384" s="61" t="s">
        <v>619</v>
      </c>
      <c r="B384" s="11" t="s">
        <v>300</v>
      </c>
      <c r="C384" s="9" t="s">
        <v>47</v>
      </c>
      <c r="D384" s="25">
        <f t="shared" si="118"/>
        <v>11570</v>
      </c>
      <c r="E384" s="54"/>
      <c r="F384" s="9"/>
      <c r="G384" s="49">
        <f>SUM(G487:G589)*65</f>
        <v>195</v>
      </c>
      <c r="H384" s="49">
        <f>SUM(H487:H589)*65-715</f>
        <v>130</v>
      </c>
      <c r="I384" s="49">
        <f>SUM(I487:I589)*65-195</f>
        <v>0</v>
      </c>
      <c r="J384" s="49">
        <f t="shared" ref="J384:T384" si="119">SUM(J487:J589)*65</f>
        <v>195</v>
      </c>
      <c r="K384" s="49">
        <f t="shared" si="119"/>
        <v>195</v>
      </c>
      <c r="L384" s="49">
        <f t="shared" si="119"/>
        <v>1560</v>
      </c>
      <c r="M384" s="49">
        <f t="shared" si="119"/>
        <v>1365</v>
      </c>
      <c r="N384" s="49">
        <f t="shared" si="119"/>
        <v>1430</v>
      </c>
      <c r="O384" s="49">
        <f t="shared" si="119"/>
        <v>1105</v>
      </c>
      <c r="P384" s="49">
        <f t="shared" si="119"/>
        <v>195</v>
      </c>
      <c r="Q384" s="49">
        <f t="shared" si="119"/>
        <v>195</v>
      </c>
      <c r="R384" s="49">
        <f t="shared" si="119"/>
        <v>325</v>
      </c>
      <c r="S384" s="49">
        <f t="shared" si="119"/>
        <v>0</v>
      </c>
      <c r="T384" s="49">
        <f t="shared" si="119"/>
        <v>0</v>
      </c>
      <c r="U384" s="49">
        <f>11*65</f>
        <v>715</v>
      </c>
      <c r="V384" s="49">
        <v>195</v>
      </c>
      <c r="W384" s="49">
        <f t="shared" ref="W384:AC384" si="120">SUM(W487:W589)*65</f>
        <v>390</v>
      </c>
      <c r="X384" s="49">
        <f t="shared" si="120"/>
        <v>910</v>
      </c>
      <c r="Y384" s="49">
        <f t="shared" si="120"/>
        <v>845</v>
      </c>
      <c r="Z384" s="49">
        <f t="shared" si="120"/>
        <v>780</v>
      </c>
      <c r="AA384" s="49">
        <f t="shared" si="120"/>
        <v>845</v>
      </c>
      <c r="AB384" s="49">
        <f t="shared" si="120"/>
        <v>0</v>
      </c>
      <c r="AC384" s="49">
        <f t="shared" si="120"/>
        <v>0</v>
      </c>
      <c r="AD384" s="53" t="e">
        <f>#REF!*D384</f>
        <v>#REF!</v>
      </c>
      <c r="AE384" s="53" t="e">
        <f>AD384-#REF!</f>
        <v>#REF!</v>
      </c>
      <c r="AF384" s="8"/>
      <c r="AG384" s="33" t="e">
        <f>#REF!-D384</f>
        <v>#REF!</v>
      </c>
      <c r="AH384" s="8"/>
      <c r="AI384" s="8"/>
      <c r="AJ384" s="8"/>
      <c r="AK384" s="8"/>
    </row>
    <row r="385" spans="1:37" s="17" customFormat="1" ht="20.399999999999999" outlineLevel="1" x14ac:dyDescent="0.2">
      <c r="A385" s="61" t="s">
        <v>620</v>
      </c>
      <c r="B385" s="14" t="s">
        <v>301</v>
      </c>
      <c r="C385" s="9" t="s">
        <v>47</v>
      </c>
      <c r="D385" s="25">
        <f t="shared" si="118"/>
        <v>5791</v>
      </c>
      <c r="E385" s="54"/>
      <c r="F385" s="9"/>
      <c r="G385" s="49">
        <f t="shared" ref="G385:R385" si="121">MROUND(G384/2,1)</f>
        <v>98</v>
      </c>
      <c r="H385" s="49">
        <f t="shared" si="121"/>
        <v>65</v>
      </c>
      <c r="I385" s="49">
        <f t="shared" si="121"/>
        <v>0</v>
      </c>
      <c r="J385" s="49">
        <f t="shared" si="121"/>
        <v>98</v>
      </c>
      <c r="K385" s="49">
        <f t="shared" si="121"/>
        <v>98</v>
      </c>
      <c r="L385" s="49">
        <f t="shared" si="121"/>
        <v>780</v>
      </c>
      <c r="M385" s="49">
        <f t="shared" si="121"/>
        <v>683</v>
      </c>
      <c r="N385" s="49">
        <f t="shared" si="121"/>
        <v>715</v>
      </c>
      <c r="O385" s="49">
        <f t="shared" si="121"/>
        <v>553</v>
      </c>
      <c r="P385" s="49">
        <f t="shared" si="121"/>
        <v>98</v>
      </c>
      <c r="Q385" s="49">
        <f t="shared" si="121"/>
        <v>98</v>
      </c>
      <c r="R385" s="49">
        <f t="shared" si="121"/>
        <v>163</v>
      </c>
      <c r="S385" s="49">
        <v>0</v>
      </c>
      <c r="T385" s="49">
        <f t="shared" ref="T385:AA385" si="122">MROUND(T384/2,1)</f>
        <v>0</v>
      </c>
      <c r="U385" s="49">
        <f t="shared" si="122"/>
        <v>358</v>
      </c>
      <c r="V385" s="49">
        <f t="shared" si="122"/>
        <v>98</v>
      </c>
      <c r="W385" s="49">
        <f t="shared" si="122"/>
        <v>195</v>
      </c>
      <c r="X385" s="49">
        <f t="shared" si="122"/>
        <v>455</v>
      </c>
      <c r="Y385" s="49">
        <f t="shared" si="122"/>
        <v>423</v>
      </c>
      <c r="Z385" s="49">
        <f t="shared" si="122"/>
        <v>390</v>
      </c>
      <c r="AA385" s="49">
        <f t="shared" si="122"/>
        <v>423</v>
      </c>
      <c r="AB385" s="49">
        <v>0</v>
      </c>
      <c r="AC385" s="49">
        <f>MROUND(AC384/2,1)</f>
        <v>0</v>
      </c>
      <c r="AD385" s="53" t="e">
        <f>#REF!*D385</f>
        <v>#REF!</v>
      </c>
      <c r="AE385" s="53" t="e">
        <f>AD385-#REF!</f>
        <v>#REF!</v>
      </c>
      <c r="AF385" s="8"/>
      <c r="AG385" s="33" t="e">
        <f>#REF!-D385</f>
        <v>#REF!</v>
      </c>
      <c r="AH385" s="8"/>
      <c r="AI385" s="8"/>
      <c r="AJ385" s="8"/>
      <c r="AK385" s="8"/>
    </row>
    <row r="386" spans="1:37" s="17" customFormat="1" ht="21.6" outlineLevel="1" x14ac:dyDescent="0.2">
      <c r="A386" s="61" t="s">
        <v>621</v>
      </c>
      <c r="B386" s="14" t="s">
        <v>302</v>
      </c>
      <c r="C386" s="8" t="s">
        <v>47</v>
      </c>
      <c r="D386" s="25">
        <f t="shared" si="118"/>
        <v>600</v>
      </c>
      <c r="E386" s="54"/>
      <c r="F386" s="9"/>
      <c r="G386" s="33">
        <v>0</v>
      </c>
      <c r="H386" s="33">
        <v>0</v>
      </c>
      <c r="I386" s="9">
        <v>0</v>
      </c>
      <c r="J386" s="9">
        <v>0</v>
      </c>
      <c r="K386" s="9">
        <v>0</v>
      </c>
      <c r="L386" s="9">
        <v>0</v>
      </c>
      <c r="M386" s="9">
        <v>0</v>
      </c>
      <c r="N386" s="9">
        <v>0</v>
      </c>
      <c r="O386" s="9">
        <v>0</v>
      </c>
      <c r="P386" s="9">
        <v>0</v>
      </c>
      <c r="Q386" s="9">
        <v>0</v>
      </c>
      <c r="R386" s="9">
        <v>0</v>
      </c>
      <c r="S386" s="9">
        <v>0</v>
      </c>
      <c r="T386" s="9">
        <v>600</v>
      </c>
      <c r="U386" s="33">
        <v>0</v>
      </c>
      <c r="V386" s="9">
        <v>0</v>
      </c>
      <c r="W386" s="9">
        <v>0</v>
      </c>
      <c r="X386" s="9">
        <v>0</v>
      </c>
      <c r="Y386" s="9">
        <v>0</v>
      </c>
      <c r="Z386" s="9">
        <v>0</v>
      </c>
      <c r="AA386" s="9">
        <v>0</v>
      </c>
      <c r="AB386" s="9">
        <v>0</v>
      </c>
      <c r="AC386" s="9">
        <v>0</v>
      </c>
      <c r="AD386" s="53" t="e">
        <f>#REF!*D386</f>
        <v>#REF!</v>
      </c>
      <c r="AE386" s="53" t="e">
        <f>AD386-#REF!</f>
        <v>#REF!</v>
      </c>
      <c r="AF386" s="8"/>
      <c r="AG386" s="33" t="e">
        <f>#REF!-D386</f>
        <v>#REF!</v>
      </c>
      <c r="AH386" s="8"/>
      <c r="AI386" s="8"/>
      <c r="AJ386" s="8"/>
      <c r="AK386" s="8"/>
    </row>
    <row r="387" spans="1:37" s="17" customFormat="1" ht="21.6" outlineLevel="1" x14ac:dyDescent="0.2">
      <c r="A387" s="61" t="s">
        <v>622</v>
      </c>
      <c r="B387" s="14" t="s">
        <v>303</v>
      </c>
      <c r="C387" s="8" t="s">
        <v>47</v>
      </c>
      <c r="D387" s="25">
        <f t="shared" si="118"/>
        <v>260</v>
      </c>
      <c r="E387" s="54"/>
      <c r="F387" s="9"/>
      <c r="G387" s="33">
        <v>0</v>
      </c>
      <c r="H387" s="33">
        <v>0</v>
      </c>
      <c r="I387" s="9">
        <v>0</v>
      </c>
      <c r="J387" s="9">
        <v>0</v>
      </c>
      <c r="K387" s="9">
        <v>0</v>
      </c>
      <c r="L387" s="9">
        <v>0</v>
      </c>
      <c r="M387" s="9">
        <v>0</v>
      </c>
      <c r="N387" s="9">
        <v>0</v>
      </c>
      <c r="O387" s="9">
        <v>0</v>
      </c>
      <c r="P387" s="9">
        <v>0</v>
      </c>
      <c r="Q387" s="9">
        <v>0</v>
      </c>
      <c r="R387" s="9">
        <v>0</v>
      </c>
      <c r="S387" s="9">
        <v>0</v>
      </c>
      <c r="T387" s="9">
        <v>260</v>
      </c>
      <c r="U387" s="33">
        <v>0</v>
      </c>
      <c r="V387" s="9">
        <v>0</v>
      </c>
      <c r="W387" s="9">
        <v>0</v>
      </c>
      <c r="X387" s="9">
        <v>0</v>
      </c>
      <c r="Y387" s="9">
        <v>0</v>
      </c>
      <c r="Z387" s="9">
        <v>0</v>
      </c>
      <c r="AA387" s="9">
        <v>0</v>
      </c>
      <c r="AB387" s="9">
        <v>0</v>
      </c>
      <c r="AC387" s="9">
        <v>0</v>
      </c>
      <c r="AD387" s="53" t="e">
        <f>#REF!*D387</f>
        <v>#REF!</v>
      </c>
      <c r="AE387" s="53" t="e">
        <f>AD387-#REF!</f>
        <v>#REF!</v>
      </c>
      <c r="AF387" s="8"/>
      <c r="AG387" s="33" t="e">
        <f>#REF!-D387</f>
        <v>#REF!</v>
      </c>
      <c r="AH387" s="8"/>
      <c r="AI387" s="8"/>
      <c r="AJ387" s="8"/>
      <c r="AK387" s="8"/>
    </row>
    <row r="388" spans="1:37" s="17" customFormat="1" ht="21.6" outlineLevel="1" x14ac:dyDescent="0.2">
      <c r="A388" s="61" t="s">
        <v>623</v>
      </c>
      <c r="B388" s="14" t="s">
        <v>304</v>
      </c>
      <c r="C388" s="8" t="s">
        <v>47</v>
      </c>
      <c r="D388" s="25">
        <f t="shared" si="118"/>
        <v>170</v>
      </c>
      <c r="E388" s="54"/>
      <c r="F388" s="9"/>
      <c r="G388" s="33">
        <v>0</v>
      </c>
      <c r="H388" s="33">
        <v>0</v>
      </c>
      <c r="I388" s="9">
        <v>0</v>
      </c>
      <c r="J388" s="9">
        <v>0</v>
      </c>
      <c r="K388" s="9">
        <v>0</v>
      </c>
      <c r="L388" s="9">
        <v>0</v>
      </c>
      <c r="M388" s="9">
        <v>0</v>
      </c>
      <c r="N388" s="9">
        <v>0</v>
      </c>
      <c r="O388" s="9">
        <v>0</v>
      </c>
      <c r="P388" s="9">
        <v>0</v>
      </c>
      <c r="Q388" s="9">
        <v>0</v>
      </c>
      <c r="R388" s="9">
        <v>0</v>
      </c>
      <c r="S388" s="9">
        <v>0</v>
      </c>
      <c r="T388" s="9">
        <v>170</v>
      </c>
      <c r="U388" s="33">
        <v>0</v>
      </c>
      <c r="V388" s="9">
        <v>0</v>
      </c>
      <c r="W388" s="9">
        <v>0</v>
      </c>
      <c r="X388" s="9">
        <v>0</v>
      </c>
      <c r="Y388" s="9">
        <v>0</v>
      </c>
      <c r="Z388" s="9">
        <v>0</v>
      </c>
      <c r="AA388" s="9">
        <v>0</v>
      </c>
      <c r="AB388" s="9">
        <v>0</v>
      </c>
      <c r="AC388" s="9">
        <v>0</v>
      </c>
      <c r="AD388" s="53" t="e">
        <f>#REF!*D388</f>
        <v>#REF!</v>
      </c>
      <c r="AE388" s="53" t="e">
        <f>AD388-#REF!</f>
        <v>#REF!</v>
      </c>
      <c r="AF388" s="8"/>
      <c r="AG388" s="33" t="e">
        <f>#REF!-D388</f>
        <v>#REF!</v>
      </c>
      <c r="AH388" s="8"/>
      <c r="AI388" s="8"/>
      <c r="AJ388" s="8"/>
      <c r="AK388" s="8"/>
    </row>
    <row r="389" spans="1:37" s="12" customFormat="1" ht="21.6" outlineLevel="1" x14ac:dyDescent="0.2">
      <c r="A389" s="61" t="s">
        <v>624</v>
      </c>
      <c r="B389" s="14" t="s">
        <v>305</v>
      </c>
      <c r="C389" s="9" t="s">
        <v>47</v>
      </c>
      <c r="D389" s="25">
        <f t="shared" si="118"/>
        <v>60</v>
      </c>
      <c r="E389" s="54"/>
      <c r="F389" s="78"/>
      <c r="G389" s="33">
        <v>0</v>
      </c>
      <c r="H389" s="33">
        <v>0</v>
      </c>
      <c r="I389" s="9">
        <v>0</v>
      </c>
      <c r="J389" s="9">
        <v>0</v>
      </c>
      <c r="K389" s="9">
        <v>0</v>
      </c>
      <c r="L389" s="9">
        <v>0</v>
      </c>
      <c r="M389" s="9">
        <v>0</v>
      </c>
      <c r="N389" s="9">
        <v>0</v>
      </c>
      <c r="O389" s="9">
        <v>0</v>
      </c>
      <c r="P389" s="9">
        <v>0</v>
      </c>
      <c r="Q389" s="9">
        <v>0</v>
      </c>
      <c r="R389" s="9">
        <v>0</v>
      </c>
      <c r="S389" s="9">
        <v>0</v>
      </c>
      <c r="T389" s="9">
        <v>60</v>
      </c>
      <c r="U389" s="33">
        <v>0</v>
      </c>
      <c r="V389" s="9">
        <v>0</v>
      </c>
      <c r="W389" s="9">
        <v>0</v>
      </c>
      <c r="X389" s="9">
        <v>0</v>
      </c>
      <c r="Y389" s="9">
        <v>0</v>
      </c>
      <c r="Z389" s="9">
        <v>0</v>
      </c>
      <c r="AA389" s="9">
        <v>0</v>
      </c>
      <c r="AB389" s="9">
        <v>0</v>
      </c>
      <c r="AC389" s="9">
        <v>0</v>
      </c>
      <c r="AD389" s="53" t="e">
        <f>#REF!*D389</f>
        <v>#REF!</v>
      </c>
      <c r="AE389" s="53" t="e">
        <f>AD389-#REF!</f>
        <v>#REF!</v>
      </c>
      <c r="AF389" s="9"/>
      <c r="AG389" s="33" t="e">
        <f>#REF!-D389</f>
        <v>#REF!</v>
      </c>
      <c r="AH389" s="9"/>
      <c r="AI389" s="9"/>
      <c r="AJ389" s="9"/>
      <c r="AK389" s="9"/>
    </row>
    <row r="390" spans="1:37" s="12" customFormat="1" ht="21.6" outlineLevel="1" x14ac:dyDescent="0.2">
      <c r="A390" s="61" t="s">
        <v>625</v>
      </c>
      <c r="B390" s="14" t="s">
        <v>306</v>
      </c>
      <c r="C390" s="9" t="s">
        <v>47</v>
      </c>
      <c r="D390" s="25">
        <f t="shared" si="118"/>
        <v>110</v>
      </c>
      <c r="E390" s="54"/>
      <c r="F390" s="78"/>
      <c r="G390" s="33">
        <v>0</v>
      </c>
      <c r="H390" s="33">
        <v>0</v>
      </c>
      <c r="I390" s="9">
        <v>0</v>
      </c>
      <c r="J390" s="9">
        <v>0</v>
      </c>
      <c r="K390" s="9">
        <v>0</v>
      </c>
      <c r="L390" s="9">
        <v>0</v>
      </c>
      <c r="M390" s="9">
        <v>0</v>
      </c>
      <c r="N390" s="9">
        <v>0</v>
      </c>
      <c r="O390" s="9">
        <v>0</v>
      </c>
      <c r="P390" s="9">
        <v>0</v>
      </c>
      <c r="Q390" s="9">
        <v>0</v>
      </c>
      <c r="R390" s="9">
        <v>0</v>
      </c>
      <c r="S390" s="9">
        <v>0</v>
      </c>
      <c r="T390" s="9">
        <v>110</v>
      </c>
      <c r="U390" s="33">
        <v>0</v>
      </c>
      <c r="V390" s="9">
        <v>0</v>
      </c>
      <c r="W390" s="9">
        <v>0</v>
      </c>
      <c r="X390" s="9">
        <v>0</v>
      </c>
      <c r="Y390" s="9">
        <v>0</v>
      </c>
      <c r="Z390" s="9">
        <v>0</v>
      </c>
      <c r="AA390" s="9">
        <v>0</v>
      </c>
      <c r="AB390" s="9">
        <v>0</v>
      </c>
      <c r="AC390" s="9">
        <v>0</v>
      </c>
      <c r="AD390" s="53" t="e">
        <f>#REF!*D390</f>
        <v>#REF!</v>
      </c>
      <c r="AE390" s="53" t="e">
        <f>AD390-#REF!</f>
        <v>#REF!</v>
      </c>
      <c r="AF390" s="9"/>
      <c r="AG390" s="33" t="e">
        <f>#REF!-D390</f>
        <v>#REF!</v>
      </c>
      <c r="AH390" s="9"/>
      <c r="AI390" s="9"/>
      <c r="AJ390" s="9"/>
      <c r="AK390" s="9"/>
    </row>
    <row r="391" spans="1:37" s="12" customFormat="1" ht="21.6" outlineLevel="1" x14ac:dyDescent="0.2">
      <c r="A391" s="61" t="s">
        <v>626</v>
      </c>
      <c r="B391" s="14" t="s">
        <v>307</v>
      </c>
      <c r="C391" s="9" t="s">
        <v>47</v>
      </c>
      <c r="D391" s="25">
        <f t="shared" si="118"/>
        <v>80</v>
      </c>
      <c r="E391" s="54"/>
      <c r="F391" s="78"/>
      <c r="G391" s="33">
        <v>0</v>
      </c>
      <c r="H391" s="33">
        <v>0</v>
      </c>
      <c r="I391" s="9">
        <v>0</v>
      </c>
      <c r="J391" s="9">
        <v>0</v>
      </c>
      <c r="K391" s="9">
        <v>0</v>
      </c>
      <c r="L391" s="9">
        <v>0</v>
      </c>
      <c r="M391" s="9">
        <v>0</v>
      </c>
      <c r="N391" s="9">
        <v>0</v>
      </c>
      <c r="O391" s="9">
        <v>0</v>
      </c>
      <c r="P391" s="9">
        <v>0</v>
      </c>
      <c r="Q391" s="9">
        <v>0</v>
      </c>
      <c r="R391" s="9">
        <v>0</v>
      </c>
      <c r="S391" s="9">
        <v>0</v>
      </c>
      <c r="T391" s="9">
        <v>80</v>
      </c>
      <c r="U391" s="33">
        <v>0</v>
      </c>
      <c r="V391" s="9">
        <v>0</v>
      </c>
      <c r="W391" s="9">
        <v>0</v>
      </c>
      <c r="X391" s="9">
        <v>0</v>
      </c>
      <c r="Y391" s="9">
        <v>0</v>
      </c>
      <c r="Z391" s="9">
        <v>0</v>
      </c>
      <c r="AA391" s="9">
        <v>0</v>
      </c>
      <c r="AB391" s="9">
        <v>0</v>
      </c>
      <c r="AC391" s="9">
        <v>0</v>
      </c>
      <c r="AD391" s="53" t="e">
        <f>#REF!*D391</f>
        <v>#REF!</v>
      </c>
      <c r="AE391" s="53" t="e">
        <f>AD391-#REF!</f>
        <v>#REF!</v>
      </c>
      <c r="AF391" s="9"/>
      <c r="AG391" s="33" t="e">
        <f>#REF!-D391</f>
        <v>#REF!</v>
      </c>
      <c r="AH391" s="9"/>
      <c r="AI391" s="9"/>
      <c r="AJ391" s="9"/>
      <c r="AK391" s="9"/>
    </row>
    <row r="392" spans="1:37" s="12" customFormat="1" ht="21.6" outlineLevel="1" x14ac:dyDescent="0.2">
      <c r="A392" s="61" t="s">
        <v>627</v>
      </c>
      <c r="B392" s="14" t="s">
        <v>308</v>
      </c>
      <c r="C392" s="9" t="s">
        <v>47</v>
      </c>
      <c r="D392" s="25">
        <f t="shared" si="118"/>
        <v>18</v>
      </c>
      <c r="E392" s="54"/>
      <c r="F392" s="78"/>
      <c r="G392" s="33">
        <v>0</v>
      </c>
      <c r="H392" s="33">
        <v>0</v>
      </c>
      <c r="I392" s="9">
        <v>0</v>
      </c>
      <c r="J392" s="9">
        <v>0</v>
      </c>
      <c r="K392" s="9">
        <v>0</v>
      </c>
      <c r="L392" s="9">
        <v>0</v>
      </c>
      <c r="M392" s="9">
        <v>0</v>
      </c>
      <c r="N392" s="9">
        <v>0</v>
      </c>
      <c r="O392" s="9">
        <v>0</v>
      </c>
      <c r="P392" s="9">
        <v>0</v>
      </c>
      <c r="Q392" s="9">
        <v>0</v>
      </c>
      <c r="R392" s="9">
        <v>0</v>
      </c>
      <c r="S392" s="9">
        <v>0</v>
      </c>
      <c r="T392" s="9">
        <v>18</v>
      </c>
      <c r="U392" s="33">
        <v>0</v>
      </c>
      <c r="V392" s="9">
        <v>0</v>
      </c>
      <c r="W392" s="9">
        <v>0</v>
      </c>
      <c r="X392" s="9">
        <v>0</v>
      </c>
      <c r="Y392" s="9">
        <v>0</v>
      </c>
      <c r="Z392" s="9">
        <v>0</v>
      </c>
      <c r="AA392" s="9">
        <v>0</v>
      </c>
      <c r="AB392" s="9">
        <v>0</v>
      </c>
      <c r="AC392" s="9">
        <v>0</v>
      </c>
      <c r="AD392" s="53" t="e">
        <f>#REF!*D392</f>
        <v>#REF!</v>
      </c>
      <c r="AE392" s="53" t="e">
        <f>AD392-#REF!</f>
        <v>#REF!</v>
      </c>
      <c r="AF392" s="9"/>
      <c r="AG392" s="33" t="e">
        <f>#REF!-D392</f>
        <v>#REF!</v>
      </c>
      <c r="AH392" s="9"/>
      <c r="AI392" s="9"/>
      <c r="AJ392" s="9"/>
      <c r="AK392" s="9"/>
    </row>
    <row r="393" spans="1:37" s="12" customFormat="1" ht="21.6" outlineLevel="1" x14ac:dyDescent="0.2">
      <c r="A393" s="61" t="s">
        <v>628</v>
      </c>
      <c r="B393" s="14" t="s">
        <v>309</v>
      </c>
      <c r="C393" s="9" t="s">
        <v>47</v>
      </c>
      <c r="D393" s="25">
        <f t="shared" si="118"/>
        <v>24</v>
      </c>
      <c r="E393" s="54"/>
      <c r="F393" s="78"/>
      <c r="G393" s="33">
        <v>0</v>
      </c>
      <c r="H393" s="33">
        <v>0</v>
      </c>
      <c r="I393" s="9">
        <v>0</v>
      </c>
      <c r="J393" s="9">
        <v>0</v>
      </c>
      <c r="K393" s="9">
        <v>0</v>
      </c>
      <c r="L393" s="9">
        <v>0</v>
      </c>
      <c r="M393" s="9">
        <v>0</v>
      </c>
      <c r="N393" s="9">
        <v>0</v>
      </c>
      <c r="O393" s="9">
        <v>0</v>
      </c>
      <c r="P393" s="9">
        <v>0</v>
      </c>
      <c r="Q393" s="9">
        <v>0</v>
      </c>
      <c r="R393" s="9">
        <v>0</v>
      </c>
      <c r="S393" s="9">
        <v>0</v>
      </c>
      <c r="T393" s="9">
        <v>24</v>
      </c>
      <c r="U393" s="33">
        <v>0</v>
      </c>
      <c r="V393" s="9">
        <v>0</v>
      </c>
      <c r="W393" s="9">
        <v>0</v>
      </c>
      <c r="X393" s="9">
        <v>0</v>
      </c>
      <c r="Y393" s="9">
        <v>0</v>
      </c>
      <c r="Z393" s="9">
        <v>0</v>
      </c>
      <c r="AA393" s="9">
        <v>0</v>
      </c>
      <c r="AB393" s="9">
        <v>0</v>
      </c>
      <c r="AC393" s="9">
        <v>0</v>
      </c>
      <c r="AD393" s="53" t="e">
        <f>#REF!*D393</f>
        <v>#REF!</v>
      </c>
      <c r="AE393" s="53" t="e">
        <f>AD393-#REF!</f>
        <v>#REF!</v>
      </c>
      <c r="AF393" s="9"/>
      <c r="AG393" s="33" t="e">
        <f>#REF!-D393</f>
        <v>#REF!</v>
      </c>
      <c r="AH393" s="9"/>
      <c r="AI393" s="9"/>
      <c r="AJ393" s="9"/>
      <c r="AK393" s="9"/>
    </row>
    <row r="394" spans="1:37" s="17" customFormat="1" ht="21.6" outlineLevel="1" x14ac:dyDescent="0.2">
      <c r="A394" s="61" t="s">
        <v>629</v>
      </c>
      <c r="B394" s="14" t="s">
        <v>310</v>
      </c>
      <c r="C394" s="8" t="s">
        <v>47</v>
      </c>
      <c r="D394" s="25">
        <f t="shared" si="118"/>
        <v>10</v>
      </c>
      <c r="E394" s="54"/>
      <c r="F394" s="9"/>
      <c r="G394" s="33">
        <v>0</v>
      </c>
      <c r="H394" s="33">
        <v>0</v>
      </c>
      <c r="I394" s="9">
        <v>0</v>
      </c>
      <c r="J394" s="9">
        <v>0</v>
      </c>
      <c r="K394" s="9">
        <v>0</v>
      </c>
      <c r="L394" s="9">
        <v>0</v>
      </c>
      <c r="M394" s="9">
        <v>0</v>
      </c>
      <c r="N394" s="9">
        <v>0</v>
      </c>
      <c r="O394" s="9">
        <v>0</v>
      </c>
      <c r="P394" s="9">
        <v>0</v>
      </c>
      <c r="Q394" s="9">
        <v>0</v>
      </c>
      <c r="R394" s="9">
        <v>0</v>
      </c>
      <c r="S394" s="9">
        <v>0</v>
      </c>
      <c r="T394" s="9">
        <v>10</v>
      </c>
      <c r="U394" s="33">
        <v>0</v>
      </c>
      <c r="V394" s="9">
        <v>0</v>
      </c>
      <c r="W394" s="9">
        <v>0</v>
      </c>
      <c r="X394" s="9">
        <v>0</v>
      </c>
      <c r="Y394" s="9">
        <v>0</v>
      </c>
      <c r="Z394" s="9">
        <v>0</v>
      </c>
      <c r="AA394" s="9">
        <v>0</v>
      </c>
      <c r="AB394" s="9">
        <v>0</v>
      </c>
      <c r="AC394" s="9">
        <v>0</v>
      </c>
      <c r="AD394" s="53" t="e">
        <f>#REF!*D394</f>
        <v>#REF!</v>
      </c>
      <c r="AE394" s="53" t="e">
        <f>AD394-#REF!</f>
        <v>#REF!</v>
      </c>
      <c r="AF394" s="8"/>
      <c r="AG394" s="33" t="e">
        <f>#REF!-D394</f>
        <v>#REF!</v>
      </c>
      <c r="AH394" s="8"/>
      <c r="AI394" s="8"/>
      <c r="AJ394" s="8"/>
      <c r="AK394" s="8"/>
    </row>
    <row r="395" spans="1:37" s="17" customFormat="1" ht="21.6" outlineLevel="1" x14ac:dyDescent="0.2">
      <c r="A395" s="61" t="s">
        <v>3094</v>
      </c>
      <c r="B395" s="14" t="s">
        <v>311</v>
      </c>
      <c r="C395" s="8" t="s">
        <v>47</v>
      </c>
      <c r="D395" s="25">
        <f t="shared" si="118"/>
        <v>10</v>
      </c>
      <c r="E395" s="54"/>
      <c r="F395" s="9"/>
      <c r="G395" s="33">
        <v>0</v>
      </c>
      <c r="H395" s="33">
        <v>0</v>
      </c>
      <c r="I395" s="9">
        <v>0</v>
      </c>
      <c r="J395" s="9">
        <v>0</v>
      </c>
      <c r="K395" s="9">
        <v>0</v>
      </c>
      <c r="L395" s="9">
        <v>0</v>
      </c>
      <c r="M395" s="9">
        <v>0</v>
      </c>
      <c r="N395" s="9">
        <v>0</v>
      </c>
      <c r="O395" s="9">
        <v>0</v>
      </c>
      <c r="P395" s="9">
        <v>0</v>
      </c>
      <c r="Q395" s="9">
        <v>0</v>
      </c>
      <c r="R395" s="9">
        <v>0</v>
      </c>
      <c r="S395" s="9">
        <v>0</v>
      </c>
      <c r="T395" s="9">
        <v>10</v>
      </c>
      <c r="U395" s="33">
        <v>0</v>
      </c>
      <c r="V395" s="9">
        <v>0</v>
      </c>
      <c r="W395" s="9">
        <v>0</v>
      </c>
      <c r="X395" s="9">
        <v>0</v>
      </c>
      <c r="Y395" s="9">
        <v>0</v>
      </c>
      <c r="Z395" s="9">
        <v>0</v>
      </c>
      <c r="AA395" s="9">
        <v>0</v>
      </c>
      <c r="AB395" s="9">
        <v>0</v>
      </c>
      <c r="AC395" s="9">
        <v>0</v>
      </c>
      <c r="AD395" s="53" t="e">
        <f>#REF!*D395</f>
        <v>#REF!</v>
      </c>
      <c r="AE395" s="53" t="e">
        <f>AD395-#REF!</f>
        <v>#REF!</v>
      </c>
      <c r="AF395" s="8"/>
      <c r="AG395" s="33" t="e">
        <f>#REF!-D395</f>
        <v>#REF!</v>
      </c>
      <c r="AH395" s="8"/>
      <c r="AI395" s="8"/>
      <c r="AJ395" s="8"/>
      <c r="AK395" s="8"/>
    </row>
    <row r="396" spans="1:37" s="12" customFormat="1" ht="10.199999999999999" outlineLevel="1" x14ac:dyDescent="0.2">
      <c r="A396" s="61"/>
      <c r="B396" s="14"/>
      <c r="C396" s="9"/>
      <c r="D396" s="25"/>
      <c r="E396" s="54"/>
      <c r="F396" s="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53" t="e">
        <f>#REF!*D396</f>
        <v>#REF!</v>
      </c>
      <c r="AE396" s="53" t="e">
        <f>AD396-#REF!</f>
        <v>#REF!</v>
      </c>
      <c r="AF396" s="9"/>
      <c r="AG396" s="33" t="e">
        <f>#REF!-D396</f>
        <v>#REF!</v>
      </c>
      <c r="AH396" s="9"/>
      <c r="AI396" s="9"/>
      <c r="AJ396" s="9"/>
      <c r="AK396" s="9"/>
    </row>
    <row r="397" spans="1:37" x14ac:dyDescent="0.25">
      <c r="A397" s="18" t="s">
        <v>28</v>
      </c>
      <c r="B397" s="35" t="s">
        <v>383</v>
      </c>
      <c r="C397" s="18" t="s">
        <v>41</v>
      </c>
      <c r="D397" s="52" t="e">
        <f>#REF!/#REF!*100</f>
        <v>#REF!</v>
      </c>
      <c r="E397" s="54"/>
      <c r="G397" s="49"/>
      <c r="H397" s="49"/>
      <c r="I397" s="49"/>
      <c r="J397" s="49"/>
      <c r="K397" s="49"/>
      <c r="L397" s="49"/>
      <c r="M397" s="49"/>
      <c r="N397" s="49"/>
      <c r="O397" s="49"/>
      <c r="P397" s="49"/>
      <c r="Q397" s="49"/>
      <c r="R397" s="49"/>
      <c r="S397" s="49"/>
      <c r="T397" s="49"/>
      <c r="U397" s="88"/>
      <c r="V397" s="88"/>
      <c r="W397" s="88"/>
      <c r="X397" s="88"/>
      <c r="Y397" s="88"/>
      <c r="Z397" s="88"/>
      <c r="AA397" s="88"/>
      <c r="AB397" s="214" t="s">
        <v>375</v>
      </c>
      <c r="AC397" s="49"/>
      <c r="AD397" s="53" t="e">
        <f>#REF!*D397</f>
        <v>#REF!</v>
      </c>
      <c r="AE397" s="53" t="e">
        <f>AD397-#REF!</f>
        <v>#REF!</v>
      </c>
      <c r="AG397" s="33" t="e">
        <f>#REF!-D397</f>
        <v>#REF!</v>
      </c>
    </row>
    <row r="398" spans="1:37" s="17" customFormat="1" ht="34.5" customHeight="1" outlineLevel="1" x14ac:dyDescent="0.2">
      <c r="A398" s="61" t="s">
        <v>931</v>
      </c>
      <c r="B398" s="47" t="s">
        <v>3576</v>
      </c>
      <c r="C398" s="8" t="s">
        <v>47</v>
      </c>
      <c r="D398" s="25">
        <f t="shared" ref="D398:D425" si="123">SUM(G398:AC398)</f>
        <v>30</v>
      </c>
      <c r="E398" s="54"/>
      <c r="F398" s="9"/>
      <c r="G398" s="33">
        <v>0</v>
      </c>
      <c r="H398" s="33">
        <v>28</v>
      </c>
      <c r="I398" s="9">
        <v>2</v>
      </c>
      <c r="J398" s="9">
        <v>0</v>
      </c>
      <c r="K398" s="9">
        <v>0</v>
      </c>
      <c r="L398" s="9">
        <v>0</v>
      </c>
      <c r="M398" s="9">
        <v>0</v>
      </c>
      <c r="N398" s="9">
        <v>0</v>
      </c>
      <c r="O398" s="9">
        <v>0</v>
      </c>
      <c r="P398" s="9">
        <v>0</v>
      </c>
      <c r="Q398" s="9">
        <v>0</v>
      </c>
      <c r="R398" s="9">
        <v>0</v>
      </c>
      <c r="S398" s="9">
        <v>0</v>
      </c>
      <c r="T398" s="9">
        <v>0</v>
      </c>
      <c r="U398" s="33">
        <v>0</v>
      </c>
      <c r="V398" s="9">
        <v>0</v>
      </c>
      <c r="W398" s="9">
        <v>0</v>
      </c>
      <c r="X398" s="9">
        <v>0</v>
      </c>
      <c r="Y398" s="9">
        <v>0</v>
      </c>
      <c r="Z398" s="9">
        <v>0</v>
      </c>
      <c r="AA398" s="9">
        <v>0</v>
      </c>
      <c r="AB398" s="9">
        <v>0</v>
      </c>
      <c r="AC398" s="9">
        <v>0</v>
      </c>
      <c r="AD398" s="53" t="e">
        <f>#REF!*D398</f>
        <v>#REF!</v>
      </c>
      <c r="AE398" s="53" t="e">
        <f>AD398-#REF!</f>
        <v>#REF!</v>
      </c>
      <c r="AF398" s="8"/>
      <c r="AG398" s="33" t="e">
        <f>#REF!-D398</f>
        <v>#REF!</v>
      </c>
      <c r="AH398" s="8"/>
      <c r="AI398" s="8"/>
      <c r="AJ398" s="8"/>
      <c r="AK398" s="8"/>
    </row>
    <row r="399" spans="1:37" s="17" customFormat="1" ht="40.5" customHeight="1" outlineLevel="1" x14ac:dyDescent="0.2">
      <c r="A399" s="61" t="s">
        <v>932</v>
      </c>
      <c r="B399" s="47" t="s">
        <v>3575</v>
      </c>
      <c r="C399" s="8" t="s">
        <v>47</v>
      </c>
      <c r="D399" s="25">
        <f t="shared" si="123"/>
        <v>1433</v>
      </c>
      <c r="E399" s="54"/>
      <c r="F399" s="9"/>
      <c r="G399" s="33">
        <v>0</v>
      </c>
      <c r="H399" s="33">
        <f>91+9</f>
        <v>100</v>
      </c>
      <c r="I399" s="9">
        <f>119+6</f>
        <v>125</v>
      </c>
      <c r="J399" s="9">
        <v>85</v>
      </c>
      <c r="K399" s="9">
        <v>71</v>
      </c>
      <c r="L399" s="9">
        <v>110</v>
      </c>
      <c r="M399" s="9">
        <v>95</v>
      </c>
      <c r="N399" s="9">
        <v>95</v>
      </c>
      <c r="O399" s="9">
        <v>58</v>
      </c>
      <c r="P399" s="9">
        <v>65</v>
      </c>
      <c r="Q399" s="9">
        <v>54</v>
      </c>
      <c r="R399" s="9">
        <v>0</v>
      </c>
      <c r="S399" s="9">
        <v>0</v>
      </c>
      <c r="T399" s="9">
        <v>0</v>
      </c>
      <c r="U399" s="88">
        <f>52+33</f>
        <v>85</v>
      </c>
      <c r="V399" s="49">
        <f>81+44</f>
        <v>125</v>
      </c>
      <c r="W399" s="9">
        <v>70</v>
      </c>
      <c r="X399" s="9">
        <v>74</v>
      </c>
      <c r="Y399" s="9">
        <v>81</v>
      </c>
      <c r="Z399" s="9">
        <v>66</v>
      </c>
      <c r="AA399" s="9">
        <v>64</v>
      </c>
      <c r="AB399" s="9">
        <v>10</v>
      </c>
      <c r="AC399" s="9">
        <v>0</v>
      </c>
      <c r="AD399" s="53" t="e">
        <f>#REF!*D399</f>
        <v>#REF!</v>
      </c>
      <c r="AE399" s="53" t="e">
        <f>AD399-#REF!</f>
        <v>#REF!</v>
      </c>
      <c r="AF399" s="8"/>
      <c r="AG399" s="33" t="e">
        <f>#REF!-D399</f>
        <v>#REF!</v>
      </c>
      <c r="AH399" s="8"/>
      <c r="AI399" s="8"/>
      <c r="AJ399" s="8"/>
      <c r="AK399" s="8"/>
    </row>
    <row r="400" spans="1:37" s="17" customFormat="1" ht="51" outlineLevel="1" x14ac:dyDescent="0.2">
      <c r="A400" s="61" t="s">
        <v>933</v>
      </c>
      <c r="B400" s="47" t="s">
        <v>3574</v>
      </c>
      <c r="C400" s="8" t="s">
        <v>47</v>
      </c>
      <c r="D400" s="25">
        <f t="shared" si="123"/>
        <v>605</v>
      </c>
      <c r="E400" s="54"/>
      <c r="F400" s="9"/>
      <c r="G400" s="33">
        <v>0</v>
      </c>
      <c r="H400" s="33">
        <v>31</v>
      </c>
      <c r="I400" s="9">
        <v>55</v>
      </c>
      <c r="J400" s="9">
        <v>56</v>
      </c>
      <c r="K400" s="9">
        <v>51</v>
      </c>
      <c r="L400" s="9">
        <f>8+17+21</f>
        <v>46</v>
      </c>
      <c r="M400" s="9">
        <v>35</v>
      </c>
      <c r="N400" s="9">
        <v>37</v>
      </c>
      <c r="O400" s="9">
        <v>76</v>
      </c>
      <c r="P400" s="9">
        <v>74</v>
      </c>
      <c r="Q400" s="9">
        <f>8+6</f>
        <v>14</v>
      </c>
      <c r="R400" s="9">
        <v>0</v>
      </c>
      <c r="S400" s="9">
        <v>0</v>
      </c>
      <c r="T400" s="9">
        <v>0</v>
      </c>
      <c r="U400" s="33">
        <v>3</v>
      </c>
      <c r="V400" s="9">
        <v>0</v>
      </c>
      <c r="W400" s="9">
        <v>7</v>
      </c>
      <c r="X400" s="9">
        <v>29</v>
      </c>
      <c r="Y400" s="9">
        <v>23</v>
      </c>
      <c r="Z400" s="9">
        <v>37</v>
      </c>
      <c r="AA400" s="9">
        <v>31</v>
      </c>
      <c r="AB400" s="9">
        <v>0</v>
      </c>
      <c r="AC400" s="9">
        <v>0</v>
      </c>
      <c r="AD400" s="53" t="e">
        <f>#REF!*D400</f>
        <v>#REF!</v>
      </c>
      <c r="AE400" s="53" t="e">
        <f>AD400-#REF!</f>
        <v>#REF!</v>
      </c>
      <c r="AF400" s="8"/>
      <c r="AG400" s="33" t="e">
        <f>#REF!-D400</f>
        <v>#REF!</v>
      </c>
      <c r="AH400" s="8"/>
      <c r="AI400" s="8"/>
      <c r="AJ400" s="8"/>
      <c r="AK400" s="8"/>
    </row>
    <row r="401" spans="1:37" s="17" customFormat="1" ht="51" outlineLevel="1" x14ac:dyDescent="0.2">
      <c r="A401" s="61" t="s">
        <v>934</v>
      </c>
      <c r="B401" s="47" t="s">
        <v>3540</v>
      </c>
      <c r="C401" s="8" t="s">
        <v>47</v>
      </c>
      <c r="D401" s="25">
        <f t="shared" si="123"/>
        <v>528</v>
      </c>
      <c r="E401" s="54"/>
      <c r="F401" s="9"/>
      <c r="G401" s="33">
        <v>0</v>
      </c>
      <c r="H401" s="33">
        <v>7</v>
      </c>
      <c r="I401" s="9">
        <v>12</v>
      </c>
      <c r="J401" s="9">
        <v>65</v>
      </c>
      <c r="K401" s="9">
        <v>72</v>
      </c>
      <c r="L401" s="9">
        <v>52</v>
      </c>
      <c r="M401" s="9">
        <v>53</v>
      </c>
      <c r="N401" s="9">
        <v>46</v>
      </c>
      <c r="O401" s="9">
        <v>11</v>
      </c>
      <c r="P401" s="9">
        <v>11</v>
      </c>
      <c r="Q401" s="9">
        <v>19</v>
      </c>
      <c r="R401" s="9">
        <v>0</v>
      </c>
      <c r="S401" s="9">
        <v>0</v>
      </c>
      <c r="T401" s="9">
        <v>0</v>
      </c>
      <c r="U401" s="33">
        <v>41</v>
      </c>
      <c r="V401" s="9">
        <v>23</v>
      </c>
      <c r="W401" s="9">
        <v>28</v>
      </c>
      <c r="X401" s="9">
        <v>22</v>
      </c>
      <c r="Y401" s="9">
        <v>17</v>
      </c>
      <c r="Z401" s="9">
        <v>11</v>
      </c>
      <c r="AA401" s="9">
        <v>22</v>
      </c>
      <c r="AB401" s="9">
        <v>16</v>
      </c>
      <c r="AC401" s="9">
        <v>0</v>
      </c>
      <c r="AD401" s="53" t="e">
        <f>#REF!*D401</f>
        <v>#REF!</v>
      </c>
      <c r="AE401" s="53" t="e">
        <f>AD401-#REF!</f>
        <v>#REF!</v>
      </c>
      <c r="AF401" s="8"/>
      <c r="AG401" s="33" t="e">
        <f>#REF!-D401</f>
        <v>#REF!</v>
      </c>
      <c r="AH401" s="8"/>
      <c r="AI401" s="8"/>
      <c r="AJ401" s="8"/>
      <c r="AK401" s="8"/>
    </row>
    <row r="402" spans="1:37" s="17" customFormat="1" ht="40.799999999999997" outlineLevel="1" x14ac:dyDescent="0.2">
      <c r="A402" s="61" t="s">
        <v>935</v>
      </c>
      <c r="B402" s="47" t="s">
        <v>3577</v>
      </c>
      <c r="C402" s="8" t="s">
        <v>47</v>
      </c>
      <c r="D402" s="25">
        <f t="shared" si="123"/>
        <v>302</v>
      </c>
      <c r="E402" s="54"/>
      <c r="F402" s="9"/>
      <c r="G402" s="33">
        <v>0</v>
      </c>
      <c r="H402" s="33">
        <f>83+3+9</f>
        <v>95</v>
      </c>
      <c r="I402" s="9">
        <v>13</v>
      </c>
      <c r="J402" s="9">
        <v>8</v>
      </c>
      <c r="K402" s="9">
        <v>9</v>
      </c>
      <c r="L402" s="9">
        <v>18</v>
      </c>
      <c r="M402" s="9">
        <v>10</v>
      </c>
      <c r="N402" s="9">
        <v>10</v>
      </c>
      <c r="O402" s="9">
        <v>11</v>
      </c>
      <c r="P402" s="9">
        <v>9</v>
      </c>
      <c r="Q402" s="9">
        <v>33</v>
      </c>
      <c r="R402" s="9">
        <v>0</v>
      </c>
      <c r="S402" s="9">
        <v>0</v>
      </c>
      <c r="T402" s="9">
        <v>0</v>
      </c>
      <c r="U402" s="33">
        <v>45</v>
      </c>
      <c r="V402" s="9">
        <v>11</v>
      </c>
      <c r="W402" s="9">
        <v>0</v>
      </c>
      <c r="X402" s="9">
        <v>8</v>
      </c>
      <c r="Y402" s="9">
        <v>2</v>
      </c>
      <c r="Z402" s="9">
        <v>8</v>
      </c>
      <c r="AA402" s="9">
        <v>8</v>
      </c>
      <c r="AB402" s="9">
        <v>4</v>
      </c>
      <c r="AC402" s="9">
        <v>0</v>
      </c>
      <c r="AD402" s="53" t="e">
        <f>#REF!*D402</f>
        <v>#REF!</v>
      </c>
      <c r="AE402" s="53" t="e">
        <f>AD402-#REF!</f>
        <v>#REF!</v>
      </c>
      <c r="AF402" s="8"/>
      <c r="AG402" s="33" t="e">
        <f>#REF!-D402</f>
        <v>#REF!</v>
      </c>
      <c r="AH402" s="8"/>
      <c r="AI402" s="8"/>
      <c r="AJ402" s="8"/>
      <c r="AK402" s="8"/>
    </row>
    <row r="403" spans="1:37" s="17" customFormat="1" ht="40.799999999999997" outlineLevel="1" x14ac:dyDescent="0.2">
      <c r="A403" s="61" t="s">
        <v>936</v>
      </c>
      <c r="B403" s="47" t="s">
        <v>3578</v>
      </c>
      <c r="C403" s="8" t="s">
        <v>47</v>
      </c>
      <c r="D403" s="25">
        <f t="shared" si="123"/>
        <v>77</v>
      </c>
      <c r="E403" s="54"/>
      <c r="F403" s="9"/>
      <c r="G403" s="33">
        <v>0</v>
      </c>
      <c r="H403" s="33">
        <v>0</v>
      </c>
      <c r="I403" s="9">
        <v>0</v>
      </c>
      <c r="J403" s="9">
        <v>0</v>
      </c>
      <c r="K403" s="9">
        <v>0</v>
      </c>
      <c r="L403" s="9">
        <v>0</v>
      </c>
      <c r="M403" s="9">
        <v>0</v>
      </c>
      <c r="N403" s="9">
        <v>0</v>
      </c>
      <c r="O403" s="9">
        <v>0</v>
      </c>
      <c r="P403" s="9">
        <v>0</v>
      </c>
      <c r="Q403" s="9">
        <v>0</v>
      </c>
      <c r="R403" s="9">
        <v>21</v>
      </c>
      <c r="S403" s="9">
        <v>0</v>
      </c>
      <c r="T403" s="9">
        <v>0</v>
      </c>
      <c r="U403" s="33">
        <v>56</v>
      </c>
      <c r="V403" s="9">
        <v>0</v>
      </c>
      <c r="W403" s="9">
        <v>0</v>
      </c>
      <c r="X403" s="9">
        <v>0</v>
      </c>
      <c r="Y403" s="9">
        <v>0</v>
      </c>
      <c r="Z403" s="9">
        <v>0</v>
      </c>
      <c r="AA403" s="9">
        <v>0</v>
      </c>
      <c r="AB403" s="9">
        <v>0</v>
      </c>
      <c r="AC403" s="9">
        <v>0</v>
      </c>
      <c r="AD403" s="53" t="e">
        <f>#REF!*D403</f>
        <v>#REF!</v>
      </c>
      <c r="AE403" s="53" t="e">
        <f>AD403-#REF!</f>
        <v>#REF!</v>
      </c>
      <c r="AF403" s="8"/>
      <c r="AG403" s="33" t="e">
        <f>#REF!-D403</f>
        <v>#REF!</v>
      </c>
      <c r="AH403" s="8"/>
      <c r="AI403" s="8"/>
      <c r="AJ403" s="8"/>
      <c r="AK403" s="8"/>
    </row>
    <row r="404" spans="1:37" s="17" customFormat="1" ht="48.75" customHeight="1" outlineLevel="1" x14ac:dyDescent="0.2">
      <c r="A404" s="61" t="s">
        <v>937</v>
      </c>
      <c r="B404" s="47" t="s">
        <v>3541</v>
      </c>
      <c r="C404" s="8" t="s">
        <v>47</v>
      </c>
      <c r="D404" s="25">
        <f t="shared" si="123"/>
        <v>43</v>
      </c>
      <c r="E404" s="54"/>
      <c r="F404" s="9"/>
      <c r="G404" s="33">
        <v>0</v>
      </c>
      <c r="H404" s="33">
        <v>4</v>
      </c>
      <c r="I404" s="9">
        <v>0</v>
      </c>
      <c r="J404" s="9">
        <v>0</v>
      </c>
      <c r="K404" s="9">
        <v>0</v>
      </c>
      <c r="L404" s="9">
        <v>0</v>
      </c>
      <c r="M404" s="9">
        <v>0</v>
      </c>
      <c r="N404" s="9">
        <v>0</v>
      </c>
      <c r="O404" s="9">
        <v>0</v>
      </c>
      <c r="P404" s="9">
        <v>0</v>
      </c>
      <c r="Q404" s="9">
        <v>0</v>
      </c>
      <c r="R404" s="9">
        <v>0</v>
      </c>
      <c r="S404" s="9">
        <v>0</v>
      </c>
      <c r="T404" s="9">
        <v>0</v>
      </c>
      <c r="U404" s="33">
        <v>0</v>
      </c>
      <c r="V404" s="9">
        <v>0</v>
      </c>
      <c r="W404" s="9">
        <v>39</v>
      </c>
      <c r="X404" s="9">
        <v>0</v>
      </c>
      <c r="Y404" s="9">
        <v>0</v>
      </c>
      <c r="Z404" s="9">
        <v>0</v>
      </c>
      <c r="AA404" s="9">
        <v>0</v>
      </c>
      <c r="AB404" s="9">
        <v>0</v>
      </c>
      <c r="AC404" s="9">
        <v>0</v>
      </c>
      <c r="AD404" s="53" t="e">
        <f>#REF!*D404</f>
        <v>#REF!</v>
      </c>
      <c r="AE404" s="53" t="e">
        <f>AD404-#REF!</f>
        <v>#REF!</v>
      </c>
      <c r="AF404" s="8"/>
      <c r="AG404" s="33" t="e">
        <f>#REF!-D404</f>
        <v>#REF!</v>
      </c>
      <c r="AH404" s="8"/>
      <c r="AI404" s="8"/>
      <c r="AJ404" s="8"/>
      <c r="AK404" s="8"/>
    </row>
    <row r="405" spans="1:37" s="17" customFormat="1" ht="51.75" customHeight="1" outlineLevel="1" x14ac:dyDescent="0.2">
      <c r="A405" s="61" t="s">
        <v>938</v>
      </c>
      <c r="B405" s="47" t="s">
        <v>3542</v>
      </c>
      <c r="C405" s="8" t="s">
        <v>47</v>
      </c>
      <c r="D405" s="25">
        <f t="shared" si="123"/>
        <v>225</v>
      </c>
      <c r="E405" s="54"/>
      <c r="F405" s="9"/>
      <c r="G405" s="33">
        <v>0</v>
      </c>
      <c r="H405" s="33">
        <v>27</v>
      </c>
      <c r="I405" s="9">
        <v>20</v>
      </c>
      <c r="J405" s="9">
        <v>11</v>
      </c>
      <c r="K405" s="9">
        <v>10</v>
      </c>
      <c r="L405" s="9">
        <v>6</v>
      </c>
      <c r="M405" s="9">
        <v>10</v>
      </c>
      <c r="N405" s="9">
        <v>10</v>
      </c>
      <c r="O405" s="9">
        <v>0</v>
      </c>
      <c r="P405" s="9">
        <v>0</v>
      </c>
      <c r="Q405" s="9">
        <v>12</v>
      </c>
      <c r="R405" s="9">
        <v>0</v>
      </c>
      <c r="S405" s="9">
        <v>0</v>
      </c>
      <c r="T405" s="9">
        <v>0</v>
      </c>
      <c r="U405" s="33">
        <v>30</v>
      </c>
      <c r="V405" s="9">
        <v>53</v>
      </c>
      <c r="W405" s="9">
        <v>0</v>
      </c>
      <c r="X405" s="9">
        <v>5</v>
      </c>
      <c r="Y405" s="9">
        <v>2</v>
      </c>
      <c r="Z405" s="9">
        <v>14</v>
      </c>
      <c r="AA405" s="9">
        <v>5</v>
      </c>
      <c r="AB405" s="9">
        <v>10</v>
      </c>
      <c r="AC405" s="9">
        <v>0</v>
      </c>
      <c r="AD405" s="53" t="e">
        <f>#REF!*D405</f>
        <v>#REF!</v>
      </c>
      <c r="AE405" s="53" t="e">
        <f>AD405-#REF!</f>
        <v>#REF!</v>
      </c>
      <c r="AF405" s="8"/>
      <c r="AG405" s="33" t="e">
        <f>#REF!-D405</f>
        <v>#REF!</v>
      </c>
      <c r="AH405" s="8"/>
      <c r="AI405" s="8"/>
      <c r="AJ405" s="8"/>
      <c r="AK405" s="8"/>
    </row>
    <row r="406" spans="1:37" s="17" customFormat="1" ht="30.6" outlineLevel="1" collapsed="1" x14ac:dyDescent="0.2">
      <c r="A406" s="61" t="s">
        <v>939</v>
      </c>
      <c r="B406" s="47" t="s">
        <v>2441</v>
      </c>
      <c r="C406" s="8" t="s">
        <v>47</v>
      </c>
      <c r="D406" s="25">
        <f t="shared" si="123"/>
        <v>249</v>
      </c>
      <c r="E406" s="54"/>
      <c r="F406" s="9"/>
      <c r="G406" s="33">
        <v>0</v>
      </c>
      <c r="H406" s="33">
        <v>9</v>
      </c>
      <c r="I406" s="33">
        <v>17</v>
      </c>
      <c r="J406" s="9">
        <v>25</v>
      </c>
      <c r="K406" s="9">
        <v>8</v>
      </c>
      <c r="L406" s="9">
        <v>16</v>
      </c>
      <c r="M406" s="9">
        <v>7</v>
      </c>
      <c r="N406" s="9">
        <v>7</v>
      </c>
      <c r="O406" s="9">
        <f>16+20</f>
        <v>36</v>
      </c>
      <c r="P406" s="9">
        <f>15+20</f>
        <v>35</v>
      </c>
      <c r="Q406" s="9">
        <f>15+5</f>
        <v>20</v>
      </c>
      <c r="R406" s="9">
        <v>0</v>
      </c>
      <c r="S406" s="9">
        <v>0</v>
      </c>
      <c r="T406" s="9">
        <v>0</v>
      </c>
      <c r="U406" s="88">
        <f>12+3</f>
        <v>15</v>
      </c>
      <c r="V406" s="9">
        <v>10</v>
      </c>
      <c r="W406" s="9">
        <v>23</v>
      </c>
      <c r="X406" s="9">
        <v>1</v>
      </c>
      <c r="Y406" s="9">
        <v>11</v>
      </c>
      <c r="Z406" s="9">
        <v>8</v>
      </c>
      <c r="AA406" s="9">
        <v>1</v>
      </c>
      <c r="AB406" s="9">
        <v>0</v>
      </c>
      <c r="AC406" s="9">
        <v>0</v>
      </c>
      <c r="AD406" s="53" t="e">
        <f>#REF!*D406</f>
        <v>#REF!</v>
      </c>
      <c r="AE406" s="53" t="e">
        <f>AD406-#REF!</f>
        <v>#REF!</v>
      </c>
      <c r="AF406" s="8"/>
      <c r="AG406" s="33" t="e">
        <f>#REF!-D406</f>
        <v>#REF!</v>
      </c>
      <c r="AH406" s="8"/>
      <c r="AI406" s="8"/>
      <c r="AJ406" s="8"/>
      <c r="AK406" s="8"/>
    </row>
    <row r="407" spans="1:37" s="17" customFormat="1" ht="39" customHeight="1" outlineLevel="1" x14ac:dyDescent="0.2">
      <c r="A407" s="61" t="s">
        <v>940</v>
      </c>
      <c r="B407" s="47" t="s">
        <v>3543</v>
      </c>
      <c r="C407" s="8" t="s">
        <v>47</v>
      </c>
      <c r="D407" s="25">
        <f t="shared" si="123"/>
        <v>40</v>
      </c>
      <c r="E407" s="54"/>
      <c r="F407" s="9"/>
      <c r="G407" s="33">
        <v>0</v>
      </c>
      <c r="H407" s="33">
        <v>0</v>
      </c>
      <c r="I407" s="9">
        <v>37</v>
      </c>
      <c r="J407" s="9">
        <v>0</v>
      </c>
      <c r="K407" s="9">
        <v>0</v>
      </c>
      <c r="L407" s="9">
        <v>0</v>
      </c>
      <c r="M407" s="9">
        <v>0</v>
      </c>
      <c r="N407" s="9">
        <v>0</v>
      </c>
      <c r="O407" s="9">
        <v>0</v>
      </c>
      <c r="P407" s="9">
        <v>0</v>
      </c>
      <c r="Q407" s="9">
        <v>0</v>
      </c>
      <c r="R407" s="9">
        <v>0</v>
      </c>
      <c r="S407" s="9">
        <v>0</v>
      </c>
      <c r="T407" s="9">
        <v>0</v>
      </c>
      <c r="U407" s="33">
        <v>3</v>
      </c>
      <c r="V407" s="9">
        <v>0</v>
      </c>
      <c r="W407" s="9">
        <v>0</v>
      </c>
      <c r="X407" s="9">
        <v>0</v>
      </c>
      <c r="Y407" s="9">
        <v>0</v>
      </c>
      <c r="Z407" s="9">
        <v>0</v>
      </c>
      <c r="AA407" s="9">
        <v>0</v>
      </c>
      <c r="AB407" s="9">
        <v>0</v>
      </c>
      <c r="AC407" s="9">
        <v>0</v>
      </c>
      <c r="AD407" s="53" t="e">
        <f>#REF!*D407</f>
        <v>#REF!</v>
      </c>
      <c r="AE407" s="53" t="e">
        <f>AD407-#REF!</f>
        <v>#REF!</v>
      </c>
      <c r="AF407" s="8"/>
      <c r="AG407" s="33" t="e">
        <f>#REF!-D407</f>
        <v>#REF!</v>
      </c>
      <c r="AH407" s="8"/>
      <c r="AI407" s="8"/>
      <c r="AJ407" s="8"/>
      <c r="AK407" s="8"/>
    </row>
    <row r="408" spans="1:37" s="17" customFormat="1" ht="40.799999999999997" outlineLevel="1" x14ac:dyDescent="0.2">
      <c r="A408" s="61" t="s">
        <v>941</v>
      </c>
      <c r="B408" s="47" t="s">
        <v>3579</v>
      </c>
      <c r="C408" s="8" t="s">
        <v>47</v>
      </c>
      <c r="D408" s="25">
        <f t="shared" si="123"/>
        <v>300</v>
      </c>
      <c r="E408" s="54"/>
      <c r="F408" s="9"/>
      <c r="G408" s="33">
        <v>0</v>
      </c>
      <c r="H408" s="33">
        <v>23</v>
      </c>
      <c r="I408" s="9">
        <v>10</v>
      </c>
      <c r="J408" s="9">
        <v>33</v>
      </c>
      <c r="K408" s="9">
        <v>45</v>
      </c>
      <c r="L408" s="9">
        <v>6</v>
      </c>
      <c r="M408" s="9">
        <v>10</v>
      </c>
      <c r="N408" s="9">
        <v>10</v>
      </c>
      <c r="O408" s="9">
        <v>8</v>
      </c>
      <c r="P408" s="9">
        <v>8</v>
      </c>
      <c r="Q408" s="9">
        <v>16</v>
      </c>
      <c r="R408" s="9">
        <v>0</v>
      </c>
      <c r="S408" s="9">
        <v>0</v>
      </c>
      <c r="T408" s="9">
        <v>0</v>
      </c>
      <c r="U408" s="33">
        <v>14</v>
      </c>
      <c r="V408" s="9">
        <v>15</v>
      </c>
      <c r="W408" s="9">
        <v>48</v>
      </c>
      <c r="X408" s="9">
        <v>11</v>
      </c>
      <c r="Y408" s="9">
        <v>27</v>
      </c>
      <c r="Z408" s="9">
        <v>3</v>
      </c>
      <c r="AA408" s="9">
        <v>13</v>
      </c>
      <c r="AB408" s="9">
        <v>0</v>
      </c>
      <c r="AC408" s="9">
        <v>0</v>
      </c>
      <c r="AD408" s="53" t="e">
        <f>#REF!*D408</f>
        <v>#REF!</v>
      </c>
      <c r="AE408" s="53" t="e">
        <f>AD408-#REF!</f>
        <v>#REF!</v>
      </c>
      <c r="AF408" s="8"/>
      <c r="AG408" s="33" t="e">
        <f>#REF!-D408</f>
        <v>#REF!</v>
      </c>
      <c r="AH408" s="8"/>
      <c r="AI408" s="8"/>
      <c r="AJ408" s="8"/>
      <c r="AK408" s="8"/>
    </row>
    <row r="409" spans="1:37" s="17" customFormat="1" ht="40.799999999999997" outlineLevel="1" x14ac:dyDescent="0.2">
      <c r="A409" s="61" t="s">
        <v>2464</v>
      </c>
      <c r="B409" s="47" t="s">
        <v>3580</v>
      </c>
      <c r="C409" s="8" t="s">
        <v>47</v>
      </c>
      <c r="D409" s="25">
        <f t="shared" si="123"/>
        <v>202</v>
      </c>
      <c r="E409" s="54"/>
      <c r="F409" s="9"/>
      <c r="G409" s="33">
        <v>0</v>
      </c>
      <c r="H409" s="33">
        <v>0</v>
      </c>
      <c r="I409" s="9">
        <v>0</v>
      </c>
      <c r="J409" s="9">
        <v>0</v>
      </c>
      <c r="K409" s="9">
        <v>0</v>
      </c>
      <c r="L409" s="9">
        <v>20</v>
      </c>
      <c r="M409" s="9">
        <v>34</v>
      </c>
      <c r="N409" s="9">
        <v>34</v>
      </c>
      <c r="O409" s="9">
        <v>20</v>
      </c>
      <c r="P409" s="9">
        <v>20</v>
      </c>
      <c r="Q409" s="9">
        <v>12</v>
      </c>
      <c r="R409" s="9">
        <v>0</v>
      </c>
      <c r="S409" s="9">
        <v>0</v>
      </c>
      <c r="T409" s="9">
        <v>0</v>
      </c>
      <c r="U409" s="33">
        <v>0</v>
      </c>
      <c r="V409" s="9">
        <v>0</v>
      </c>
      <c r="W409" s="9">
        <v>14</v>
      </c>
      <c r="X409" s="9">
        <v>8</v>
      </c>
      <c r="Y409" s="9">
        <v>10</v>
      </c>
      <c r="Z409" s="9">
        <v>0</v>
      </c>
      <c r="AA409" s="49">
        <v>30</v>
      </c>
      <c r="AB409" s="9">
        <v>0</v>
      </c>
      <c r="AC409" s="9">
        <v>0</v>
      </c>
      <c r="AD409" s="53" t="e">
        <f>#REF!*D409</f>
        <v>#REF!</v>
      </c>
      <c r="AE409" s="53" t="e">
        <f>AD409-#REF!</f>
        <v>#REF!</v>
      </c>
      <c r="AF409" s="8"/>
      <c r="AG409" s="33" t="e">
        <f>#REF!-D409</f>
        <v>#REF!</v>
      </c>
      <c r="AH409" s="8"/>
      <c r="AI409" s="8"/>
      <c r="AJ409" s="8"/>
      <c r="AK409" s="8"/>
    </row>
    <row r="410" spans="1:37" s="17" customFormat="1" ht="40.799999999999997" outlineLevel="1" x14ac:dyDescent="0.2">
      <c r="A410" s="61" t="s">
        <v>942</v>
      </c>
      <c r="B410" s="47" t="s">
        <v>3581</v>
      </c>
      <c r="C410" s="8" t="s">
        <v>47</v>
      </c>
      <c r="D410" s="25">
        <f t="shared" si="123"/>
        <v>32</v>
      </c>
      <c r="E410" s="54"/>
      <c r="F410" s="9"/>
      <c r="G410" s="33">
        <v>11</v>
      </c>
      <c r="H410" s="33">
        <v>21</v>
      </c>
      <c r="I410" s="9">
        <v>0</v>
      </c>
      <c r="J410" s="9">
        <v>0</v>
      </c>
      <c r="K410" s="9">
        <v>0</v>
      </c>
      <c r="L410" s="9">
        <v>0</v>
      </c>
      <c r="M410" s="9">
        <v>0</v>
      </c>
      <c r="N410" s="9">
        <v>0</v>
      </c>
      <c r="O410" s="9">
        <v>0</v>
      </c>
      <c r="P410" s="9">
        <v>0</v>
      </c>
      <c r="Q410" s="9">
        <v>0</v>
      </c>
      <c r="R410" s="9">
        <v>0</v>
      </c>
      <c r="S410" s="9">
        <v>0</v>
      </c>
      <c r="T410" s="9">
        <v>0</v>
      </c>
      <c r="U410" s="33">
        <v>0</v>
      </c>
      <c r="V410" s="9">
        <v>0</v>
      </c>
      <c r="W410" s="9">
        <v>0</v>
      </c>
      <c r="X410" s="9">
        <v>0</v>
      </c>
      <c r="Y410" s="9">
        <v>0</v>
      </c>
      <c r="Z410" s="9">
        <v>0</v>
      </c>
      <c r="AA410" s="9">
        <v>0</v>
      </c>
      <c r="AB410" s="9">
        <v>0</v>
      </c>
      <c r="AC410" s="9">
        <v>0</v>
      </c>
      <c r="AD410" s="53" t="e">
        <f>#REF!*D410</f>
        <v>#REF!</v>
      </c>
      <c r="AE410" s="53" t="e">
        <f>AD410-#REF!</f>
        <v>#REF!</v>
      </c>
      <c r="AF410" s="8"/>
      <c r="AG410" s="33" t="e">
        <f>#REF!-D410</f>
        <v>#REF!</v>
      </c>
      <c r="AH410" s="8"/>
      <c r="AI410" s="8"/>
      <c r="AJ410" s="8"/>
      <c r="AK410" s="8"/>
    </row>
    <row r="411" spans="1:37" s="17" customFormat="1" ht="40.799999999999997" outlineLevel="1" x14ac:dyDescent="0.2">
      <c r="A411" s="61" t="s">
        <v>943</v>
      </c>
      <c r="B411" s="47" t="s">
        <v>3582</v>
      </c>
      <c r="C411" s="8" t="s">
        <v>47</v>
      </c>
      <c r="D411" s="25">
        <f t="shared" si="123"/>
        <v>365</v>
      </c>
      <c r="E411" s="54"/>
      <c r="F411" s="9"/>
      <c r="G411" s="33">
        <v>11</v>
      </c>
      <c r="H411" s="33">
        <f>24+20+3</f>
        <v>47</v>
      </c>
      <c r="I411" s="9">
        <v>26</v>
      </c>
      <c r="J411" s="9">
        <v>10</v>
      </c>
      <c r="K411" s="9">
        <v>10</v>
      </c>
      <c r="L411" s="9">
        <v>9</v>
      </c>
      <c r="M411" s="9">
        <v>11</v>
      </c>
      <c r="N411" s="9">
        <v>11</v>
      </c>
      <c r="O411" s="9">
        <v>6</v>
      </c>
      <c r="P411" s="9">
        <v>6</v>
      </c>
      <c r="Q411" s="9">
        <v>2</v>
      </c>
      <c r="R411" s="9">
        <v>62</v>
      </c>
      <c r="S411" s="9">
        <v>0</v>
      </c>
      <c r="T411" s="9">
        <v>72</v>
      </c>
      <c r="U411" s="33">
        <v>26</v>
      </c>
      <c r="V411" s="9">
        <v>6</v>
      </c>
      <c r="W411" s="9">
        <v>5</v>
      </c>
      <c r="X411" s="9">
        <v>19</v>
      </c>
      <c r="Y411" s="9">
        <v>7</v>
      </c>
      <c r="Z411" s="9">
        <v>5</v>
      </c>
      <c r="AA411" s="9">
        <v>4</v>
      </c>
      <c r="AB411" s="9">
        <v>10</v>
      </c>
      <c r="AC411" s="9">
        <v>0</v>
      </c>
      <c r="AD411" s="53" t="e">
        <f>#REF!*D411</f>
        <v>#REF!</v>
      </c>
      <c r="AE411" s="53" t="e">
        <f>AD411-#REF!</f>
        <v>#REF!</v>
      </c>
      <c r="AF411" s="8"/>
      <c r="AG411" s="33" t="e">
        <f>#REF!-D411</f>
        <v>#REF!</v>
      </c>
      <c r="AH411" s="8"/>
      <c r="AI411" s="8"/>
      <c r="AJ411" s="8"/>
      <c r="AK411" s="8"/>
    </row>
    <row r="412" spans="1:37" s="17" customFormat="1" ht="40.799999999999997" outlineLevel="1" x14ac:dyDescent="0.2">
      <c r="A412" s="61" t="s">
        <v>944</v>
      </c>
      <c r="B412" s="47" t="s">
        <v>2442</v>
      </c>
      <c r="C412" s="8" t="s">
        <v>47</v>
      </c>
      <c r="D412" s="25">
        <f t="shared" si="123"/>
        <v>32</v>
      </c>
      <c r="E412" s="54"/>
      <c r="F412" s="9"/>
      <c r="G412" s="33">
        <v>0</v>
      </c>
      <c r="H412" s="33">
        <v>32</v>
      </c>
      <c r="I412" s="9">
        <v>0</v>
      </c>
      <c r="J412" s="9">
        <v>0</v>
      </c>
      <c r="K412" s="9">
        <v>0</v>
      </c>
      <c r="L412" s="9">
        <v>0</v>
      </c>
      <c r="M412" s="9">
        <v>0</v>
      </c>
      <c r="N412" s="9">
        <v>0</v>
      </c>
      <c r="O412" s="9">
        <v>0</v>
      </c>
      <c r="P412" s="9">
        <v>0</v>
      </c>
      <c r="Q412" s="9">
        <v>0</v>
      </c>
      <c r="R412" s="9">
        <v>0</v>
      </c>
      <c r="S412" s="9">
        <v>0</v>
      </c>
      <c r="T412" s="9">
        <v>0</v>
      </c>
      <c r="U412" s="33">
        <v>0</v>
      </c>
      <c r="V412" s="9">
        <v>0</v>
      </c>
      <c r="W412" s="9">
        <v>0</v>
      </c>
      <c r="X412" s="9">
        <v>0</v>
      </c>
      <c r="Y412" s="9">
        <v>0</v>
      </c>
      <c r="Z412" s="9">
        <v>0</v>
      </c>
      <c r="AA412" s="9">
        <v>0</v>
      </c>
      <c r="AB412" s="9">
        <v>0</v>
      </c>
      <c r="AC412" s="9">
        <v>0</v>
      </c>
      <c r="AD412" s="53" t="e">
        <f>#REF!*D412</f>
        <v>#REF!</v>
      </c>
      <c r="AE412" s="53" t="e">
        <f>AD412-#REF!</f>
        <v>#REF!</v>
      </c>
      <c r="AF412" s="8"/>
      <c r="AG412" s="33" t="e">
        <f>#REF!-D412</f>
        <v>#REF!</v>
      </c>
      <c r="AH412" s="8"/>
      <c r="AI412" s="8"/>
      <c r="AJ412" s="8"/>
      <c r="AK412" s="8"/>
    </row>
    <row r="413" spans="1:37" s="17" customFormat="1" ht="40.799999999999997" outlineLevel="1" x14ac:dyDescent="0.2">
      <c r="A413" s="61" t="s">
        <v>945</v>
      </c>
      <c r="B413" s="47" t="s">
        <v>3538</v>
      </c>
      <c r="C413" s="8" t="s">
        <v>47</v>
      </c>
      <c r="D413" s="25">
        <f t="shared" si="123"/>
        <v>3</v>
      </c>
      <c r="E413" s="54"/>
      <c r="F413" s="9"/>
      <c r="G413" s="33">
        <v>0</v>
      </c>
      <c r="H413" s="33">
        <v>3</v>
      </c>
      <c r="I413" s="9">
        <v>0</v>
      </c>
      <c r="J413" s="9">
        <v>0</v>
      </c>
      <c r="K413" s="9">
        <v>0</v>
      </c>
      <c r="L413" s="9">
        <v>0</v>
      </c>
      <c r="M413" s="9">
        <v>0</v>
      </c>
      <c r="N413" s="9">
        <v>0</v>
      </c>
      <c r="O413" s="9">
        <v>0</v>
      </c>
      <c r="P413" s="9">
        <v>0</v>
      </c>
      <c r="Q413" s="9">
        <v>0</v>
      </c>
      <c r="R413" s="9">
        <v>0</v>
      </c>
      <c r="S413" s="9">
        <v>0</v>
      </c>
      <c r="T413" s="9">
        <v>0</v>
      </c>
      <c r="U413" s="33">
        <v>0</v>
      </c>
      <c r="V413" s="9">
        <v>0</v>
      </c>
      <c r="W413" s="9">
        <v>0</v>
      </c>
      <c r="X413" s="9">
        <v>0</v>
      </c>
      <c r="Y413" s="9">
        <v>0</v>
      </c>
      <c r="Z413" s="9">
        <v>0</v>
      </c>
      <c r="AA413" s="9">
        <v>0</v>
      </c>
      <c r="AB413" s="9">
        <v>0</v>
      </c>
      <c r="AC413" s="9">
        <v>0</v>
      </c>
      <c r="AD413" s="53" t="e">
        <f>#REF!*D413</f>
        <v>#REF!</v>
      </c>
      <c r="AE413" s="53" t="e">
        <f>AD413-#REF!</f>
        <v>#REF!</v>
      </c>
      <c r="AF413" s="8"/>
      <c r="AG413" s="33" t="e">
        <f>#REF!-D413</f>
        <v>#REF!</v>
      </c>
      <c r="AH413" s="8"/>
      <c r="AI413" s="8"/>
      <c r="AJ413" s="8"/>
      <c r="AK413" s="8"/>
    </row>
    <row r="414" spans="1:37" s="17" customFormat="1" ht="40.799999999999997" outlineLevel="1" x14ac:dyDescent="0.2">
      <c r="A414" s="61" t="s">
        <v>946</v>
      </c>
      <c r="B414" s="47" t="s">
        <v>2461</v>
      </c>
      <c r="C414" s="8" t="s">
        <v>47</v>
      </c>
      <c r="D414" s="25">
        <f t="shared" si="123"/>
        <v>19</v>
      </c>
      <c r="E414" s="54"/>
      <c r="F414" s="9"/>
      <c r="G414" s="33">
        <v>0</v>
      </c>
      <c r="H414" s="33">
        <v>0</v>
      </c>
      <c r="I414" s="9">
        <v>19</v>
      </c>
      <c r="J414" s="9">
        <v>0</v>
      </c>
      <c r="K414" s="9">
        <v>0</v>
      </c>
      <c r="L414" s="9">
        <v>0</v>
      </c>
      <c r="M414" s="9">
        <v>0</v>
      </c>
      <c r="N414" s="9">
        <v>0</v>
      </c>
      <c r="O414" s="9">
        <v>0</v>
      </c>
      <c r="P414" s="9">
        <v>0</v>
      </c>
      <c r="Q414" s="9">
        <v>0</v>
      </c>
      <c r="R414" s="9">
        <v>0</v>
      </c>
      <c r="S414" s="9">
        <v>0</v>
      </c>
      <c r="T414" s="9">
        <v>0</v>
      </c>
      <c r="U414" s="33">
        <v>0</v>
      </c>
      <c r="V414" s="9">
        <v>0</v>
      </c>
      <c r="W414" s="9">
        <v>0</v>
      </c>
      <c r="X414" s="9">
        <v>0</v>
      </c>
      <c r="Y414" s="9">
        <v>0</v>
      </c>
      <c r="Z414" s="9">
        <v>0</v>
      </c>
      <c r="AA414" s="9">
        <v>0</v>
      </c>
      <c r="AB414" s="9">
        <v>0</v>
      </c>
      <c r="AC414" s="9">
        <v>0</v>
      </c>
      <c r="AD414" s="53" t="e">
        <f>#REF!*D414</f>
        <v>#REF!</v>
      </c>
      <c r="AE414" s="53" t="e">
        <f>AD414-#REF!</f>
        <v>#REF!</v>
      </c>
      <c r="AF414" s="8"/>
      <c r="AG414" s="33" t="e">
        <f>#REF!-D414</f>
        <v>#REF!</v>
      </c>
      <c r="AH414" s="8"/>
      <c r="AI414" s="8"/>
      <c r="AJ414" s="8"/>
      <c r="AK414" s="8"/>
    </row>
    <row r="415" spans="1:37" s="17" customFormat="1" ht="20.399999999999999" outlineLevel="1" x14ac:dyDescent="0.2">
      <c r="A415" s="61" t="s">
        <v>947</v>
      </c>
      <c r="B415" s="47" t="s">
        <v>2443</v>
      </c>
      <c r="C415" s="8" t="s">
        <v>47</v>
      </c>
      <c r="D415" s="25">
        <f t="shared" si="123"/>
        <v>3</v>
      </c>
      <c r="E415" s="54"/>
      <c r="F415" s="9"/>
      <c r="G415" s="33">
        <v>0</v>
      </c>
      <c r="H415" s="33">
        <v>3</v>
      </c>
      <c r="I415" s="9">
        <v>0</v>
      </c>
      <c r="J415" s="9">
        <v>0</v>
      </c>
      <c r="K415" s="9">
        <v>0</v>
      </c>
      <c r="L415" s="9">
        <v>0</v>
      </c>
      <c r="M415" s="9">
        <v>0</v>
      </c>
      <c r="N415" s="9">
        <v>0</v>
      </c>
      <c r="O415" s="9">
        <v>0</v>
      </c>
      <c r="P415" s="9">
        <v>0</v>
      </c>
      <c r="Q415" s="9">
        <v>0</v>
      </c>
      <c r="R415" s="9">
        <v>0</v>
      </c>
      <c r="S415" s="9">
        <v>0</v>
      </c>
      <c r="T415" s="9">
        <v>0</v>
      </c>
      <c r="U415" s="33">
        <v>0</v>
      </c>
      <c r="V415" s="9">
        <v>0</v>
      </c>
      <c r="W415" s="9">
        <v>0</v>
      </c>
      <c r="X415" s="9">
        <v>0</v>
      </c>
      <c r="Y415" s="9">
        <v>0</v>
      </c>
      <c r="Z415" s="9">
        <v>0</v>
      </c>
      <c r="AA415" s="9">
        <v>0</v>
      </c>
      <c r="AB415" s="9">
        <v>0</v>
      </c>
      <c r="AC415" s="9">
        <v>0</v>
      </c>
      <c r="AD415" s="53" t="e">
        <f>#REF!*D415</f>
        <v>#REF!</v>
      </c>
      <c r="AE415" s="53" t="e">
        <f>AD415-#REF!</f>
        <v>#REF!</v>
      </c>
      <c r="AF415" s="8"/>
      <c r="AG415" s="33" t="e">
        <f>#REF!-D415</f>
        <v>#REF!</v>
      </c>
      <c r="AH415" s="8"/>
      <c r="AI415" s="8"/>
      <c r="AJ415" s="8"/>
      <c r="AK415" s="8"/>
    </row>
    <row r="416" spans="1:37" s="17" customFormat="1" ht="51" outlineLevel="1" x14ac:dyDescent="0.2">
      <c r="A416" s="61" t="s">
        <v>948</v>
      </c>
      <c r="B416" s="47" t="s">
        <v>3583</v>
      </c>
      <c r="C416" s="8" t="s">
        <v>47</v>
      </c>
      <c r="D416" s="25">
        <f t="shared" si="123"/>
        <v>44</v>
      </c>
      <c r="E416" s="54"/>
      <c r="F416" s="9"/>
      <c r="G416" s="33">
        <v>0</v>
      </c>
      <c r="H416" s="33">
        <v>0</v>
      </c>
      <c r="I416" s="9">
        <v>0</v>
      </c>
      <c r="J416" s="9">
        <v>0</v>
      </c>
      <c r="K416" s="9">
        <v>0</v>
      </c>
      <c r="L416" s="9">
        <v>0</v>
      </c>
      <c r="M416" s="9">
        <v>0</v>
      </c>
      <c r="N416" s="9">
        <v>0</v>
      </c>
      <c r="O416" s="9">
        <v>0</v>
      </c>
      <c r="P416" s="9">
        <v>4</v>
      </c>
      <c r="Q416" s="9">
        <v>40</v>
      </c>
      <c r="R416" s="9">
        <v>0</v>
      </c>
      <c r="S416" s="9">
        <v>0</v>
      </c>
      <c r="T416" s="9">
        <v>0</v>
      </c>
      <c r="U416" s="33">
        <v>0</v>
      </c>
      <c r="V416" s="9">
        <v>0</v>
      </c>
      <c r="W416" s="9">
        <v>0</v>
      </c>
      <c r="X416" s="9">
        <v>0</v>
      </c>
      <c r="Y416" s="9">
        <v>0</v>
      </c>
      <c r="Z416" s="9">
        <v>0</v>
      </c>
      <c r="AA416" s="9">
        <v>0</v>
      </c>
      <c r="AB416" s="9">
        <v>0</v>
      </c>
      <c r="AC416" s="9">
        <v>0</v>
      </c>
      <c r="AD416" s="53" t="e">
        <f>#REF!*D416</f>
        <v>#REF!</v>
      </c>
      <c r="AE416" s="53" t="e">
        <f>AD416-#REF!</f>
        <v>#REF!</v>
      </c>
      <c r="AF416" s="8"/>
      <c r="AG416" s="33" t="e">
        <f>#REF!-D416</f>
        <v>#REF!</v>
      </c>
      <c r="AH416" s="8"/>
      <c r="AI416" s="8"/>
      <c r="AJ416" s="8"/>
      <c r="AK416" s="8"/>
    </row>
    <row r="417" spans="1:37" s="17" customFormat="1" ht="30.6" outlineLevel="1" x14ac:dyDescent="0.2">
      <c r="A417" s="61" t="s">
        <v>949</v>
      </c>
      <c r="B417" s="47" t="s">
        <v>440</v>
      </c>
      <c r="C417" s="8" t="s">
        <v>47</v>
      </c>
      <c r="D417" s="25">
        <f t="shared" si="123"/>
        <v>301</v>
      </c>
      <c r="E417" s="54"/>
      <c r="F417" s="9"/>
      <c r="G417" s="33">
        <v>0</v>
      </c>
      <c r="H417" s="33">
        <f>38-5</f>
        <v>33</v>
      </c>
      <c r="I417" s="9">
        <f>18+3+7+9+1-5</f>
        <v>33</v>
      </c>
      <c r="J417" s="9">
        <f>34-8</f>
        <v>26</v>
      </c>
      <c r="K417" s="9">
        <f>21+12+7+5-16</f>
        <v>29</v>
      </c>
      <c r="L417" s="9">
        <f>11+6+7+4-12</f>
        <v>16</v>
      </c>
      <c r="M417" s="9">
        <f>10+6+1</f>
        <v>17</v>
      </c>
      <c r="N417" s="9">
        <f>11+6</f>
        <v>17</v>
      </c>
      <c r="O417" s="9">
        <f>13+7</f>
        <v>20</v>
      </c>
      <c r="P417" s="9">
        <f>16+8</f>
        <v>24</v>
      </c>
      <c r="Q417" s="9">
        <f>16+8</f>
        <v>24</v>
      </c>
      <c r="R417" s="9">
        <v>10</v>
      </c>
      <c r="S417" s="9">
        <v>0</v>
      </c>
      <c r="T417" s="9">
        <v>0</v>
      </c>
      <c r="U417" s="88">
        <v>5</v>
      </c>
      <c r="V417" s="49">
        <v>5</v>
      </c>
      <c r="W417" s="49">
        <v>8</v>
      </c>
      <c r="X417" s="49">
        <v>16</v>
      </c>
      <c r="Y417" s="49">
        <v>12</v>
      </c>
      <c r="Z417" s="49">
        <v>3</v>
      </c>
      <c r="AA417" s="49">
        <v>3</v>
      </c>
      <c r="AB417" s="9">
        <v>0</v>
      </c>
      <c r="AC417" s="9">
        <v>0</v>
      </c>
      <c r="AD417" s="53" t="e">
        <f>#REF!*D417</f>
        <v>#REF!</v>
      </c>
      <c r="AE417" s="53" t="e">
        <f>AD417-#REF!</f>
        <v>#REF!</v>
      </c>
      <c r="AF417" s="8"/>
      <c r="AG417" s="33" t="e">
        <f>#REF!-D417</f>
        <v>#REF!</v>
      </c>
      <c r="AH417" s="8"/>
      <c r="AI417" s="8"/>
      <c r="AJ417" s="8"/>
      <c r="AK417" s="8"/>
    </row>
    <row r="418" spans="1:37" s="17" customFormat="1" ht="42" outlineLevel="1" x14ac:dyDescent="0.2">
      <c r="A418" s="61" t="s">
        <v>950</v>
      </c>
      <c r="B418" s="47" t="s">
        <v>2462</v>
      </c>
      <c r="C418" s="8" t="s">
        <v>47</v>
      </c>
      <c r="D418" s="25">
        <f t="shared" si="123"/>
        <v>3</v>
      </c>
      <c r="E418" s="54"/>
      <c r="F418" s="9"/>
      <c r="G418" s="33">
        <v>0</v>
      </c>
      <c r="H418" s="33">
        <v>0</v>
      </c>
      <c r="I418" s="9">
        <v>3</v>
      </c>
      <c r="J418" s="9">
        <v>0</v>
      </c>
      <c r="K418" s="9">
        <v>0</v>
      </c>
      <c r="L418" s="9">
        <v>0</v>
      </c>
      <c r="M418" s="9">
        <v>0</v>
      </c>
      <c r="N418" s="9">
        <v>0</v>
      </c>
      <c r="O418" s="9">
        <v>0</v>
      </c>
      <c r="P418" s="9">
        <v>0</v>
      </c>
      <c r="Q418" s="9">
        <v>0</v>
      </c>
      <c r="R418" s="9">
        <v>0</v>
      </c>
      <c r="S418" s="9">
        <v>0</v>
      </c>
      <c r="T418" s="9">
        <v>0</v>
      </c>
      <c r="U418" s="33">
        <v>0</v>
      </c>
      <c r="V418" s="9">
        <v>0</v>
      </c>
      <c r="W418" s="9">
        <v>0</v>
      </c>
      <c r="X418" s="9">
        <v>0</v>
      </c>
      <c r="Y418" s="9">
        <v>0</v>
      </c>
      <c r="Z418" s="9">
        <v>0</v>
      </c>
      <c r="AA418" s="9">
        <v>0</v>
      </c>
      <c r="AB418" s="9">
        <v>0</v>
      </c>
      <c r="AC418" s="9">
        <v>0</v>
      </c>
      <c r="AD418" s="53" t="e">
        <f>#REF!*D418</f>
        <v>#REF!</v>
      </c>
      <c r="AE418" s="53" t="e">
        <f>AD418-#REF!</f>
        <v>#REF!</v>
      </c>
      <c r="AF418" s="8"/>
      <c r="AG418" s="33" t="e">
        <f>#REF!-D418</f>
        <v>#REF!</v>
      </c>
      <c r="AH418" s="8"/>
      <c r="AI418" s="8"/>
      <c r="AJ418" s="8"/>
      <c r="AK418" s="8"/>
    </row>
    <row r="419" spans="1:37" s="17" customFormat="1" ht="30.6" outlineLevel="1" x14ac:dyDescent="0.2">
      <c r="A419" s="61" t="s">
        <v>951</v>
      </c>
      <c r="B419" s="47" t="s">
        <v>2465</v>
      </c>
      <c r="C419" s="8" t="s">
        <v>47</v>
      </c>
      <c r="D419" s="25">
        <f t="shared" si="123"/>
        <v>107</v>
      </c>
      <c r="E419" s="54"/>
      <c r="F419" s="9"/>
      <c r="G419" s="33">
        <v>59</v>
      </c>
      <c r="H419" s="33">
        <v>0</v>
      </c>
      <c r="I419" s="9">
        <v>30</v>
      </c>
      <c r="J419" s="9">
        <v>0</v>
      </c>
      <c r="K419" s="9">
        <v>0</v>
      </c>
      <c r="L419" s="9">
        <v>0</v>
      </c>
      <c r="M419" s="9">
        <v>18</v>
      </c>
      <c r="N419" s="9">
        <v>0</v>
      </c>
      <c r="O419" s="9">
        <v>0</v>
      </c>
      <c r="P419" s="9">
        <v>0</v>
      </c>
      <c r="Q419" s="9">
        <v>0</v>
      </c>
      <c r="R419" s="9">
        <v>0</v>
      </c>
      <c r="S419" s="9">
        <v>0</v>
      </c>
      <c r="T419" s="9">
        <v>0</v>
      </c>
      <c r="U419" s="33">
        <v>0</v>
      </c>
      <c r="V419" s="9">
        <v>0</v>
      </c>
      <c r="W419" s="9">
        <v>0</v>
      </c>
      <c r="X419" s="9">
        <v>0</v>
      </c>
      <c r="Y419" s="9">
        <v>0</v>
      </c>
      <c r="Z419" s="9">
        <v>0</v>
      </c>
      <c r="AA419" s="9">
        <v>0</v>
      </c>
      <c r="AB419" s="9">
        <v>0</v>
      </c>
      <c r="AC419" s="9">
        <v>0</v>
      </c>
      <c r="AD419" s="53" t="e">
        <f>#REF!*D419</f>
        <v>#REF!</v>
      </c>
      <c r="AE419" s="53" t="e">
        <f>AD419-#REF!</f>
        <v>#REF!</v>
      </c>
      <c r="AF419" s="8"/>
      <c r="AG419" s="33" t="e">
        <f>#REF!-D419</f>
        <v>#REF!</v>
      </c>
      <c r="AH419" s="8"/>
      <c r="AI419" s="8"/>
      <c r="AJ419" s="8"/>
      <c r="AK419" s="8"/>
    </row>
    <row r="420" spans="1:37" s="17" customFormat="1" ht="30.6" outlineLevel="1" x14ac:dyDescent="0.2">
      <c r="A420" s="61" t="s">
        <v>952</v>
      </c>
      <c r="B420" s="47" t="s">
        <v>3539</v>
      </c>
      <c r="C420" s="8" t="s">
        <v>47</v>
      </c>
      <c r="D420" s="25">
        <f t="shared" si="123"/>
        <v>21</v>
      </c>
      <c r="E420" s="54"/>
      <c r="F420" s="9"/>
      <c r="G420" s="33">
        <v>21</v>
      </c>
      <c r="H420" s="33">
        <v>0</v>
      </c>
      <c r="I420" s="9">
        <v>0</v>
      </c>
      <c r="J420" s="9">
        <v>0</v>
      </c>
      <c r="K420" s="9">
        <v>0</v>
      </c>
      <c r="L420" s="9">
        <v>0</v>
      </c>
      <c r="M420" s="9">
        <v>0</v>
      </c>
      <c r="N420" s="9">
        <v>0</v>
      </c>
      <c r="O420" s="9">
        <v>0</v>
      </c>
      <c r="P420" s="9">
        <v>0</v>
      </c>
      <c r="Q420" s="9">
        <v>0</v>
      </c>
      <c r="R420" s="9">
        <v>0</v>
      </c>
      <c r="S420" s="9">
        <v>0</v>
      </c>
      <c r="T420" s="9">
        <v>0</v>
      </c>
      <c r="U420" s="33">
        <v>0</v>
      </c>
      <c r="V420" s="9">
        <v>0</v>
      </c>
      <c r="W420" s="9">
        <v>0</v>
      </c>
      <c r="X420" s="9">
        <v>0</v>
      </c>
      <c r="Y420" s="9">
        <v>0</v>
      </c>
      <c r="Z420" s="9">
        <v>0</v>
      </c>
      <c r="AA420" s="9">
        <v>0</v>
      </c>
      <c r="AB420" s="9">
        <v>0</v>
      </c>
      <c r="AC420" s="9">
        <v>0</v>
      </c>
      <c r="AD420" s="53" t="e">
        <f>#REF!*D420</f>
        <v>#REF!</v>
      </c>
      <c r="AE420" s="53" t="e">
        <f>AD420-#REF!</f>
        <v>#REF!</v>
      </c>
      <c r="AF420" s="8"/>
      <c r="AG420" s="33" t="e">
        <f>#REF!-D420</f>
        <v>#REF!</v>
      </c>
      <c r="AH420" s="8"/>
      <c r="AI420" s="8"/>
      <c r="AJ420" s="8"/>
      <c r="AK420" s="8"/>
    </row>
    <row r="421" spans="1:37" s="17" customFormat="1" ht="30.6" outlineLevel="1" x14ac:dyDescent="0.2">
      <c r="A421" s="61" t="s">
        <v>953</v>
      </c>
      <c r="B421" s="47" t="s">
        <v>2466</v>
      </c>
      <c r="C421" s="8" t="s">
        <v>47</v>
      </c>
      <c r="D421" s="25">
        <f t="shared" si="123"/>
        <v>4</v>
      </c>
      <c r="E421" s="54"/>
      <c r="F421" s="9"/>
      <c r="G421" s="33">
        <v>4</v>
      </c>
      <c r="H421" s="33">
        <v>0</v>
      </c>
      <c r="I421" s="9">
        <v>0</v>
      </c>
      <c r="J421" s="9">
        <v>0</v>
      </c>
      <c r="K421" s="9">
        <v>0</v>
      </c>
      <c r="L421" s="9">
        <v>0</v>
      </c>
      <c r="M421" s="9">
        <v>0</v>
      </c>
      <c r="N421" s="9">
        <v>0</v>
      </c>
      <c r="O421" s="9">
        <v>0</v>
      </c>
      <c r="P421" s="9">
        <v>0</v>
      </c>
      <c r="Q421" s="9">
        <v>0</v>
      </c>
      <c r="R421" s="9">
        <v>0</v>
      </c>
      <c r="S421" s="9">
        <v>0</v>
      </c>
      <c r="T421" s="9">
        <v>0</v>
      </c>
      <c r="U421" s="33">
        <v>0</v>
      </c>
      <c r="V421" s="9">
        <v>0</v>
      </c>
      <c r="W421" s="9">
        <v>0</v>
      </c>
      <c r="X421" s="9">
        <v>0</v>
      </c>
      <c r="Y421" s="9">
        <v>0</v>
      </c>
      <c r="Z421" s="9">
        <v>0</v>
      </c>
      <c r="AA421" s="9">
        <v>0</v>
      </c>
      <c r="AB421" s="9">
        <v>0</v>
      </c>
      <c r="AC421" s="9">
        <v>0</v>
      </c>
      <c r="AD421" s="53" t="e">
        <f>#REF!*D421</f>
        <v>#REF!</v>
      </c>
      <c r="AE421" s="53" t="e">
        <f>AD421-#REF!</f>
        <v>#REF!</v>
      </c>
      <c r="AF421" s="8"/>
      <c r="AG421" s="33" t="e">
        <f>#REF!-D421</f>
        <v>#REF!</v>
      </c>
      <c r="AH421" s="8"/>
      <c r="AI421" s="8"/>
      <c r="AJ421" s="8"/>
      <c r="AK421" s="8"/>
    </row>
    <row r="422" spans="1:37" s="17" customFormat="1" ht="30.6" outlineLevel="1" x14ac:dyDescent="0.2">
      <c r="A422" s="61" t="s">
        <v>954</v>
      </c>
      <c r="B422" s="47" t="s">
        <v>2467</v>
      </c>
      <c r="C422" s="8" t="s">
        <v>47</v>
      </c>
      <c r="D422" s="25">
        <f t="shared" si="123"/>
        <v>29</v>
      </c>
      <c r="E422" s="54"/>
      <c r="F422" s="9"/>
      <c r="G422" s="33">
        <v>20</v>
      </c>
      <c r="H422" s="33">
        <v>0</v>
      </c>
      <c r="I422" s="9">
        <v>9</v>
      </c>
      <c r="J422" s="9">
        <v>0</v>
      </c>
      <c r="K422" s="9">
        <v>0</v>
      </c>
      <c r="L422" s="9">
        <v>0</v>
      </c>
      <c r="M422" s="9">
        <v>0</v>
      </c>
      <c r="N422" s="9">
        <v>0</v>
      </c>
      <c r="O422" s="9">
        <v>0</v>
      </c>
      <c r="P422" s="9">
        <v>0</v>
      </c>
      <c r="Q422" s="9">
        <v>0</v>
      </c>
      <c r="R422" s="9">
        <v>0</v>
      </c>
      <c r="S422" s="9">
        <v>0</v>
      </c>
      <c r="T422" s="9">
        <v>0</v>
      </c>
      <c r="U422" s="33">
        <v>0</v>
      </c>
      <c r="V422" s="9">
        <v>0</v>
      </c>
      <c r="W422" s="9">
        <v>0</v>
      </c>
      <c r="X422" s="9">
        <v>0</v>
      </c>
      <c r="Y422" s="9">
        <v>0</v>
      </c>
      <c r="Z422" s="9">
        <v>0</v>
      </c>
      <c r="AA422" s="9">
        <v>0</v>
      </c>
      <c r="AB422" s="9">
        <v>0</v>
      </c>
      <c r="AC422" s="9">
        <v>0</v>
      </c>
      <c r="AD422" s="53" t="e">
        <f>#REF!*D422</f>
        <v>#REF!</v>
      </c>
      <c r="AE422" s="53" t="e">
        <f>AD422-#REF!</f>
        <v>#REF!</v>
      </c>
      <c r="AF422" s="8"/>
      <c r="AG422" s="33" t="e">
        <f>#REF!-D422</f>
        <v>#REF!</v>
      </c>
      <c r="AH422" s="8"/>
      <c r="AI422" s="8"/>
      <c r="AJ422" s="8"/>
      <c r="AK422" s="8"/>
    </row>
    <row r="423" spans="1:37" s="17" customFormat="1" ht="30.6" outlineLevel="1" collapsed="1" x14ac:dyDescent="0.2">
      <c r="A423" s="61" t="s">
        <v>955</v>
      </c>
      <c r="B423" s="47" t="s">
        <v>3256</v>
      </c>
      <c r="C423" s="8" t="s">
        <v>47</v>
      </c>
      <c r="D423" s="25">
        <f t="shared" si="123"/>
        <v>10</v>
      </c>
      <c r="E423" s="54"/>
      <c r="F423" s="9"/>
      <c r="G423" s="33">
        <v>0</v>
      </c>
      <c r="H423" s="33">
        <v>2</v>
      </c>
      <c r="I423" s="9">
        <v>0</v>
      </c>
      <c r="J423" s="9">
        <v>0</v>
      </c>
      <c r="K423" s="9">
        <v>0</v>
      </c>
      <c r="L423" s="9">
        <v>0</v>
      </c>
      <c r="M423" s="9">
        <v>0</v>
      </c>
      <c r="N423" s="9">
        <v>0</v>
      </c>
      <c r="O423" s="9">
        <v>0</v>
      </c>
      <c r="P423" s="9">
        <v>0</v>
      </c>
      <c r="Q423" s="9">
        <v>0</v>
      </c>
      <c r="R423" s="9">
        <v>0</v>
      </c>
      <c r="S423" s="9">
        <v>0</v>
      </c>
      <c r="T423" s="9">
        <v>0</v>
      </c>
      <c r="U423" s="33">
        <v>8</v>
      </c>
      <c r="V423" s="9">
        <v>0</v>
      </c>
      <c r="W423" s="9">
        <v>0</v>
      </c>
      <c r="X423" s="9">
        <v>0</v>
      </c>
      <c r="Y423" s="9">
        <v>0</v>
      </c>
      <c r="Z423" s="9">
        <v>0</v>
      </c>
      <c r="AA423" s="9">
        <v>0</v>
      </c>
      <c r="AB423" s="9">
        <v>0</v>
      </c>
      <c r="AC423" s="9">
        <v>0</v>
      </c>
      <c r="AD423" s="53" t="e">
        <f>#REF!*D423</f>
        <v>#REF!</v>
      </c>
      <c r="AE423" s="53" t="e">
        <f>AD423-#REF!</f>
        <v>#REF!</v>
      </c>
      <c r="AF423" s="8"/>
      <c r="AG423" s="33" t="e">
        <f>#REF!-D423</f>
        <v>#REF!</v>
      </c>
      <c r="AH423" s="8"/>
      <c r="AI423" s="8"/>
      <c r="AJ423" s="8"/>
      <c r="AK423" s="8"/>
    </row>
    <row r="424" spans="1:37" s="17" customFormat="1" ht="40.799999999999997" outlineLevel="1" x14ac:dyDescent="0.2">
      <c r="A424" s="61" t="s">
        <v>956</v>
      </c>
      <c r="B424" s="47" t="s">
        <v>2440</v>
      </c>
      <c r="C424" s="8" t="s">
        <v>47</v>
      </c>
      <c r="D424" s="25">
        <f t="shared" si="123"/>
        <v>35</v>
      </c>
      <c r="E424" s="54"/>
      <c r="F424" s="9"/>
      <c r="G424" s="33">
        <v>24</v>
      </c>
      <c r="H424" s="33">
        <v>0</v>
      </c>
      <c r="I424" s="9">
        <f>1+8</f>
        <v>9</v>
      </c>
      <c r="J424" s="9">
        <v>0</v>
      </c>
      <c r="K424" s="9">
        <v>0</v>
      </c>
      <c r="L424" s="9">
        <v>0</v>
      </c>
      <c r="M424" s="9">
        <v>0</v>
      </c>
      <c r="N424" s="9">
        <v>0</v>
      </c>
      <c r="O424" s="9">
        <v>0</v>
      </c>
      <c r="P424" s="9">
        <v>0</v>
      </c>
      <c r="Q424" s="9">
        <v>0</v>
      </c>
      <c r="R424" s="9">
        <v>0</v>
      </c>
      <c r="S424" s="9">
        <v>0</v>
      </c>
      <c r="T424" s="9">
        <v>0</v>
      </c>
      <c r="U424" s="88">
        <v>2</v>
      </c>
      <c r="V424" s="9">
        <v>0</v>
      </c>
      <c r="W424" s="9">
        <v>0</v>
      </c>
      <c r="X424" s="9">
        <v>0</v>
      </c>
      <c r="Y424" s="9">
        <v>0</v>
      </c>
      <c r="Z424" s="9">
        <v>0</v>
      </c>
      <c r="AA424" s="9">
        <v>0</v>
      </c>
      <c r="AB424" s="9">
        <v>0</v>
      </c>
      <c r="AC424" s="9">
        <v>0</v>
      </c>
      <c r="AD424" s="53" t="e">
        <f>#REF!*D424</f>
        <v>#REF!</v>
      </c>
      <c r="AE424" s="53" t="e">
        <f>AD424-#REF!</f>
        <v>#REF!</v>
      </c>
      <c r="AF424" s="8"/>
      <c r="AG424" s="33" t="e">
        <f>#REF!-D424</f>
        <v>#REF!</v>
      </c>
      <c r="AH424" s="8"/>
      <c r="AI424" s="8"/>
      <c r="AJ424" s="8"/>
      <c r="AK424" s="8"/>
    </row>
    <row r="425" spans="1:37" s="17" customFormat="1" ht="20.399999999999999" outlineLevel="1" x14ac:dyDescent="0.2">
      <c r="A425" s="61" t="s">
        <v>957</v>
      </c>
      <c r="B425" s="36" t="s">
        <v>2819</v>
      </c>
      <c r="C425" s="8" t="s">
        <v>47</v>
      </c>
      <c r="D425" s="25">
        <f t="shared" si="123"/>
        <v>1</v>
      </c>
      <c r="E425" s="54"/>
      <c r="F425" s="9"/>
      <c r="G425" s="33">
        <v>0</v>
      </c>
      <c r="H425" s="33">
        <v>0</v>
      </c>
      <c r="I425" s="9">
        <v>0</v>
      </c>
      <c r="J425" s="9">
        <v>0</v>
      </c>
      <c r="K425" s="9">
        <v>0</v>
      </c>
      <c r="L425" s="9">
        <v>0</v>
      </c>
      <c r="M425" s="9">
        <v>0</v>
      </c>
      <c r="N425" s="9">
        <v>0</v>
      </c>
      <c r="O425" s="9">
        <v>0</v>
      </c>
      <c r="P425" s="9">
        <v>0</v>
      </c>
      <c r="Q425" s="9">
        <v>0</v>
      </c>
      <c r="R425" s="9">
        <v>0</v>
      </c>
      <c r="S425" s="9">
        <v>1</v>
      </c>
      <c r="T425" s="9">
        <v>0</v>
      </c>
      <c r="U425" s="33">
        <v>0</v>
      </c>
      <c r="V425" s="9">
        <v>0</v>
      </c>
      <c r="W425" s="9">
        <v>0</v>
      </c>
      <c r="X425" s="9">
        <v>0</v>
      </c>
      <c r="Y425" s="9">
        <v>0</v>
      </c>
      <c r="Z425" s="9">
        <v>0</v>
      </c>
      <c r="AA425" s="9">
        <v>0</v>
      </c>
      <c r="AB425" s="9">
        <v>0</v>
      </c>
      <c r="AC425" s="9">
        <v>0</v>
      </c>
      <c r="AD425" s="53" t="e">
        <f>#REF!*D425</f>
        <v>#REF!</v>
      </c>
      <c r="AE425" s="53" t="e">
        <f>AD425-#REF!</f>
        <v>#REF!</v>
      </c>
      <c r="AF425" s="8"/>
      <c r="AG425" s="33" t="e">
        <f>#REF!-D425</f>
        <v>#REF!</v>
      </c>
      <c r="AH425" s="8"/>
      <c r="AI425" s="8"/>
      <c r="AJ425" s="8"/>
      <c r="AK425" s="8"/>
    </row>
    <row r="426" spans="1:37" outlineLevel="1" x14ac:dyDescent="0.25">
      <c r="A426" s="61"/>
      <c r="E426" s="54"/>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53"/>
      <c r="AE426" s="53" t="e">
        <f>AD426-#REF!</f>
        <v>#REF!</v>
      </c>
      <c r="AG426" s="33"/>
    </row>
    <row r="427" spans="1:37" x14ac:dyDescent="0.25">
      <c r="A427" s="18" t="s">
        <v>29</v>
      </c>
      <c r="B427" s="35" t="s">
        <v>2372</v>
      </c>
      <c r="C427" s="18" t="s">
        <v>41</v>
      </c>
      <c r="D427" s="52" t="e">
        <f>#REF!/#REF!*100</f>
        <v>#REF!</v>
      </c>
      <c r="E427" s="200" t="s">
        <v>2806</v>
      </c>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53" t="e">
        <f>#REF!*D427</f>
        <v>#REF!</v>
      </c>
      <c r="AE427" s="53" t="e">
        <f>AD427-#REF!</f>
        <v>#REF!</v>
      </c>
      <c r="AG427" s="33" t="e">
        <f>#REF!-D427</f>
        <v>#REF!</v>
      </c>
    </row>
    <row r="428" spans="1:37" s="17" customFormat="1" ht="40.799999999999997" outlineLevel="1" x14ac:dyDescent="0.2">
      <c r="A428" s="61" t="s">
        <v>958</v>
      </c>
      <c r="B428" s="47" t="s">
        <v>3252</v>
      </c>
      <c r="C428" s="8" t="s">
        <v>47</v>
      </c>
      <c r="D428" s="25">
        <f>SUM(G428:AC428)</f>
        <v>1</v>
      </c>
      <c r="E428" s="54"/>
      <c r="F428" s="78"/>
      <c r="G428" s="33">
        <v>0</v>
      </c>
      <c r="H428" s="33">
        <v>1</v>
      </c>
      <c r="I428" s="9">
        <v>0</v>
      </c>
      <c r="J428" s="9">
        <v>0</v>
      </c>
      <c r="K428" s="9">
        <v>0</v>
      </c>
      <c r="L428" s="9">
        <v>0</v>
      </c>
      <c r="M428" s="9">
        <v>0</v>
      </c>
      <c r="N428" s="9">
        <v>0</v>
      </c>
      <c r="O428" s="9">
        <v>0</v>
      </c>
      <c r="P428" s="9">
        <v>0</v>
      </c>
      <c r="Q428" s="9">
        <v>0</v>
      </c>
      <c r="R428" s="9">
        <v>0</v>
      </c>
      <c r="S428" s="9">
        <v>0</v>
      </c>
      <c r="T428" s="9">
        <v>0</v>
      </c>
      <c r="U428" s="33">
        <v>0</v>
      </c>
      <c r="V428" s="9">
        <v>0</v>
      </c>
      <c r="W428" s="9">
        <v>0</v>
      </c>
      <c r="X428" s="9">
        <v>0</v>
      </c>
      <c r="Y428" s="9">
        <v>0</v>
      </c>
      <c r="Z428" s="9">
        <v>0</v>
      </c>
      <c r="AA428" s="9">
        <v>0</v>
      </c>
      <c r="AB428" s="9">
        <v>0</v>
      </c>
      <c r="AC428" s="9">
        <v>0</v>
      </c>
      <c r="AD428" s="53" t="e">
        <f>#REF!*D428</f>
        <v>#REF!</v>
      </c>
      <c r="AE428" s="53" t="e">
        <f>AD428-#REF!</f>
        <v>#REF!</v>
      </c>
      <c r="AF428" s="8"/>
      <c r="AG428" s="33" t="e">
        <f>#REF!-D428</f>
        <v>#REF!</v>
      </c>
      <c r="AH428" s="8"/>
      <c r="AI428" s="8"/>
      <c r="AJ428" s="8"/>
      <c r="AK428" s="8"/>
    </row>
    <row r="429" spans="1:37" s="17" customFormat="1" ht="48" customHeight="1" outlineLevel="1" x14ac:dyDescent="0.2">
      <c r="A429" s="61" t="s">
        <v>959</v>
      </c>
      <c r="B429" s="47" t="s">
        <v>3253</v>
      </c>
      <c r="C429" s="8" t="s">
        <v>47</v>
      </c>
      <c r="D429" s="25">
        <f>SUM(G429:AC429)</f>
        <v>1</v>
      </c>
      <c r="E429" s="54"/>
      <c r="F429" s="78"/>
      <c r="G429" s="33">
        <v>0</v>
      </c>
      <c r="H429" s="33">
        <v>0</v>
      </c>
      <c r="I429" s="9">
        <v>0</v>
      </c>
      <c r="J429" s="9">
        <v>0</v>
      </c>
      <c r="K429" s="9">
        <v>0</v>
      </c>
      <c r="L429" s="9">
        <v>0</v>
      </c>
      <c r="M429" s="9">
        <v>0</v>
      </c>
      <c r="N429" s="9">
        <v>0</v>
      </c>
      <c r="O429" s="9">
        <v>0</v>
      </c>
      <c r="P429" s="9">
        <v>0</v>
      </c>
      <c r="Q429" s="9">
        <v>0</v>
      </c>
      <c r="R429" s="9">
        <v>0</v>
      </c>
      <c r="S429" s="9">
        <v>0</v>
      </c>
      <c r="T429" s="9">
        <v>0</v>
      </c>
      <c r="U429" s="33">
        <v>0</v>
      </c>
      <c r="V429" s="9">
        <v>0</v>
      </c>
      <c r="W429" s="9">
        <v>1</v>
      </c>
      <c r="X429" s="9">
        <v>0</v>
      </c>
      <c r="Y429" s="9">
        <v>0</v>
      </c>
      <c r="Z429" s="9">
        <v>0</v>
      </c>
      <c r="AA429" s="9">
        <v>0</v>
      </c>
      <c r="AB429" s="9">
        <v>0</v>
      </c>
      <c r="AC429" s="9">
        <v>0</v>
      </c>
      <c r="AD429" s="53" t="e">
        <f>#REF!*D429</f>
        <v>#REF!</v>
      </c>
      <c r="AE429" s="53" t="e">
        <f>AD429-#REF!</f>
        <v>#REF!</v>
      </c>
      <c r="AF429" s="8"/>
      <c r="AG429" s="33" t="e">
        <f>#REF!-D429</f>
        <v>#REF!</v>
      </c>
      <c r="AH429" s="8"/>
      <c r="AI429" s="8"/>
      <c r="AJ429" s="8"/>
      <c r="AK429" s="8"/>
    </row>
    <row r="430" spans="1:37" s="17" customFormat="1" ht="40.799999999999997" outlineLevel="1" x14ac:dyDescent="0.2">
      <c r="A430" s="61" t="s">
        <v>960</v>
      </c>
      <c r="B430" s="47" t="s">
        <v>3254</v>
      </c>
      <c r="C430" s="8" t="s">
        <v>47</v>
      </c>
      <c r="D430" s="25">
        <f>SUM(G430:AC430)</f>
        <v>1</v>
      </c>
      <c r="E430" s="54"/>
      <c r="F430" s="78"/>
      <c r="G430" s="33">
        <v>0</v>
      </c>
      <c r="H430" s="33">
        <v>0</v>
      </c>
      <c r="I430" s="9">
        <v>0</v>
      </c>
      <c r="J430" s="9">
        <v>0</v>
      </c>
      <c r="K430" s="9">
        <v>0</v>
      </c>
      <c r="L430" s="9">
        <v>0</v>
      </c>
      <c r="M430" s="9">
        <v>0</v>
      </c>
      <c r="N430" s="9">
        <v>0</v>
      </c>
      <c r="O430" s="9">
        <v>0</v>
      </c>
      <c r="P430" s="9">
        <v>0</v>
      </c>
      <c r="Q430" s="9">
        <v>0</v>
      </c>
      <c r="R430" s="9">
        <v>1</v>
      </c>
      <c r="S430" s="9">
        <v>0</v>
      </c>
      <c r="T430" s="9">
        <v>0</v>
      </c>
      <c r="U430" s="33">
        <v>0</v>
      </c>
      <c r="V430" s="9">
        <v>0</v>
      </c>
      <c r="W430" s="9">
        <v>0</v>
      </c>
      <c r="X430" s="9">
        <v>0</v>
      </c>
      <c r="Y430" s="9">
        <v>0</v>
      </c>
      <c r="Z430" s="9">
        <v>0</v>
      </c>
      <c r="AA430" s="9">
        <v>0</v>
      </c>
      <c r="AB430" s="9">
        <v>0</v>
      </c>
      <c r="AC430" s="9">
        <v>0</v>
      </c>
      <c r="AD430" s="53" t="e">
        <f>#REF!*D430</f>
        <v>#REF!</v>
      </c>
      <c r="AE430" s="53" t="e">
        <f>AD430-#REF!</f>
        <v>#REF!</v>
      </c>
      <c r="AF430" s="8"/>
      <c r="AG430" s="33" t="e">
        <f>#REF!-D430</f>
        <v>#REF!</v>
      </c>
      <c r="AH430" s="8"/>
      <c r="AI430" s="8"/>
      <c r="AJ430" s="8"/>
      <c r="AK430" s="8"/>
    </row>
    <row r="431" spans="1:37" s="17" customFormat="1" ht="51" customHeight="1" outlineLevel="1" x14ac:dyDescent="0.2">
      <c r="A431" s="61" t="s">
        <v>961</v>
      </c>
      <c r="B431" s="47" t="s">
        <v>3255</v>
      </c>
      <c r="C431" s="8" t="s">
        <v>47</v>
      </c>
      <c r="D431" s="25">
        <f>SUM(G431:AC431)</f>
        <v>1</v>
      </c>
      <c r="E431" s="54"/>
      <c r="F431" s="78"/>
      <c r="G431" s="33">
        <v>0</v>
      </c>
      <c r="H431" s="33">
        <v>1</v>
      </c>
      <c r="I431" s="9">
        <v>0</v>
      </c>
      <c r="J431" s="9">
        <v>0</v>
      </c>
      <c r="K431" s="9">
        <v>0</v>
      </c>
      <c r="L431" s="9">
        <v>0</v>
      </c>
      <c r="M431" s="9">
        <v>0</v>
      </c>
      <c r="N431" s="9">
        <v>0</v>
      </c>
      <c r="O431" s="9">
        <v>0</v>
      </c>
      <c r="P431" s="9">
        <v>0</v>
      </c>
      <c r="Q431" s="9">
        <v>0</v>
      </c>
      <c r="R431" s="9">
        <v>0</v>
      </c>
      <c r="S431" s="9">
        <v>0</v>
      </c>
      <c r="T431" s="9">
        <v>0</v>
      </c>
      <c r="U431" s="33">
        <v>0</v>
      </c>
      <c r="V431" s="9">
        <v>0</v>
      </c>
      <c r="W431" s="9">
        <v>0</v>
      </c>
      <c r="X431" s="9">
        <v>0</v>
      </c>
      <c r="Y431" s="9">
        <v>0</v>
      </c>
      <c r="Z431" s="9">
        <v>0</v>
      </c>
      <c r="AA431" s="9">
        <v>0</v>
      </c>
      <c r="AB431" s="9">
        <v>0</v>
      </c>
      <c r="AC431" s="9">
        <v>0</v>
      </c>
      <c r="AD431" s="53" t="e">
        <f>#REF!*D431</f>
        <v>#REF!</v>
      </c>
      <c r="AE431" s="53" t="e">
        <f>AD431-#REF!</f>
        <v>#REF!</v>
      </c>
      <c r="AF431" s="8"/>
      <c r="AG431" s="33" t="e">
        <f>#REF!-D431</f>
        <v>#REF!</v>
      </c>
      <c r="AH431" s="8"/>
      <c r="AI431" s="8"/>
      <c r="AJ431" s="8"/>
      <c r="AK431" s="8"/>
    </row>
    <row r="432" spans="1:37" outlineLevel="1" x14ac:dyDescent="0.25">
      <c r="A432" s="61"/>
      <c r="E432" s="54"/>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53" t="e">
        <f>#REF!*D432</f>
        <v>#REF!</v>
      </c>
      <c r="AE432" s="53" t="e">
        <f>AD432-#REF!</f>
        <v>#REF!</v>
      </c>
      <c r="AG432" s="33" t="e">
        <f>#REF!-D432</f>
        <v>#REF!</v>
      </c>
    </row>
    <row r="433" spans="1:37" s="12" customFormat="1" ht="12" x14ac:dyDescent="0.25">
      <c r="A433" s="18" t="s">
        <v>30</v>
      </c>
      <c r="B433" s="35" t="s">
        <v>2439</v>
      </c>
      <c r="C433" s="18" t="s">
        <v>41</v>
      </c>
      <c r="D433" s="52" t="e">
        <f>#REF!/#REF!*100</f>
        <v>#REF!</v>
      </c>
      <c r="E433" s="54"/>
      <c r="F433" s="9"/>
      <c r="G433" s="9"/>
      <c r="H433" s="9"/>
      <c r="I433" s="9"/>
      <c r="J433" s="9"/>
      <c r="K433" s="9"/>
      <c r="L433" s="9"/>
      <c r="M433" s="9"/>
      <c r="N433" s="9"/>
      <c r="O433" s="9"/>
      <c r="P433" s="9"/>
      <c r="Q433" s="9"/>
      <c r="R433" s="9"/>
      <c r="S433" s="9"/>
      <c r="T433" s="9"/>
      <c r="U433" s="9"/>
      <c r="V433" s="9"/>
      <c r="W433" s="9"/>
      <c r="X433" s="9"/>
      <c r="Y433" s="9"/>
      <c r="Z433" s="9"/>
      <c r="AA433" s="9"/>
      <c r="AB433" s="9"/>
      <c r="AC433" s="9"/>
      <c r="AD433" s="53" t="e">
        <f>#REF!*D433</f>
        <v>#REF!</v>
      </c>
      <c r="AE433" s="53" t="e">
        <f>AD433-#REF!</f>
        <v>#REF!</v>
      </c>
      <c r="AF433" s="9"/>
      <c r="AG433" s="33" t="e">
        <f>#REF!-D433</f>
        <v>#REF!</v>
      </c>
      <c r="AH433" s="9"/>
      <c r="AI433" s="9"/>
      <c r="AJ433" s="9"/>
      <c r="AK433" s="9"/>
    </row>
    <row r="434" spans="1:37" s="12" customFormat="1" ht="51" outlineLevel="1" x14ac:dyDescent="0.2">
      <c r="A434" s="61" t="s">
        <v>568</v>
      </c>
      <c r="B434" s="14" t="s">
        <v>3553</v>
      </c>
      <c r="C434" s="9" t="s">
        <v>47</v>
      </c>
      <c r="D434" s="25">
        <f t="shared" ref="D434:D452" si="124">SUM(G434:AC434)</f>
        <v>1</v>
      </c>
      <c r="E434" s="54"/>
      <c r="F434" s="9"/>
      <c r="G434" s="33">
        <v>0</v>
      </c>
      <c r="H434" s="33">
        <v>0</v>
      </c>
      <c r="I434" s="9">
        <v>1</v>
      </c>
      <c r="J434" s="9">
        <v>0</v>
      </c>
      <c r="K434" s="9">
        <v>0</v>
      </c>
      <c r="L434" s="9">
        <v>0</v>
      </c>
      <c r="M434" s="9">
        <v>0</v>
      </c>
      <c r="N434" s="9">
        <v>0</v>
      </c>
      <c r="O434" s="9">
        <v>0</v>
      </c>
      <c r="P434" s="9">
        <v>0</v>
      </c>
      <c r="Q434" s="9">
        <v>0</v>
      </c>
      <c r="R434" s="9">
        <v>0</v>
      </c>
      <c r="S434" s="9">
        <v>0</v>
      </c>
      <c r="T434" s="9">
        <v>0</v>
      </c>
      <c r="U434" s="33">
        <v>0</v>
      </c>
      <c r="V434" s="9">
        <v>0</v>
      </c>
      <c r="W434" s="9">
        <v>0</v>
      </c>
      <c r="X434" s="9">
        <v>0</v>
      </c>
      <c r="Y434" s="9">
        <v>0</v>
      </c>
      <c r="Z434" s="9">
        <v>0</v>
      </c>
      <c r="AA434" s="9">
        <v>0</v>
      </c>
      <c r="AB434" s="9">
        <v>0</v>
      </c>
      <c r="AC434" s="9">
        <v>0</v>
      </c>
      <c r="AD434" s="53" t="e">
        <f>#REF!*D434</f>
        <v>#REF!</v>
      </c>
      <c r="AE434" s="53" t="e">
        <f>AD434-#REF!</f>
        <v>#REF!</v>
      </c>
      <c r="AF434" s="9"/>
      <c r="AG434" s="33" t="e">
        <f>#REF!-D434</f>
        <v>#REF!</v>
      </c>
      <c r="AH434" s="9"/>
      <c r="AI434" s="9"/>
      <c r="AJ434" s="9"/>
      <c r="AK434" s="9"/>
    </row>
    <row r="435" spans="1:37" s="12" customFormat="1" ht="51" outlineLevel="1" x14ac:dyDescent="0.2">
      <c r="A435" s="61" t="s">
        <v>569</v>
      </c>
      <c r="B435" s="14" t="s">
        <v>3554</v>
      </c>
      <c r="C435" s="9" t="s">
        <v>47</v>
      </c>
      <c r="D435" s="25">
        <f t="shared" si="124"/>
        <v>6</v>
      </c>
      <c r="E435" s="54"/>
      <c r="F435" s="9"/>
      <c r="G435" s="33">
        <v>0</v>
      </c>
      <c r="H435" s="33">
        <v>0</v>
      </c>
      <c r="I435" s="9">
        <v>0</v>
      </c>
      <c r="J435" s="9">
        <v>0</v>
      </c>
      <c r="K435" s="9">
        <v>0</v>
      </c>
      <c r="L435" s="9">
        <v>0</v>
      </c>
      <c r="M435" s="9">
        <v>0</v>
      </c>
      <c r="N435" s="9">
        <v>0</v>
      </c>
      <c r="O435" s="9">
        <v>0</v>
      </c>
      <c r="P435" s="9">
        <v>0</v>
      </c>
      <c r="Q435" s="9">
        <v>6</v>
      </c>
      <c r="R435" s="9">
        <v>0</v>
      </c>
      <c r="S435" s="9">
        <v>0</v>
      </c>
      <c r="T435" s="9">
        <v>0</v>
      </c>
      <c r="U435" s="33">
        <v>0</v>
      </c>
      <c r="V435" s="9">
        <v>0</v>
      </c>
      <c r="W435" s="9">
        <v>0</v>
      </c>
      <c r="X435" s="9">
        <v>0</v>
      </c>
      <c r="Y435" s="9">
        <v>0</v>
      </c>
      <c r="Z435" s="9">
        <v>0</v>
      </c>
      <c r="AA435" s="9">
        <v>0</v>
      </c>
      <c r="AB435" s="9">
        <v>0</v>
      </c>
      <c r="AC435" s="9">
        <v>0</v>
      </c>
      <c r="AD435" s="53" t="e">
        <f>#REF!*D435</f>
        <v>#REF!</v>
      </c>
      <c r="AE435" s="53" t="e">
        <f>AD435-#REF!</f>
        <v>#REF!</v>
      </c>
      <c r="AF435" s="9"/>
      <c r="AG435" s="33" t="e">
        <f>#REF!-D435</f>
        <v>#REF!</v>
      </c>
      <c r="AH435" s="9"/>
      <c r="AI435" s="9"/>
      <c r="AJ435" s="9"/>
      <c r="AK435" s="9"/>
    </row>
    <row r="436" spans="1:37" s="12" customFormat="1" ht="51" outlineLevel="1" x14ac:dyDescent="0.2">
      <c r="A436" s="61" t="s">
        <v>570</v>
      </c>
      <c r="B436" s="14" t="s">
        <v>3555</v>
      </c>
      <c r="C436" s="9" t="s">
        <v>47</v>
      </c>
      <c r="D436" s="25">
        <f t="shared" si="124"/>
        <v>2</v>
      </c>
      <c r="E436" s="54"/>
      <c r="F436" s="9"/>
      <c r="G436" s="33">
        <v>0</v>
      </c>
      <c r="H436" s="33">
        <v>0</v>
      </c>
      <c r="I436" s="9">
        <v>1</v>
      </c>
      <c r="J436" s="9">
        <v>0</v>
      </c>
      <c r="K436" s="9">
        <v>0</v>
      </c>
      <c r="L436" s="9">
        <v>0</v>
      </c>
      <c r="M436" s="9">
        <v>0</v>
      </c>
      <c r="N436" s="9">
        <v>0</v>
      </c>
      <c r="O436" s="9">
        <v>0</v>
      </c>
      <c r="P436" s="9">
        <v>0</v>
      </c>
      <c r="Q436" s="9">
        <v>1</v>
      </c>
      <c r="R436" s="9">
        <v>0</v>
      </c>
      <c r="S436" s="9">
        <v>0</v>
      </c>
      <c r="T436" s="9">
        <v>0</v>
      </c>
      <c r="U436" s="33">
        <v>0</v>
      </c>
      <c r="V436" s="9">
        <v>0</v>
      </c>
      <c r="W436" s="9">
        <v>0</v>
      </c>
      <c r="X436" s="9">
        <v>0</v>
      </c>
      <c r="Y436" s="9">
        <v>0</v>
      </c>
      <c r="Z436" s="9">
        <v>0</v>
      </c>
      <c r="AA436" s="9">
        <v>0</v>
      </c>
      <c r="AB436" s="9">
        <v>0</v>
      </c>
      <c r="AC436" s="9">
        <v>0</v>
      </c>
      <c r="AD436" s="53" t="e">
        <f>#REF!*D436</f>
        <v>#REF!</v>
      </c>
      <c r="AE436" s="53" t="e">
        <f>AD436-#REF!</f>
        <v>#REF!</v>
      </c>
      <c r="AF436" s="9"/>
      <c r="AG436" s="33" t="e">
        <f>#REF!-D436</f>
        <v>#REF!</v>
      </c>
      <c r="AH436" s="9"/>
      <c r="AI436" s="9"/>
      <c r="AJ436" s="9"/>
      <c r="AK436" s="9"/>
    </row>
    <row r="437" spans="1:37" s="12" customFormat="1" ht="51" outlineLevel="1" x14ac:dyDescent="0.2">
      <c r="A437" s="61" t="s">
        <v>571</v>
      </c>
      <c r="B437" s="14" t="s">
        <v>3556</v>
      </c>
      <c r="C437" s="9" t="s">
        <v>47</v>
      </c>
      <c r="D437" s="25">
        <f t="shared" si="124"/>
        <v>6</v>
      </c>
      <c r="E437" s="54"/>
      <c r="F437" s="9"/>
      <c r="G437" s="33">
        <v>0</v>
      </c>
      <c r="H437" s="33">
        <v>0</v>
      </c>
      <c r="I437" s="9">
        <v>1</v>
      </c>
      <c r="J437" s="9">
        <v>0</v>
      </c>
      <c r="K437" s="9">
        <v>0</v>
      </c>
      <c r="L437" s="9">
        <v>0</v>
      </c>
      <c r="M437" s="9">
        <v>0</v>
      </c>
      <c r="N437" s="9">
        <v>0</v>
      </c>
      <c r="O437" s="9">
        <v>2</v>
      </c>
      <c r="P437" s="9">
        <v>2</v>
      </c>
      <c r="Q437" s="9">
        <v>0</v>
      </c>
      <c r="R437" s="9">
        <v>0</v>
      </c>
      <c r="S437" s="9">
        <v>0</v>
      </c>
      <c r="T437" s="9">
        <v>0</v>
      </c>
      <c r="U437" s="33">
        <v>0</v>
      </c>
      <c r="V437" s="9">
        <v>0</v>
      </c>
      <c r="W437" s="9">
        <v>0</v>
      </c>
      <c r="X437" s="9">
        <v>0</v>
      </c>
      <c r="Y437" s="9">
        <v>0</v>
      </c>
      <c r="Z437" s="9">
        <v>1</v>
      </c>
      <c r="AA437" s="9">
        <v>0</v>
      </c>
      <c r="AB437" s="9">
        <v>0</v>
      </c>
      <c r="AC437" s="9">
        <v>0</v>
      </c>
      <c r="AD437" s="53" t="e">
        <f>#REF!*D437</f>
        <v>#REF!</v>
      </c>
      <c r="AE437" s="53" t="e">
        <f>AD437-#REF!</f>
        <v>#REF!</v>
      </c>
      <c r="AF437" s="9"/>
      <c r="AG437" s="33" t="e">
        <f>#REF!-D437</f>
        <v>#REF!</v>
      </c>
      <c r="AH437" s="9"/>
      <c r="AI437" s="9"/>
      <c r="AJ437" s="9"/>
      <c r="AK437" s="9"/>
    </row>
    <row r="438" spans="1:37" s="12" customFormat="1" ht="40.799999999999997" outlineLevel="1" x14ac:dyDescent="0.2">
      <c r="A438" s="61" t="s">
        <v>572</v>
      </c>
      <c r="B438" s="15" t="s">
        <v>3557</v>
      </c>
      <c r="C438" s="9" t="s">
        <v>47</v>
      </c>
      <c r="D438" s="25">
        <f t="shared" si="124"/>
        <v>23</v>
      </c>
      <c r="E438" s="54"/>
      <c r="F438" s="9"/>
      <c r="G438" s="9">
        <v>0</v>
      </c>
      <c r="H438" s="9">
        <v>0</v>
      </c>
      <c r="I438" s="9">
        <v>5</v>
      </c>
      <c r="J438" s="9">
        <v>0</v>
      </c>
      <c r="K438" s="9">
        <v>0</v>
      </c>
      <c r="L438" s="9">
        <v>0</v>
      </c>
      <c r="M438" s="9">
        <v>0</v>
      </c>
      <c r="N438" s="9">
        <v>0</v>
      </c>
      <c r="O438" s="9">
        <v>4</v>
      </c>
      <c r="P438" s="9">
        <v>4</v>
      </c>
      <c r="Q438" s="9">
        <v>8</v>
      </c>
      <c r="R438" s="9">
        <v>0</v>
      </c>
      <c r="S438" s="9">
        <v>0</v>
      </c>
      <c r="T438" s="9">
        <v>0</v>
      </c>
      <c r="U438" s="9">
        <v>0</v>
      </c>
      <c r="V438" s="9">
        <v>0</v>
      </c>
      <c r="W438" s="9">
        <v>0</v>
      </c>
      <c r="X438" s="9">
        <v>0</v>
      </c>
      <c r="Y438" s="9">
        <v>0</v>
      </c>
      <c r="Z438" s="9">
        <v>2</v>
      </c>
      <c r="AA438" s="9">
        <v>0</v>
      </c>
      <c r="AB438" s="9">
        <v>0</v>
      </c>
      <c r="AC438" s="9">
        <v>0</v>
      </c>
      <c r="AD438" s="53" t="e">
        <f>#REF!*D438</f>
        <v>#REF!</v>
      </c>
      <c r="AE438" s="53" t="e">
        <f>AD438-#REF!</f>
        <v>#REF!</v>
      </c>
      <c r="AF438" s="9"/>
      <c r="AG438" s="33" t="e">
        <f>#REF!-D438</f>
        <v>#REF!</v>
      </c>
      <c r="AH438" s="9"/>
      <c r="AI438" s="9"/>
      <c r="AJ438" s="9"/>
      <c r="AK438" s="9"/>
    </row>
    <row r="439" spans="1:37" s="12" customFormat="1" ht="10.199999999999999" outlineLevel="1" x14ac:dyDescent="0.2">
      <c r="A439" s="61" t="s">
        <v>573</v>
      </c>
      <c r="B439" s="15" t="s">
        <v>2373</v>
      </c>
      <c r="C439" s="9" t="s">
        <v>47</v>
      </c>
      <c r="D439" s="25">
        <f t="shared" si="124"/>
        <v>23</v>
      </c>
      <c r="E439" s="54"/>
      <c r="F439" s="9"/>
      <c r="G439" s="9">
        <v>0</v>
      </c>
      <c r="H439" s="9">
        <v>0</v>
      </c>
      <c r="I439" s="9">
        <v>5</v>
      </c>
      <c r="J439" s="9">
        <v>0</v>
      </c>
      <c r="K439" s="9">
        <v>0</v>
      </c>
      <c r="L439" s="9">
        <v>0</v>
      </c>
      <c r="M439" s="9">
        <v>0</v>
      </c>
      <c r="N439" s="9">
        <v>0</v>
      </c>
      <c r="O439" s="9">
        <v>4</v>
      </c>
      <c r="P439" s="9">
        <v>4</v>
      </c>
      <c r="Q439" s="9">
        <v>8</v>
      </c>
      <c r="R439" s="9">
        <v>0</v>
      </c>
      <c r="S439" s="9">
        <v>0</v>
      </c>
      <c r="T439" s="9">
        <v>0</v>
      </c>
      <c r="U439" s="9">
        <v>0</v>
      </c>
      <c r="V439" s="9">
        <v>0</v>
      </c>
      <c r="W439" s="9">
        <v>0</v>
      </c>
      <c r="X439" s="9">
        <v>0</v>
      </c>
      <c r="Y439" s="9">
        <v>0</v>
      </c>
      <c r="Z439" s="9">
        <v>2</v>
      </c>
      <c r="AA439" s="9">
        <v>0</v>
      </c>
      <c r="AB439" s="9">
        <v>0</v>
      </c>
      <c r="AC439" s="9">
        <v>0</v>
      </c>
      <c r="AD439" s="53" t="e">
        <f>#REF!*D439</f>
        <v>#REF!</v>
      </c>
      <c r="AE439" s="53" t="e">
        <f>AD439-#REF!</f>
        <v>#REF!</v>
      </c>
      <c r="AF439" s="9"/>
      <c r="AG439" s="33" t="e">
        <f>#REF!-D439</f>
        <v>#REF!</v>
      </c>
      <c r="AH439" s="9"/>
      <c r="AI439" s="9"/>
      <c r="AJ439" s="9"/>
      <c r="AK439" s="9"/>
    </row>
    <row r="440" spans="1:37" s="12" customFormat="1" ht="40.799999999999997" outlineLevel="1" x14ac:dyDescent="0.2">
      <c r="A440" s="61" t="s">
        <v>574</v>
      </c>
      <c r="B440" s="99" t="s">
        <v>3559</v>
      </c>
      <c r="C440" s="9" t="s">
        <v>47</v>
      </c>
      <c r="D440" s="25">
        <f t="shared" si="124"/>
        <v>23</v>
      </c>
      <c r="E440" s="54"/>
      <c r="F440" s="9"/>
      <c r="G440" s="9">
        <v>0</v>
      </c>
      <c r="H440" s="9">
        <v>0</v>
      </c>
      <c r="I440" s="9">
        <v>4</v>
      </c>
      <c r="J440" s="9">
        <v>0</v>
      </c>
      <c r="K440" s="9">
        <v>0</v>
      </c>
      <c r="L440" s="9">
        <v>0</v>
      </c>
      <c r="M440" s="9">
        <v>0</v>
      </c>
      <c r="N440" s="9">
        <v>0</v>
      </c>
      <c r="O440" s="9">
        <v>5</v>
      </c>
      <c r="P440" s="9">
        <v>4</v>
      </c>
      <c r="Q440" s="9">
        <v>8</v>
      </c>
      <c r="R440" s="9">
        <v>0</v>
      </c>
      <c r="S440" s="9">
        <v>0</v>
      </c>
      <c r="T440" s="9">
        <v>0</v>
      </c>
      <c r="U440" s="9">
        <v>0</v>
      </c>
      <c r="V440" s="9">
        <v>0</v>
      </c>
      <c r="W440" s="9">
        <v>0</v>
      </c>
      <c r="X440" s="9">
        <v>0</v>
      </c>
      <c r="Y440" s="9">
        <v>0</v>
      </c>
      <c r="Z440" s="9">
        <v>2</v>
      </c>
      <c r="AA440" s="9">
        <v>0</v>
      </c>
      <c r="AB440" s="9">
        <v>0</v>
      </c>
      <c r="AC440" s="9">
        <v>0</v>
      </c>
      <c r="AD440" s="53" t="e">
        <f>#REF!*D440</f>
        <v>#REF!</v>
      </c>
      <c r="AE440" s="53" t="e">
        <f>AD440-#REF!</f>
        <v>#REF!</v>
      </c>
      <c r="AF440" s="9"/>
      <c r="AG440" s="33" t="e">
        <f>#REF!-D440</f>
        <v>#REF!</v>
      </c>
      <c r="AH440" s="9"/>
      <c r="AI440" s="9"/>
      <c r="AJ440" s="9"/>
      <c r="AK440" s="9"/>
    </row>
    <row r="441" spans="1:37" s="12" customFormat="1" ht="30.6" outlineLevel="1" x14ac:dyDescent="0.2">
      <c r="A441" s="61" t="s">
        <v>575</v>
      </c>
      <c r="B441" s="14" t="s">
        <v>3560</v>
      </c>
      <c r="C441" s="9" t="s">
        <v>47</v>
      </c>
      <c r="D441" s="25">
        <f t="shared" si="124"/>
        <v>15</v>
      </c>
      <c r="E441" s="54"/>
      <c r="F441" s="9"/>
      <c r="G441" s="9">
        <v>0</v>
      </c>
      <c r="H441" s="9">
        <v>0</v>
      </c>
      <c r="I441" s="9">
        <v>3</v>
      </c>
      <c r="J441" s="9">
        <v>0</v>
      </c>
      <c r="K441" s="9">
        <v>0</v>
      </c>
      <c r="L441" s="9">
        <v>0</v>
      </c>
      <c r="M441" s="9">
        <v>0</v>
      </c>
      <c r="N441" s="9">
        <v>0</v>
      </c>
      <c r="O441" s="9">
        <v>2</v>
      </c>
      <c r="P441" s="9">
        <v>2</v>
      </c>
      <c r="Q441" s="9">
        <v>7</v>
      </c>
      <c r="R441" s="9">
        <v>0</v>
      </c>
      <c r="S441" s="9">
        <v>0</v>
      </c>
      <c r="T441" s="9">
        <v>0</v>
      </c>
      <c r="U441" s="9">
        <v>0</v>
      </c>
      <c r="V441" s="9">
        <v>0</v>
      </c>
      <c r="W441" s="9">
        <v>0</v>
      </c>
      <c r="X441" s="9">
        <v>0</v>
      </c>
      <c r="Y441" s="9">
        <v>0</v>
      </c>
      <c r="Z441" s="9">
        <v>1</v>
      </c>
      <c r="AA441" s="9">
        <v>0</v>
      </c>
      <c r="AB441" s="9">
        <v>0</v>
      </c>
      <c r="AC441" s="9">
        <v>0</v>
      </c>
      <c r="AD441" s="53" t="e">
        <f>#REF!*D441</f>
        <v>#REF!</v>
      </c>
      <c r="AE441" s="53" t="e">
        <f>AD441-#REF!</f>
        <v>#REF!</v>
      </c>
      <c r="AF441" s="9"/>
      <c r="AG441" s="33" t="e">
        <f>#REF!-D441</f>
        <v>#REF!</v>
      </c>
      <c r="AH441" s="9"/>
      <c r="AI441" s="9"/>
      <c r="AJ441" s="9"/>
      <c r="AK441" s="9"/>
    </row>
    <row r="442" spans="1:37" s="12" customFormat="1" ht="20.399999999999999" outlineLevel="1" x14ac:dyDescent="0.2">
      <c r="A442" s="61" t="s">
        <v>576</v>
      </c>
      <c r="B442" s="14" t="s">
        <v>3561</v>
      </c>
      <c r="C442" s="9" t="s">
        <v>47</v>
      </c>
      <c r="D442" s="25">
        <f t="shared" si="124"/>
        <v>15</v>
      </c>
      <c r="E442" s="54"/>
      <c r="F442" s="9"/>
      <c r="G442" s="9">
        <v>0</v>
      </c>
      <c r="H442" s="9">
        <v>0</v>
      </c>
      <c r="I442" s="9">
        <v>3</v>
      </c>
      <c r="J442" s="9">
        <v>0</v>
      </c>
      <c r="K442" s="9">
        <v>0</v>
      </c>
      <c r="L442" s="9">
        <v>0</v>
      </c>
      <c r="M442" s="9">
        <v>0</v>
      </c>
      <c r="N442" s="9">
        <v>0</v>
      </c>
      <c r="O442" s="9">
        <v>2</v>
      </c>
      <c r="P442" s="9">
        <v>2</v>
      </c>
      <c r="Q442" s="9">
        <v>7</v>
      </c>
      <c r="R442" s="9">
        <v>0</v>
      </c>
      <c r="S442" s="9">
        <v>0</v>
      </c>
      <c r="T442" s="9">
        <v>0</v>
      </c>
      <c r="U442" s="9">
        <v>0</v>
      </c>
      <c r="V442" s="9">
        <v>0</v>
      </c>
      <c r="W442" s="9">
        <v>0</v>
      </c>
      <c r="X442" s="9">
        <v>0</v>
      </c>
      <c r="Y442" s="9">
        <v>0</v>
      </c>
      <c r="Z442" s="9">
        <v>1</v>
      </c>
      <c r="AA442" s="9">
        <v>0</v>
      </c>
      <c r="AB442" s="9">
        <v>0</v>
      </c>
      <c r="AC442" s="9">
        <v>0</v>
      </c>
      <c r="AD442" s="53" t="e">
        <f>#REF!*D442</f>
        <v>#REF!</v>
      </c>
      <c r="AE442" s="53" t="e">
        <f>AD442-#REF!</f>
        <v>#REF!</v>
      </c>
      <c r="AF442" s="9"/>
      <c r="AG442" s="33" t="e">
        <f>#REF!-D442</f>
        <v>#REF!</v>
      </c>
      <c r="AH442" s="9"/>
      <c r="AI442" s="9"/>
      <c r="AJ442" s="9"/>
      <c r="AK442" s="9"/>
    </row>
    <row r="443" spans="1:37" s="12" customFormat="1" ht="20.399999999999999" outlineLevel="1" x14ac:dyDescent="0.2">
      <c r="A443" s="61" t="s">
        <v>577</v>
      </c>
      <c r="B443" s="47" t="s">
        <v>3562</v>
      </c>
      <c r="C443" s="9" t="s">
        <v>47</v>
      </c>
      <c r="D443" s="25">
        <f t="shared" si="124"/>
        <v>1</v>
      </c>
      <c r="E443" s="54"/>
      <c r="F443" s="9"/>
      <c r="G443" s="9">
        <v>0</v>
      </c>
      <c r="H443" s="9">
        <v>0</v>
      </c>
      <c r="I443" s="9">
        <v>1</v>
      </c>
      <c r="J443" s="9">
        <v>0</v>
      </c>
      <c r="K443" s="9">
        <v>0</v>
      </c>
      <c r="L443" s="9">
        <v>0</v>
      </c>
      <c r="M443" s="9">
        <v>0</v>
      </c>
      <c r="N443" s="9">
        <v>0</v>
      </c>
      <c r="O443" s="9">
        <v>0</v>
      </c>
      <c r="P443" s="9">
        <v>0</v>
      </c>
      <c r="Q443" s="9">
        <v>0</v>
      </c>
      <c r="R443" s="9">
        <v>0</v>
      </c>
      <c r="S443" s="9">
        <v>0</v>
      </c>
      <c r="T443" s="9">
        <v>0</v>
      </c>
      <c r="U443" s="9">
        <v>0</v>
      </c>
      <c r="V443" s="9">
        <v>0</v>
      </c>
      <c r="W443" s="9">
        <v>0</v>
      </c>
      <c r="X443" s="9">
        <v>0</v>
      </c>
      <c r="Y443" s="9">
        <v>0</v>
      </c>
      <c r="Z443" s="9">
        <v>0</v>
      </c>
      <c r="AA443" s="9">
        <v>0</v>
      </c>
      <c r="AB443" s="9">
        <v>0</v>
      </c>
      <c r="AC443" s="9">
        <v>0</v>
      </c>
      <c r="AD443" s="53" t="e">
        <f>#REF!*D443</f>
        <v>#REF!</v>
      </c>
      <c r="AE443" s="53" t="e">
        <f>AD443-#REF!</f>
        <v>#REF!</v>
      </c>
      <c r="AF443" s="9"/>
      <c r="AG443" s="33" t="e">
        <f>#REF!-D443</f>
        <v>#REF!</v>
      </c>
      <c r="AH443" s="9"/>
      <c r="AI443" s="9"/>
      <c r="AJ443" s="9"/>
      <c r="AK443" s="9"/>
    </row>
    <row r="444" spans="1:37" s="12" customFormat="1" ht="10.199999999999999" outlineLevel="1" x14ac:dyDescent="0.2">
      <c r="A444" s="61" t="s">
        <v>578</v>
      </c>
      <c r="B444" s="47" t="s">
        <v>3558</v>
      </c>
      <c r="C444" s="9" t="s">
        <v>47</v>
      </c>
      <c r="D444" s="25">
        <f t="shared" si="124"/>
        <v>1</v>
      </c>
      <c r="E444" s="54"/>
      <c r="F444" s="9"/>
      <c r="G444" s="9">
        <v>0</v>
      </c>
      <c r="H444" s="9">
        <v>0</v>
      </c>
      <c r="I444" s="9">
        <v>0</v>
      </c>
      <c r="J444" s="9">
        <v>0</v>
      </c>
      <c r="K444" s="9">
        <v>0</v>
      </c>
      <c r="L444" s="9">
        <v>0</v>
      </c>
      <c r="M444" s="9">
        <v>0</v>
      </c>
      <c r="N444" s="9">
        <v>0</v>
      </c>
      <c r="O444" s="9">
        <v>1</v>
      </c>
      <c r="P444" s="9">
        <v>0</v>
      </c>
      <c r="Q444" s="9">
        <v>0</v>
      </c>
      <c r="R444" s="9">
        <v>0</v>
      </c>
      <c r="S444" s="9">
        <v>0</v>
      </c>
      <c r="T444" s="9">
        <v>0</v>
      </c>
      <c r="U444" s="9">
        <v>0</v>
      </c>
      <c r="V444" s="9">
        <v>0</v>
      </c>
      <c r="W444" s="9">
        <v>0</v>
      </c>
      <c r="X444" s="9">
        <v>0</v>
      </c>
      <c r="Y444" s="9">
        <v>0</v>
      </c>
      <c r="Z444" s="9">
        <v>0</v>
      </c>
      <c r="AA444" s="9">
        <v>0</v>
      </c>
      <c r="AB444" s="9">
        <v>0</v>
      </c>
      <c r="AC444" s="9">
        <v>0</v>
      </c>
      <c r="AD444" s="53" t="e">
        <f>#REF!*D444</f>
        <v>#REF!</v>
      </c>
      <c r="AE444" s="53" t="e">
        <f>AD444-#REF!</f>
        <v>#REF!</v>
      </c>
      <c r="AF444" s="9"/>
      <c r="AG444" s="33" t="e">
        <f>#REF!-D444</f>
        <v>#REF!</v>
      </c>
      <c r="AH444" s="9"/>
      <c r="AI444" s="9"/>
      <c r="AJ444" s="9"/>
      <c r="AK444" s="9"/>
    </row>
    <row r="445" spans="1:37" s="12" customFormat="1" ht="10.199999999999999" outlineLevel="1" x14ac:dyDescent="0.2">
      <c r="A445" s="61" t="s">
        <v>579</v>
      </c>
      <c r="B445" s="47" t="s">
        <v>3563</v>
      </c>
      <c r="C445" s="9" t="s">
        <v>47</v>
      </c>
      <c r="D445" s="25">
        <f t="shared" si="124"/>
        <v>1</v>
      </c>
      <c r="E445" s="54"/>
      <c r="F445" s="9"/>
      <c r="G445" s="9">
        <v>0</v>
      </c>
      <c r="H445" s="9">
        <v>0</v>
      </c>
      <c r="I445" s="9">
        <v>1</v>
      </c>
      <c r="J445" s="9">
        <v>0</v>
      </c>
      <c r="K445" s="9">
        <v>0</v>
      </c>
      <c r="L445" s="9">
        <v>0</v>
      </c>
      <c r="M445" s="9">
        <v>0</v>
      </c>
      <c r="N445" s="9">
        <v>0</v>
      </c>
      <c r="O445" s="9">
        <v>0</v>
      </c>
      <c r="P445" s="9">
        <v>0</v>
      </c>
      <c r="Q445" s="9">
        <v>0</v>
      </c>
      <c r="R445" s="9">
        <v>0</v>
      </c>
      <c r="S445" s="9">
        <v>0</v>
      </c>
      <c r="T445" s="9">
        <v>0</v>
      </c>
      <c r="U445" s="9">
        <v>0</v>
      </c>
      <c r="V445" s="9">
        <v>0</v>
      </c>
      <c r="W445" s="9">
        <v>0</v>
      </c>
      <c r="X445" s="9">
        <v>0</v>
      </c>
      <c r="Y445" s="9">
        <v>0</v>
      </c>
      <c r="Z445" s="9">
        <v>0</v>
      </c>
      <c r="AA445" s="9">
        <v>0</v>
      </c>
      <c r="AB445" s="9">
        <v>0</v>
      </c>
      <c r="AC445" s="9">
        <v>0</v>
      </c>
      <c r="AD445" s="53" t="e">
        <f>#REF!*D445</f>
        <v>#REF!</v>
      </c>
      <c r="AE445" s="53" t="e">
        <f>AD445-#REF!</f>
        <v>#REF!</v>
      </c>
      <c r="AF445" s="9"/>
      <c r="AG445" s="33" t="e">
        <f>#REF!-D445</f>
        <v>#REF!</v>
      </c>
      <c r="AH445" s="9"/>
      <c r="AI445" s="9"/>
      <c r="AJ445" s="9"/>
      <c r="AK445" s="9"/>
    </row>
    <row r="446" spans="1:37" s="12" customFormat="1" ht="10.199999999999999" outlineLevel="1" collapsed="1" x14ac:dyDescent="0.2">
      <c r="A446" s="61" t="s">
        <v>580</v>
      </c>
      <c r="B446" s="47" t="s">
        <v>3564</v>
      </c>
      <c r="C446" s="9" t="s">
        <v>47</v>
      </c>
      <c r="D446" s="25">
        <f t="shared" si="124"/>
        <v>1</v>
      </c>
      <c r="E446" s="54"/>
      <c r="F446" s="9"/>
      <c r="G446" s="9">
        <v>0</v>
      </c>
      <c r="H446" s="9">
        <v>0</v>
      </c>
      <c r="I446" s="9">
        <v>1</v>
      </c>
      <c r="J446" s="9">
        <v>0</v>
      </c>
      <c r="K446" s="9">
        <v>0</v>
      </c>
      <c r="L446" s="9">
        <v>0</v>
      </c>
      <c r="M446" s="9">
        <v>0</v>
      </c>
      <c r="N446" s="9">
        <v>0</v>
      </c>
      <c r="O446" s="9">
        <v>0</v>
      </c>
      <c r="P446" s="9">
        <v>0</v>
      </c>
      <c r="Q446" s="9">
        <v>0</v>
      </c>
      <c r="R446" s="9">
        <v>0</v>
      </c>
      <c r="S446" s="9">
        <v>0</v>
      </c>
      <c r="T446" s="9">
        <v>0</v>
      </c>
      <c r="U446" s="9">
        <v>0</v>
      </c>
      <c r="V446" s="9">
        <v>0</v>
      </c>
      <c r="W446" s="9">
        <v>0</v>
      </c>
      <c r="X446" s="9">
        <v>0</v>
      </c>
      <c r="Y446" s="9">
        <v>0</v>
      </c>
      <c r="Z446" s="9">
        <v>0</v>
      </c>
      <c r="AA446" s="9">
        <v>0</v>
      </c>
      <c r="AB446" s="9">
        <v>0</v>
      </c>
      <c r="AC446" s="9">
        <v>0</v>
      </c>
      <c r="AD446" s="53" t="e">
        <f>#REF!*D446</f>
        <v>#REF!</v>
      </c>
      <c r="AE446" s="53" t="e">
        <f>AD446-#REF!</f>
        <v>#REF!</v>
      </c>
      <c r="AF446" s="9"/>
      <c r="AG446" s="33" t="e">
        <f>#REF!-D446</f>
        <v>#REF!</v>
      </c>
      <c r="AH446" s="9"/>
      <c r="AI446" s="9"/>
      <c r="AJ446" s="9"/>
      <c r="AK446" s="9"/>
    </row>
    <row r="447" spans="1:37" s="12" customFormat="1" ht="10.199999999999999" outlineLevel="1" x14ac:dyDescent="0.2">
      <c r="A447" s="61" t="s">
        <v>581</v>
      </c>
      <c r="B447" s="47" t="s">
        <v>3565</v>
      </c>
      <c r="C447" s="9" t="s">
        <v>47</v>
      </c>
      <c r="D447" s="25">
        <f t="shared" si="124"/>
        <v>1</v>
      </c>
      <c r="E447" s="54"/>
      <c r="F447" s="9"/>
      <c r="G447" s="9">
        <v>0</v>
      </c>
      <c r="H447" s="9">
        <v>0</v>
      </c>
      <c r="I447" s="9">
        <v>1</v>
      </c>
      <c r="J447" s="9">
        <v>0</v>
      </c>
      <c r="K447" s="9">
        <v>0</v>
      </c>
      <c r="L447" s="9">
        <v>0</v>
      </c>
      <c r="M447" s="9">
        <v>0</v>
      </c>
      <c r="N447" s="9">
        <v>0</v>
      </c>
      <c r="O447" s="9">
        <v>0</v>
      </c>
      <c r="P447" s="9">
        <v>0</v>
      </c>
      <c r="Q447" s="9">
        <v>0</v>
      </c>
      <c r="R447" s="9">
        <v>0</v>
      </c>
      <c r="S447" s="9">
        <v>0</v>
      </c>
      <c r="T447" s="9">
        <v>0</v>
      </c>
      <c r="U447" s="9">
        <v>0</v>
      </c>
      <c r="V447" s="9">
        <v>0</v>
      </c>
      <c r="W447" s="9">
        <v>0</v>
      </c>
      <c r="X447" s="9">
        <v>0</v>
      </c>
      <c r="Y447" s="9">
        <v>0</v>
      </c>
      <c r="Z447" s="9">
        <v>0</v>
      </c>
      <c r="AA447" s="9">
        <v>0</v>
      </c>
      <c r="AB447" s="9">
        <v>0</v>
      </c>
      <c r="AC447" s="9">
        <v>0</v>
      </c>
      <c r="AD447" s="53" t="e">
        <f>#REF!*D447</f>
        <v>#REF!</v>
      </c>
      <c r="AE447" s="53" t="e">
        <f>AD447-#REF!</f>
        <v>#REF!</v>
      </c>
      <c r="AF447" s="9"/>
      <c r="AG447" s="33" t="e">
        <f>#REF!-D447</f>
        <v>#REF!</v>
      </c>
      <c r="AH447" s="9"/>
      <c r="AI447" s="9"/>
      <c r="AJ447" s="9"/>
      <c r="AK447" s="9"/>
    </row>
    <row r="448" spans="1:37" s="12" customFormat="1" ht="10.199999999999999" outlineLevel="1" x14ac:dyDescent="0.2">
      <c r="A448" s="61" t="s">
        <v>582</v>
      </c>
      <c r="B448" s="47" t="s">
        <v>3127</v>
      </c>
      <c r="C448" s="9" t="s">
        <v>47</v>
      </c>
      <c r="D448" s="25">
        <f t="shared" si="124"/>
        <v>2</v>
      </c>
      <c r="E448" s="54"/>
      <c r="F448" s="9"/>
      <c r="G448" s="9">
        <v>0</v>
      </c>
      <c r="H448" s="9">
        <v>0</v>
      </c>
      <c r="I448" s="9">
        <v>0</v>
      </c>
      <c r="J448" s="9">
        <v>0</v>
      </c>
      <c r="K448" s="9">
        <v>0</v>
      </c>
      <c r="L448" s="9">
        <v>0</v>
      </c>
      <c r="M448" s="9">
        <v>0</v>
      </c>
      <c r="N448" s="9">
        <v>0</v>
      </c>
      <c r="O448" s="9">
        <v>1</v>
      </c>
      <c r="P448" s="9">
        <v>0</v>
      </c>
      <c r="Q448" s="9">
        <v>0</v>
      </c>
      <c r="R448" s="9">
        <v>0</v>
      </c>
      <c r="S448" s="9">
        <v>0</v>
      </c>
      <c r="T448" s="9">
        <v>0</v>
      </c>
      <c r="U448" s="9">
        <v>0</v>
      </c>
      <c r="V448" s="9">
        <v>0</v>
      </c>
      <c r="W448" s="9">
        <v>0</v>
      </c>
      <c r="X448" s="9">
        <v>0</v>
      </c>
      <c r="Y448" s="9">
        <v>0</v>
      </c>
      <c r="Z448" s="9">
        <v>1</v>
      </c>
      <c r="AA448" s="9">
        <v>0</v>
      </c>
      <c r="AB448" s="9">
        <v>0</v>
      </c>
      <c r="AC448" s="9">
        <v>0</v>
      </c>
      <c r="AD448" s="53" t="e">
        <f>#REF!*D448</f>
        <v>#REF!</v>
      </c>
      <c r="AE448" s="53" t="e">
        <f>AD448-#REF!</f>
        <v>#REF!</v>
      </c>
      <c r="AF448" s="9"/>
      <c r="AG448" s="33" t="e">
        <f>#REF!-D448</f>
        <v>#REF!</v>
      </c>
      <c r="AH448" s="9"/>
      <c r="AI448" s="9"/>
      <c r="AJ448" s="9"/>
      <c r="AK448" s="9"/>
    </row>
    <row r="449" spans="1:37" s="12" customFormat="1" ht="10.199999999999999" outlineLevel="1" x14ac:dyDescent="0.2">
      <c r="A449" s="61" t="s">
        <v>583</v>
      </c>
      <c r="B449" s="47" t="s">
        <v>3566</v>
      </c>
      <c r="C449" s="9" t="s">
        <v>47</v>
      </c>
      <c r="D449" s="25">
        <f t="shared" si="124"/>
        <v>1</v>
      </c>
      <c r="E449" s="54"/>
      <c r="F449" s="9"/>
      <c r="G449" s="9">
        <v>0</v>
      </c>
      <c r="H449" s="9">
        <v>0</v>
      </c>
      <c r="I449" s="9">
        <v>0</v>
      </c>
      <c r="J449" s="9">
        <v>0</v>
      </c>
      <c r="K449" s="9">
        <v>0</v>
      </c>
      <c r="L449" s="9">
        <v>0</v>
      </c>
      <c r="M449" s="9">
        <v>0</v>
      </c>
      <c r="N449" s="9">
        <v>0</v>
      </c>
      <c r="O449" s="9">
        <v>1</v>
      </c>
      <c r="P449" s="9">
        <v>0</v>
      </c>
      <c r="Q449" s="9">
        <v>0</v>
      </c>
      <c r="R449" s="9">
        <v>0</v>
      </c>
      <c r="S449" s="9">
        <v>0</v>
      </c>
      <c r="T449" s="9">
        <v>0</v>
      </c>
      <c r="U449" s="9">
        <v>0</v>
      </c>
      <c r="V449" s="9">
        <v>0</v>
      </c>
      <c r="W449" s="9">
        <v>0</v>
      </c>
      <c r="X449" s="9">
        <v>0</v>
      </c>
      <c r="Y449" s="9">
        <v>0</v>
      </c>
      <c r="Z449" s="9">
        <v>0</v>
      </c>
      <c r="AA449" s="9">
        <v>0</v>
      </c>
      <c r="AB449" s="9">
        <v>0</v>
      </c>
      <c r="AC449" s="9">
        <v>0</v>
      </c>
      <c r="AD449" s="53" t="e">
        <f>#REF!*D449</f>
        <v>#REF!</v>
      </c>
      <c r="AE449" s="53" t="e">
        <f>AD449-#REF!</f>
        <v>#REF!</v>
      </c>
      <c r="AF449" s="9"/>
      <c r="AG449" s="33" t="e">
        <f>#REF!-D449</f>
        <v>#REF!</v>
      </c>
      <c r="AH449" s="9"/>
      <c r="AI449" s="9"/>
      <c r="AJ449" s="9"/>
      <c r="AK449" s="9"/>
    </row>
    <row r="450" spans="1:37" s="12" customFormat="1" ht="10.199999999999999" outlineLevel="1" x14ac:dyDescent="0.2">
      <c r="A450" s="61" t="s">
        <v>584</v>
      </c>
      <c r="B450" s="47" t="s">
        <v>3567</v>
      </c>
      <c r="C450" s="9" t="s">
        <v>47</v>
      </c>
      <c r="D450" s="25">
        <f t="shared" si="124"/>
        <v>1</v>
      </c>
      <c r="E450" s="54"/>
      <c r="F450" s="9"/>
      <c r="G450" s="9">
        <v>0</v>
      </c>
      <c r="H450" s="9">
        <v>0</v>
      </c>
      <c r="I450" s="9">
        <v>0</v>
      </c>
      <c r="J450" s="9">
        <v>0</v>
      </c>
      <c r="K450" s="9">
        <v>0</v>
      </c>
      <c r="L450" s="9">
        <v>0</v>
      </c>
      <c r="M450" s="9">
        <v>0</v>
      </c>
      <c r="N450" s="9">
        <v>0</v>
      </c>
      <c r="O450" s="9">
        <v>0</v>
      </c>
      <c r="P450" s="9">
        <v>1</v>
      </c>
      <c r="Q450" s="9">
        <v>0</v>
      </c>
      <c r="R450" s="9">
        <v>0</v>
      </c>
      <c r="S450" s="9">
        <v>0</v>
      </c>
      <c r="T450" s="9">
        <v>0</v>
      </c>
      <c r="U450" s="9">
        <v>0</v>
      </c>
      <c r="V450" s="9">
        <v>0</v>
      </c>
      <c r="W450" s="9">
        <v>0</v>
      </c>
      <c r="X450" s="9">
        <v>0</v>
      </c>
      <c r="Y450" s="9">
        <v>0</v>
      </c>
      <c r="Z450" s="9">
        <v>0</v>
      </c>
      <c r="AA450" s="9">
        <v>0</v>
      </c>
      <c r="AB450" s="9">
        <v>0</v>
      </c>
      <c r="AC450" s="9">
        <v>0</v>
      </c>
      <c r="AD450" s="53" t="e">
        <f>#REF!*D450</f>
        <v>#REF!</v>
      </c>
      <c r="AE450" s="53" t="e">
        <f>AD450-#REF!</f>
        <v>#REF!</v>
      </c>
      <c r="AF450" s="9"/>
      <c r="AG450" s="33" t="e">
        <f>#REF!-D450</f>
        <v>#REF!</v>
      </c>
      <c r="AH450" s="9"/>
      <c r="AI450" s="9"/>
      <c r="AJ450" s="9"/>
      <c r="AK450" s="9"/>
    </row>
    <row r="451" spans="1:37" s="12" customFormat="1" ht="10.199999999999999" outlineLevel="1" x14ac:dyDescent="0.2">
      <c r="A451" s="61" t="s">
        <v>585</v>
      </c>
      <c r="B451" s="47" t="s">
        <v>3128</v>
      </c>
      <c r="C451" s="9" t="s">
        <v>47</v>
      </c>
      <c r="D451" s="25">
        <f t="shared" si="124"/>
        <v>1</v>
      </c>
      <c r="E451" s="54"/>
      <c r="F451" s="9"/>
      <c r="G451" s="9">
        <v>0</v>
      </c>
      <c r="H451" s="9">
        <v>0</v>
      </c>
      <c r="I451" s="9">
        <v>0</v>
      </c>
      <c r="J451" s="9">
        <v>0</v>
      </c>
      <c r="K451" s="9">
        <v>0</v>
      </c>
      <c r="L451" s="9">
        <v>0</v>
      </c>
      <c r="M451" s="9">
        <v>0</v>
      </c>
      <c r="N451" s="9">
        <v>0</v>
      </c>
      <c r="O451" s="9">
        <v>0</v>
      </c>
      <c r="P451" s="9">
        <v>0</v>
      </c>
      <c r="Q451" s="9">
        <v>1</v>
      </c>
      <c r="R451" s="9">
        <v>0</v>
      </c>
      <c r="S451" s="9">
        <v>0</v>
      </c>
      <c r="T451" s="9">
        <v>0</v>
      </c>
      <c r="U451" s="9">
        <v>0</v>
      </c>
      <c r="V451" s="9">
        <v>0</v>
      </c>
      <c r="W451" s="9">
        <v>0</v>
      </c>
      <c r="X451" s="9">
        <v>0</v>
      </c>
      <c r="Y451" s="9">
        <v>0</v>
      </c>
      <c r="Z451" s="9">
        <v>0</v>
      </c>
      <c r="AA451" s="9">
        <v>0</v>
      </c>
      <c r="AB451" s="9">
        <v>0</v>
      </c>
      <c r="AC451" s="9">
        <v>0</v>
      </c>
      <c r="AD451" s="53" t="e">
        <f>#REF!*D451</f>
        <v>#REF!</v>
      </c>
      <c r="AE451" s="53" t="e">
        <f>AD451-#REF!</f>
        <v>#REF!</v>
      </c>
      <c r="AF451" s="9"/>
      <c r="AG451" s="33" t="e">
        <f>#REF!-D451</f>
        <v>#REF!</v>
      </c>
      <c r="AH451" s="9"/>
      <c r="AI451" s="9"/>
      <c r="AJ451" s="9"/>
      <c r="AK451" s="9"/>
    </row>
    <row r="452" spans="1:37" s="12" customFormat="1" ht="10.199999999999999" outlineLevel="1" x14ac:dyDescent="0.2">
      <c r="A452" s="61" t="s">
        <v>586</v>
      </c>
      <c r="B452" s="47" t="s">
        <v>2374</v>
      </c>
      <c r="C452" s="9" t="s">
        <v>47</v>
      </c>
      <c r="D452" s="25">
        <f t="shared" si="124"/>
        <v>6</v>
      </c>
      <c r="E452" s="54"/>
      <c r="F452" s="9"/>
      <c r="G452" s="9">
        <v>0</v>
      </c>
      <c r="H452" s="9">
        <v>0</v>
      </c>
      <c r="I452" s="9">
        <v>0</v>
      </c>
      <c r="J452" s="9">
        <v>0</v>
      </c>
      <c r="K452" s="9">
        <v>0</v>
      </c>
      <c r="L452" s="9">
        <v>0</v>
      </c>
      <c r="M452" s="9">
        <v>0</v>
      </c>
      <c r="N452" s="9">
        <v>0</v>
      </c>
      <c r="O452" s="9">
        <v>0</v>
      </c>
      <c r="P452" s="9">
        <v>0</v>
      </c>
      <c r="Q452" s="9">
        <v>6</v>
      </c>
      <c r="R452" s="9">
        <v>0</v>
      </c>
      <c r="S452" s="9">
        <v>0</v>
      </c>
      <c r="T452" s="9">
        <v>0</v>
      </c>
      <c r="U452" s="9">
        <v>0</v>
      </c>
      <c r="V452" s="9">
        <v>0</v>
      </c>
      <c r="W452" s="9">
        <v>0</v>
      </c>
      <c r="X452" s="9">
        <v>0</v>
      </c>
      <c r="Y452" s="9">
        <v>0</v>
      </c>
      <c r="Z452" s="9">
        <v>0</v>
      </c>
      <c r="AA452" s="9">
        <v>0</v>
      </c>
      <c r="AB452" s="9">
        <v>0</v>
      </c>
      <c r="AC452" s="9">
        <v>0</v>
      </c>
      <c r="AD452" s="53" t="e">
        <f>#REF!*D452</f>
        <v>#REF!</v>
      </c>
      <c r="AE452" s="53" t="e">
        <f>AD452-#REF!</f>
        <v>#REF!</v>
      </c>
      <c r="AF452" s="9"/>
      <c r="AG452" s="33" t="e">
        <f>#REF!-D452</f>
        <v>#REF!</v>
      </c>
      <c r="AH452" s="9"/>
      <c r="AI452" s="9"/>
      <c r="AJ452" s="9"/>
      <c r="AK452" s="9"/>
    </row>
    <row r="453" spans="1:37" s="12" customFormat="1" ht="10.199999999999999" outlineLevel="1" x14ac:dyDescent="0.2">
      <c r="A453" s="61"/>
      <c r="B453" s="15"/>
      <c r="C453" s="9"/>
      <c r="D453" s="25"/>
      <c r="E453" s="54"/>
      <c r="F453" s="9"/>
      <c r="G453" s="9"/>
      <c r="H453" s="9"/>
      <c r="I453" s="9"/>
      <c r="J453" s="9"/>
      <c r="K453" s="9"/>
      <c r="L453" s="9"/>
      <c r="M453" s="9"/>
      <c r="N453" s="9"/>
      <c r="O453" s="9"/>
      <c r="P453" s="9"/>
      <c r="Q453" s="9"/>
      <c r="R453" s="9"/>
      <c r="S453" s="9"/>
      <c r="T453" s="9"/>
      <c r="U453" s="9"/>
      <c r="V453" s="9"/>
      <c r="W453" s="9"/>
      <c r="X453" s="9"/>
      <c r="Y453" s="9"/>
      <c r="Z453" s="9"/>
      <c r="AA453" s="9"/>
      <c r="AB453" s="9"/>
      <c r="AC453" s="9"/>
      <c r="AD453" s="53" t="e">
        <f>#REF!*D453</f>
        <v>#REF!</v>
      </c>
      <c r="AE453" s="53" t="e">
        <f>AD453-#REF!</f>
        <v>#REF!</v>
      </c>
      <c r="AF453" s="9"/>
      <c r="AG453" s="33" t="e">
        <f>#REF!-D453</f>
        <v>#REF!</v>
      </c>
      <c r="AH453" s="9"/>
      <c r="AI453" s="9"/>
      <c r="AJ453" s="9"/>
      <c r="AK453" s="9"/>
    </row>
    <row r="454" spans="1:37" x14ac:dyDescent="0.25">
      <c r="A454" s="18" t="s">
        <v>52</v>
      </c>
      <c r="B454" s="35" t="s">
        <v>481</v>
      </c>
      <c r="C454" s="18" t="s">
        <v>41</v>
      </c>
      <c r="D454" s="52" t="e">
        <f>#REF!/#REF!*100</f>
        <v>#REF!</v>
      </c>
      <c r="E454" s="54"/>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53" t="e">
        <f>#REF!*D454</f>
        <v>#REF!</v>
      </c>
      <c r="AE454" s="53" t="e">
        <f>AD454-#REF!</f>
        <v>#REF!</v>
      </c>
      <c r="AG454" s="33" t="e">
        <f>#REF!-D454</f>
        <v>#REF!</v>
      </c>
    </row>
    <row r="455" spans="1:37" s="17" customFormat="1" ht="10.199999999999999" outlineLevel="1" x14ac:dyDescent="0.2">
      <c r="A455" s="61" t="s">
        <v>962</v>
      </c>
      <c r="B455" s="231" t="s">
        <v>517</v>
      </c>
      <c r="C455" s="8" t="s">
        <v>47</v>
      </c>
      <c r="D455" s="25">
        <f t="shared" ref="D455:D486" si="125">SUM(G455:AC455)</f>
        <v>1</v>
      </c>
      <c r="E455" s="54"/>
      <c r="F455" s="78"/>
      <c r="G455" s="33">
        <v>0</v>
      </c>
      <c r="H455" s="33">
        <v>1</v>
      </c>
      <c r="I455" s="9">
        <v>0</v>
      </c>
      <c r="J455" s="9">
        <v>0</v>
      </c>
      <c r="K455" s="9">
        <v>0</v>
      </c>
      <c r="L455" s="9">
        <v>0</v>
      </c>
      <c r="M455" s="9">
        <v>0</v>
      </c>
      <c r="N455" s="9">
        <v>0</v>
      </c>
      <c r="O455" s="9">
        <v>0</v>
      </c>
      <c r="P455" s="9">
        <v>0</v>
      </c>
      <c r="Q455" s="9">
        <v>0</v>
      </c>
      <c r="R455" s="9">
        <v>0</v>
      </c>
      <c r="S455" s="9">
        <v>0</v>
      </c>
      <c r="T455" s="9">
        <v>0</v>
      </c>
      <c r="U455" s="33">
        <v>0</v>
      </c>
      <c r="V455" s="9">
        <v>0</v>
      </c>
      <c r="W455" s="9">
        <v>0</v>
      </c>
      <c r="X455" s="9">
        <v>0</v>
      </c>
      <c r="Y455" s="9">
        <v>0</v>
      </c>
      <c r="Z455" s="9">
        <v>0</v>
      </c>
      <c r="AA455" s="9">
        <v>0</v>
      </c>
      <c r="AB455" s="9">
        <v>0</v>
      </c>
      <c r="AC455" s="9">
        <v>0</v>
      </c>
      <c r="AD455" s="53" t="e">
        <f>#REF!*D455</f>
        <v>#REF!</v>
      </c>
      <c r="AE455" s="53" t="e">
        <f>AD455-#REF!</f>
        <v>#REF!</v>
      </c>
      <c r="AF455" s="8"/>
      <c r="AG455" s="33" t="e">
        <f>#REF!-D455</f>
        <v>#REF!</v>
      </c>
      <c r="AH455" s="8"/>
      <c r="AI455" s="8"/>
      <c r="AJ455" s="8"/>
      <c r="AK455" s="8"/>
    </row>
    <row r="456" spans="1:37" s="12" customFormat="1" ht="10.199999999999999" outlineLevel="1" x14ac:dyDescent="0.2">
      <c r="A456" s="61" t="s">
        <v>963</v>
      </c>
      <c r="B456" s="231" t="s">
        <v>521</v>
      </c>
      <c r="C456" s="9" t="s">
        <v>47</v>
      </c>
      <c r="D456" s="25">
        <f t="shared" si="125"/>
        <v>1</v>
      </c>
      <c r="E456" s="54"/>
      <c r="F456" s="78"/>
      <c r="G456" s="33">
        <v>0</v>
      </c>
      <c r="H456" s="33">
        <v>1</v>
      </c>
      <c r="I456" s="9">
        <v>0</v>
      </c>
      <c r="J456" s="9">
        <v>0</v>
      </c>
      <c r="K456" s="9">
        <v>0</v>
      </c>
      <c r="L456" s="9">
        <v>0</v>
      </c>
      <c r="M456" s="9">
        <v>0</v>
      </c>
      <c r="N456" s="9">
        <v>0</v>
      </c>
      <c r="O456" s="9">
        <v>0</v>
      </c>
      <c r="P456" s="9">
        <v>0</v>
      </c>
      <c r="Q456" s="9">
        <v>0</v>
      </c>
      <c r="R456" s="9">
        <v>0</v>
      </c>
      <c r="S456" s="9">
        <v>0</v>
      </c>
      <c r="T456" s="9">
        <v>0</v>
      </c>
      <c r="U456" s="33">
        <v>0</v>
      </c>
      <c r="V456" s="9">
        <v>0</v>
      </c>
      <c r="W456" s="9">
        <v>0</v>
      </c>
      <c r="X456" s="9">
        <v>0</v>
      </c>
      <c r="Y456" s="9">
        <v>0</v>
      </c>
      <c r="Z456" s="9">
        <v>0</v>
      </c>
      <c r="AA456" s="9">
        <v>0</v>
      </c>
      <c r="AB456" s="9">
        <v>0</v>
      </c>
      <c r="AC456" s="9">
        <v>0</v>
      </c>
      <c r="AD456" s="53" t="e">
        <f>#REF!*D456</f>
        <v>#REF!</v>
      </c>
      <c r="AE456" s="53" t="e">
        <f>AD456-#REF!</f>
        <v>#REF!</v>
      </c>
      <c r="AF456" s="9"/>
      <c r="AG456" s="33" t="e">
        <f>#REF!-D456</f>
        <v>#REF!</v>
      </c>
      <c r="AH456" s="9"/>
      <c r="AI456" s="9"/>
      <c r="AJ456" s="9"/>
      <c r="AK456" s="9"/>
    </row>
    <row r="457" spans="1:37" s="12" customFormat="1" ht="10.199999999999999" outlineLevel="1" x14ac:dyDescent="0.2">
      <c r="A457" s="61" t="s">
        <v>964</v>
      </c>
      <c r="B457" s="231" t="s">
        <v>522</v>
      </c>
      <c r="C457" s="9" t="s">
        <v>47</v>
      </c>
      <c r="D457" s="25">
        <f t="shared" si="125"/>
        <v>1</v>
      </c>
      <c r="E457" s="54"/>
      <c r="F457" s="78"/>
      <c r="G457" s="33">
        <v>0</v>
      </c>
      <c r="H457" s="33">
        <v>1</v>
      </c>
      <c r="I457" s="9">
        <v>0</v>
      </c>
      <c r="J457" s="9">
        <v>0</v>
      </c>
      <c r="K457" s="9">
        <v>0</v>
      </c>
      <c r="L457" s="9">
        <v>0</v>
      </c>
      <c r="M457" s="9">
        <v>0</v>
      </c>
      <c r="N457" s="9">
        <v>0</v>
      </c>
      <c r="O457" s="9">
        <v>0</v>
      </c>
      <c r="P457" s="9">
        <v>0</v>
      </c>
      <c r="Q457" s="9">
        <v>0</v>
      </c>
      <c r="R457" s="9">
        <v>0</v>
      </c>
      <c r="S457" s="9">
        <v>0</v>
      </c>
      <c r="T457" s="9">
        <v>0</v>
      </c>
      <c r="U457" s="33">
        <v>0</v>
      </c>
      <c r="V457" s="9">
        <v>0</v>
      </c>
      <c r="W457" s="9">
        <v>0</v>
      </c>
      <c r="X457" s="9">
        <v>0</v>
      </c>
      <c r="Y457" s="9">
        <v>0</v>
      </c>
      <c r="Z457" s="9">
        <v>0</v>
      </c>
      <c r="AA457" s="9">
        <v>0</v>
      </c>
      <c r="AB457" s="9">
        <v>0</v>
      </c>
      <c r="AC457" s="9">
        <v>0</v>
      </c>
      <c r="AD457" s="53" t="e">
        <f>#REF!*D457</f>
        <v>#REF!</v>
      </c>
      <c r="AE457" s="53" t="e">
        <f>AD457-#REF!</f>
        <v>#REF!</v>
      </c>
      <c r="AF457" s="9"/>
      <c r="AG457" s="33" t="e">
        <f>#REF!-D457</f>
        <v>#REF!</v>
      </c>
      <c r="AH457" s="9"/>
      <c r="AI457" s="9"/>
      <c r="AJ457" s="9"/>
      <c r="AK457" s="9"/>
    </row>
    <row r="458" spans="1:37" s="17" customFormat="1" ht="10.199999999999999" outlineLevel="1" x14ac:dyDescent="0.2">
      <c r="A458" s="61" t="s">
        <v>965</v>
      </c>
      <c r="B458" s="231" t="s">
        <v>2998</v>
      </c>
      <c r="C458" s="8" t="s">
        <v>47</v>
      </c>
      <c r="D458" s="25">
        <f t="shared" si="125"/>
        <v>1</v>
      </c>
      <c r="E458" s="54"/>
      <c r="F458" s="78"/>
      <c r="G458" s="33">
        <v>0</v>
      </c>
      <c r="H458" s="33">
        <v>1</v>
      </c>
      <c r="I458" s="9">
        <v>0</v>
      </c>
      <c r="J458" s="9">
        <v>0</v>
      </c>
      <c r="K458" s="9">
        <v>0</v>
      </c>
      <c r="L458" s="9">
        <v>0</v>
      </c>
      <c r="M458" s="9">
        <v>0</v>
      </c>
      <c r="N458" s="9">
        <v>0</v>
      </c>
      <c r="O458" s="9">
        <v>0</v>
      </c>
      <c r="P458" s="9">
        <v>0</v>
      </c>
      <c r="Q458" s="9">
        <v>0</v>
      </c>
      <c r="R458" s="9">
        <v>0</v>
      </c>
      <c r="S458" s="9">
        <v>0</v>
      </c>
      <c r="T458" s="9">
        <v>0</v>
      </c>
      <c r="U458" s="33">
        <v>0</v>
      </c>
      <c r="V458" s="9">
        <v>0</v>
      </c>
      <c r="W458" s="9">
        <v>0</v>
      </c>
      <c r="X458" s="9">
        <v>0</v>
      </c>
      <c r="Y458" s="9">
        <v>0</v>
      </c>
      <c r="Z458" s="9">
        <v>0</v>
      </c>
      <c r="AA458" s="9">
        <v>0</v>
      </c>
      <c r="AB458" s="9">
        <v>0</v>
      </c>
      <c r="AC458" s="9">
        <v>0</v>
      </c>
      <c r="AD458" s="53" t="e">
        <f>#REF!*D458</f>
        <v>#REF!</v>
      </c>
      <c r="AE458" s="53" t="e">
        <f>AD458-#REF!</f>
        <v>#REF!</v>
      </c>
      <c r="AF458" s="8"/>
      <c r="AG458" s="33" t="e">
        <f>#REF!-D458</f>
        <v>#REF!</v>
      </c>
      <c r="AH458" s="8"/>
      <c r="AI458" s="8"/>
      <c r="AJ458" s="8"/>
      <c r="AK458" s="8"/>
    </row>
    <row r="459" spans="1:37" s="12" customFormat="1" ht="10.199999999999999" outlineLevel="1" x14ac:dyDescent="0.2">
      <c r="A459" s="61" t="s">
        <v>966</v>
      </c>
      <c r="B459" s="231" t="s">
        <v>3141</v>
      </c>
      <c r="C459" s="9" t="s">
        <v>47</v>
      </c>
      <c r="D459" s="25">
        <f t="shared" si="125"/>
        <v>1</v>
      </c>
      <c r="E459" s="54"/>
      <c r="F459" s="78"/>
      <c r="G459" s="33">
        <v>0</v>
      </c>
      <c r="H459" s="33">
        <v>1</v>
      </c>
      <c r="I459" s="9">
        <v>0</v>
      </c>
      <c r="J459" s="9">
        <v>0</v>
      </c>
      <c r="K459" s="9">
        <v>0</v>
      </c>
      <c r="L459" s="9">
        <v>0</v>
      </c>
      <c r="M459" s="9">
        <v>0</v>
      </c>
      <c r="N459" s="9">
        <v>0</v>
      </c>
      <c r="O459" s="9">
        <v>0</v>
      </c>
      <c r="P459" s="9">
        <v>0</v>
      </c>
      <c r="Q459" s="9">
        <v>0</v>
      </c>
      <c r="R459" s="9">
        <v>0</v>
      </c>
      <c r="S459" s="9">
        <v>0</v>
      </c>
      <c r="T459" s="9">
        <v>0</v>
      </c>
      <c r="U459" s="33">
        <v>0</v>
      </c>
      <c r="V459" s="9">
        <v>0</v>
      </c>
      <c r="W459" s="9">
        <v>0</v>
      </c>
      <c r="X459" s="9">
        <v>0</v>
      </c>
      <c r="Y459" s="9">
        <v>0</v>
      </c>
      <c r="Z459" s="9">
        <v>0</v>
      </c>
      <c r="AA459" s="9">
        <v>0</v>
      </c>
      <c r="AB459" s="9">
        <v>0</v>
      </c>
      <c r="AC459" s="9">
        <v>0</v>
      </c>
      <c r="AD459" s="53" t="e">
        <f>#REF!*D459</f>
        <v>#REF!</v>
      </c>
      <c r="AE459" s="53" t="e">
        <f>AD459-#REF!</f>
        <v>#REF!</v>
      </c>
      <c r="AF459" s="9"/>
      <c r="AG459" s="33" t="e">
        <f>#REF!-D459</f>
        <v>#REF!</v>
      </c>
      <c r="AH459" s="9"/>
      <c r="AI459" s="9"/>
      <c r="AJ459" s="9"/>
      <c r="AK459" s="9"/>
    </row>
    <row r="460" spans="1:37" s="17" customFormat="1" ht="10.199999999999999" outlineLevel="1" x14ac:dyDescent="0.2">
      <c r="A460" s="61" t="s">
        <v>967</v>
      </c>
      <c r="B460" s="14" t="s">
        <v>516</v>
      </c>
      <c r="C460" s="8" t="s">
        <v>47</v>
      </c>
      <c r="D460" s="25">
        <f t="shared" si="125"/>
        <v>1</v>
      </c>
      <c r="E460" s="54"/>
      <c r="F460" s="78"/>
      <c r="G460" s="33">
        <v>0</v>
      </c>
      <c r="H460" s="33">
        <v>0</v>
      </c>
      <c r="I460" s="9">
        <v>0</v>
      </c>
      <c r="J460" s="9">
        <v>0</v>
      </c>
      <c r="K460" s="9">
        <v>0</v>
      </c>
      <c r="L460" s="9">
        <v>0</v>
      </c>
      <c r="M460" s="9">
        <v>0</v>
      </c>
      <c r="N460" s="9">
        <v>0</v>
      </c>
      <c r="O460" s="9">
        <v>0</v>
      </c>
      <c r="P460" s="9">
        <v>0</v>
      </c>
      <c r="Q460" s="9">
        <v>0</v>
      </c>
      <c r="R460" s="9">
        <v>0</v>
      </c>
      <c r="S460" s="9">
        <v>0</v>
      </c>
      <c r="T460" s="9">
        <v>0</v>
      </c>
      <c r="U460" s="33">
        <v>1</v>
      </c>
      <c r="V460" s="9">
        <v>0</v>
      </c>
      <c r="W460" s="9">
        <v>0</v>
      </c>
      <c r="X460" s="9">
        <v>0</v>
      </c>
      <c r="Y460" s="9">
        <v>0</v>
      </c>
      <c r="Z460" s="9">
        <v>0</v>
      </c>
      <c r="AA460" s="9">
        <v>0</v>
      </c>
      <c r="AB460" s="9">
        <v>0</v>
      </c>
      <c r="AC460" s="9">
        <v>0</v>
      </c>
      <c r="AD460" s="53" t="e">
        <f>#REF!*D460</f>
        <v>#REF!</v>
      </c>
      <c r="AE460" s="53" t="e">
        <f>AD460-#REF!</f>
        <v>#REF!</v>
      </c>
      <c r="AF460" s="8"/>
      <c r="AG460" s="33" t="e">
        <f>#REF!-D460</f>
        <v>#REF!</v>
      </c>
      <c r="AH460" s="8"/>
      <c r="AI460" s="8"/>
      <c r="AJ460" s="8"/>
      <c r="AK460" s="8"/>
    </row>
    <row r="461" spans="1:37" s="17" customFormat="1" ht="10.199999999999999" outlineLevel="1" x14ac:dyDescent="0.2">
      <c r="A461" s="61" t="s">
        <v>968</v>
      </c>
      <c r="B461" s="14" t="s">
        <v>2999</v>
      </c>
      <c r="C461" s="8" t="s">
        <v>47</v>
      </c>
      <c r="D461" s="25">
        <f t="shared" si="125"/>
        <v>1</v>
      </c>
      <c r="E461" s="54"/>
      <c r="F461" s="78"/>
      <c r="G461" s="33">
        <v>0</v>
      </c>
      <c r="H461" s="33">
        <v>0</v>
      </c>
      <c r="I461" s="9">
        <v>0</v>
      </c>
      <c r="J461" s="9">
        <v>0</v>
      </c>
      <c r="K461" s="9">
        <v>0</v>
      </c>
      <c r="L461" s="9">
        <v>0</v>
      </c>
      <c r="M461" s="9">
        <v>0</v>
      </c>
      <c r="N461" s="9">
        <v>0</v>
      </c>
      <c r="O461" s="9">
        <v>0</v>
      </c>
      <c r="P461" s="9">
        <v>0</v>
      </c>
      <c r="Q461" s="9">
        <v>0</v>
      </c>
      <c r="R461" s="9">
        <v>0</v>
      </c>
      <c r="S461" s="9">
        <v>0</v>
      </c>
      <c r="T461" s="9">
        <v>0</v>
      </c>
      <c r="U461" s="33">
        <v>1</v>
      </c>
      <c r="V461" s="9">
        <v>0</v>
      </c>
      <c r="W461" s="9">
        <v>0</v>
      </c>
      <c r="X461" s="9">
        <v>0</v>
      </c>
      <c r="Y461" s="9">
        <v>0</v>
      </c>
      <c r="Z461" s="9">
        <v>0</v>
      </c>
      <c r="AA461" s="9">
        <v>0</v>
      </c>
      <c r="AB461" s="9">
        <v>0</v>
      </c>
      <c r="AC461" s="9">
        <v>0</v>
      </c>
      <c r="AD461" s="53" t="e">
        <f>#REF!*D461</f>
        <v>#REF!</v>
      </c>
      <c r="AE461" s="53" t="e">
        <f>AD461-#REF!</f>
        <v>#REF!</v>
      </c>
      <c r="AF461" s="8"/>
      <c r="AG461" s="33" t="e">
        <f>#REF!-D461</f>
        <v>#REF!</v>
      </c>
      <c r="AH461" s="8"/>
      <c r="AI461" s="8"/>
      <c r="AJ461" s="8"/>
      <c r="AK461" s="8"/>
    </row>
    <row r="462" spans="1:37" s="12" customFormat="1" ht="10.199999999999999" outlineLevel="1" x14ac:dyDescent="0.2">
      <c r="A462" s="61" t="s">
        <v>969</v>
      </c>
      <c r="B462" s="231" t="s">
        <v>3041</v>
      </c>
      <c r="C462" s="9" t="s">
        <v>47</v>
      </c>
      <c r="D462" s="25">
        <f t="shared" si="125"/>
        <v>1</v>
      </c>
      <c r="E462" s="54"/>
      <c r="F462" s="78"/>
      <c r="G462" s="33">
        <v>0</v>
      </c>
      <c r="H462" s="33">
        <v>0</v>
      </c>
      <c r="I462" s="9">
        <v>1</v>
      </c>
      <c r="J462" s="9">
        <v>0</v>
      </c>
      <c r="K462" s="9">
        <v>0</v>
      </c>
      <c r="L462" s="9">
        <v>0</v>
      </c>
      <c r="M462" s="9">
        <v>0</v>
      </c>
      <c r="N462" s="9">
        <v>0</v>
      </c>
      <c r="O462" s="9">
        <v>0</v>
      </c>
      <c r="P462" s="9">
        <v>0</v>
      </c>
      <c r="Q462" s="9">
        <v>0</v>
      </c>
      <c r="R462" s="9">
        <v>0</v>
      </c>
      <c r="S462" s="9">
        <v>0</v>
      </c>
      <c r="T462" s="9">
        <v>0</v>
      </c>
      <c r="U462" s="33">
        <v>0</v>
      </c>
      <c r="V462" s="9">
        <v>0</v>
      </c>
      <c r="W462" s="9">
        <v>0</v>
      </c>
      <c r="X462" s="9">
        <v>0</v>
      </c>
      <c r="Y462" s="9">
        <v>0</v>
      </c>
      <c r="Z462" s="9">
        <v>0</v>
      </c>
      <c r="AA462" s="9">
        <v>0</v>
      </c>
      <c r="AB462" s="9">
        <v>0</v>
      </c>
      <c r="AC462" s="9">
        <v>0</v>
      </c>
      <c r="AD462" s="53" t="e">
        <f>#REF!*D462</f>
        <v>#REF!</v>
      </c>
      <c r="AE462" s="53" t="e">
        <f>AD462-#REF!</f>
        <v>#REF!</v>
      </c>
      <c r="AF462" s="9"/>
      <c r="AG462" s="33" t="e">
        <f>#REF!-D462</f>
        <v>#REF!</v>
      </c>
      <c r="AH462" s="9"/>
      <c r="AI462" s="9"/>
      <c r="AJ462" s="9"/>
      <c r="AK462" s="9"/>
    </row>
    <row r="463" spans="1:37" s="12" customFormat="1" ht="10.199999999999999" outlineLevel="1" x14ac:dyDescent="0.2">
      <c r="A463" s="61" t="s">
        <v>970</v>
      </c>
      <c r="B463" s="231" t="s">
        <v>3042</v>
      </c>
      <c r="C463" s="9" t="s">
        <v>47</v>
      </c>
      <c r="D463" s="25">
        <f t="shared" si="125"/>
        <v>1</v>
      </c>
      <c r="E463" s="54"/>
      <c r="F463" s="78"/>
      <c r="G463" s="33">
        <v>0</v>
      </c>
      <c r="H463" s="33">
        <v>0</v>
      </c>
      <c r="I463" s="9">
        <v>1</v>
      </c>
      <c r="J463" s="9">
        <v>0</v>
      </c>
      <c r="K463" s="9">
        <v>0</v>
      </c>
      <c r="L463" s="9">
        <v>0</v>
      </c>
      <c r="M463" s="9">
        <v>0</v>
      </c>
      <c r="N463" s="9">
        <v>0</v>
      </c>
      <c r="O463" s="9">
        <v>0</v>
      </c>
      <c r="P463" s="9">
        <v>0</v>
      </c>
      <c r="Q463" s="9">
        <v>0</v>
      </c>
      <c r="R463" s="9">
        <v>0</v>
      </c>
      <c r="S463" s="9">
        <v>0</v>
      </c>
      <c r="T463" s="9">
        <v>0</v>
      </c>
      <c r="U463" s="33">
        <v>0</v>
      </c>
      <c r="V463" s="9">
        <v>0</v>
      </c>
      <c r="W463" s="9">
        <v>0</v>
      </c>
      <c r="X463" s="9">
        <v>0</v>
      </c>
      <c r="Y463" s="9">
        <v>0</v>
      </c>
      <c r="Z463" s="9">
        <v>0</v>
      </c>
      <c r="AA463" s="9">
        <v>0</v>
      </c>
      <c r="AB463" s="9">
        <v>0</v>
      </c>
      <c r="AC463" s="9">
        <v>0</v>
      </c>
      <c r="AD463" s="53" t="e">
        <f>#REF!*D463</f>
        <v>#REF!</v>
      </c>
      <c r="AE463" s="53" t="e">
        <f>AD463-#REF!</f>
        <v>#REF!</v>
      </c>
      <c r="AF463" s="9"/>
      <c r="AG463" s="33" t="e">
        <f>#REF!-D463</f>
        <v>#REF!</v>
      </c>
      <c r="AH463" s="9"/>
      <c r="AI463" s="9"/>
      <c r="AJ463" s="9"/>
      <c r="AK463" s="9"/>
    </row>
    <row r="464" spans="1:37" s="17" customFormat="1" ht="10.199999999999999" outlineLevel="1" x14ac:dyDescent="0.2">
      <c r="A464" s="61" t="s">
        <v>971</v>
      </c>
      <c r="B464" s="231" t="s">
        <v>529</v>
      </c>
      <c r="C464" s="8" t="s">
        <v>47</v>
      </c>
      <c r="D464" s="25">
        <f t="shared" si="125"/>
        <v>1</v>
      </c>
      <c r="E464" s="54"/>
      <c r="F464" s="78"/>
      <c r="G464" s="33">
        <v>0</v>
      </c>
      <c r="H464" s="33">
        <v>0</v>
      </c>
      <c r="I464" s="9">
        <v>0</v>
      </c>
      <c r="J464" s="9">
        <v>0</v>
      </c>
      <c r="K464" s="9">
        <v>0</v>
      </c>
      <c r="L464" s="9">
        <v>0</v>
      </c>
      <c r="M464" s="9">
        <v>0</v>
      </c>
      <c r="N464" s="9">
        <v>0</v>
      </c>
      <c r="O464" s="9">
        <v>0</v>
      </c>
      <c r="P464" s="9">
        <v>0</v>
      </c>
      <c r="Q464" s="9">
        <v>0</v>
      </c>
      <c r="R464" s="9">
        <v>0</v>
      </c>
      <c r="S464" s="9">
        <v>0</v>
      </c>
      <c r="T464" s="9">
        <v>0</v>
      </c>
      <c r="U464" s="33">
        <v>0</v>
      </c>
      <c r="V464" s="9">
        <v>1</v>
      </c>
      <c r="W464" s="9">
        <v>0</v>
      </c>
      <c r="X464" s="9">
        <v>0</v>
      </c>
      <c r="Y464" s="9">
        <v>0</v>
      </c>
      <c r="Z464" s="9">
        <v>0</v>
      </c>
      <c r="AA464" s="9">
        <v>0</v>
      </c>
      <c r="AB464" s="9">
        <v>0</v>
      </c>
      <c r="AC464" s="9">
        <v>0</v>
      </c>
      <c r="AD464" s="53" t="e">
        <f>#REF!*D464</f>
        <v>#REF!</v>
      </c>
      <c r="AE464" s="53" t="e">
        <f>AD464-#REF!</f>
        <v>#REF!</v>
      </c>
      <c r="AF464" s="8"/>
      <c r="AG464" s="33" t="e">
        <f>#REF!-D464</f>
        <v>#REF!</v>
      </c>
      <c r="AH464" s="8"/>
      <c r="AI464" s="8"/>
      <c r="AJ464" s="8"/>
      <c r="AK464" s="8"/>
    </row>
    <row r="465" spans="1:37" s="17" customFormat="1" ht="10.199999999999999" outlineLevel="1" x14ac:dyDescent="0.2">
      <c r="A465" s="61" t="s">
        <v>972</v>
      </c>
      <c r="B465" s="14" t="s">
        <v>3009</v>
      </c>
      <c r="C465" s="8" t="s">
        <v>47</v>
      </c>
      <c r="D465" s="25">
        <f t="shared" si="125"/>
        <v>1</v>
      </c>
      <c r="E465" s="54"/>
      <c r="F465" s="78"/>
      <c r="G465" s="33">
        <v>0</v>
      </c>
      <c r="H465" s="33">
        <v>0</v>
      </c>
      <c r="I465" s="9">
        <v>0</v>
      </c>
      <c r="J465" s="9">
        <v>0</v>
      </c>
      <c r="K465" s="9">
        <v>0</v>
      </c>
      <c r="L465" s="9">
        <v>0</v>
      </c>
      <c r="M465" s="9">
        <v>0</v>
      </c>
      <c r="N465" s="9">
        <v>0</v>
      </c>
      <c r="O465" s="9">
        <v>0</v>
      </c>
      <c r="P465" s="9">
        <v>0</v>
      </c>
      <c r="Q465" s="9">
        <v>0</v>
      </c>
      <c r="R465" s="9">
        <v>0</v>
      </c>
      <c r="S465" s="9">
        <v>0</v>
      </c>
      <c r="T465" s="9">
        <v>0</v>
      </c>
      <c r="U465" s="33">
        <v>0</v>
      </c>
      <c r="V465" s="9">
        <v>1</v>
      </c>
      <c r="W465" s="9">
        <v>0</v>
      </c>
      <c r="X465" s="9">
        <v>0</v>
      </c>
      <c r="Y465" s="9">
        <v>0</v>
      </c>
      <c r="Z465" s="9">
        <v>0</v>
      </c>
      <c r="AA465" s="9">
        <v>0</v>
      </c>
      <c r="AB465" s="9">
        <v>0</v>
      </c>
      <c r="AC465" s="9">
        <v>0</v>
      </c>
      <c r="AD465" s="53" t="e">
        <f>#REF!*D465</f>
        <v>#REF!</v>
      </c>
      <c r="AE465" s="53" t="e">
        <f>AD465-#REF!</f>
        <v>#REF!</v>
      </c>
      <c r="AF465" s="8"/>
      <c r="AG465" s="33" t="e">
        <f>#REF!-D465</f>
        <v>#REF!</v>
      </c>
      <c r="AH465" s="8"/>
      <c r="AI465" s="8"/>
      <c r="AJ465" s="8"/>
      <c r="AK465" s="8"/>
    </row>
    <row r="466" spans="1:37" s="17" customFormat="1" ht="10.199999999999999" outlineLevel="1" x14ac:dyDescent="0.2">
      <c r="A466" s="61" t="s">
        <v>973</v>
      </c>
      <c r="B466" s="14" t="s">
        <v>3151</v>
      </c>
      <c r="C466" s="8" t="s">
        <v>47</v>
      </c>
      <c r="D466" s="25">
        <f t="shared" si="125"/>
        <v>1</v>
      </c>
      <c r="E466" s="54"/>
      <c r="F466" s="78"/>
      <c r="G466" s="33">
        <v>0</v>
      </c>
      <c r="H466" s="33">
        <v>0</v>
      </c>
      <c r="I466" s="9">
        <v>0</v>
      </c>
      <c r="J466" s="9">
        <v>0</v>
      </c>
      <c r="K466" s="9">
        <v>0</v>
      </c>
      <c r="L466" s="9">
        <v>0</v>
      </c>
      <c r="M466" s="9">
        <v>0</v>
      </c>
      <c r="N466" s="9">
        <v>0</v>
      </c>
      <c r="O466" s="9">
        <v>0</v>
      </c>
      <c r="P466" s="9">
        <v>0</v>
      </c>
      <c r="Q466" s="9">
        <v>0</v>
      </c>
      <c r="R466" s="9">
        <v>0</v>
      </c>
      <c r="S466" s="9">
        <v>0</v>
      </c>
      <c r="T466" s="9">
        <v>0</v>
      </c>
      <c r="U466" s="33">
        <v>0</v>
      </c>
      <c r="V466" s="9">
        <v>1</v>
      </c>
      <c r="W466" s="9">
        <v>0</v>
      </c>
      <c r="X466" s="9">
        <v>0</v>
      </c>
      <c r="Y466" s="9">
        <v>0</v>
      </c>
      <c r="Z466" s="9">
        <v>0</v>
      </c>
      <c r="AA466" s="9">
        <v>0</v>
      </c>
      <c r="AB466" s="9">
        <v>0</v>
      </c>
      <c r="AC466" s="9">
        <v>0</v>
      </c>
      <c r="AD466" s="53" t="e">
        <f>#REF!*D466</f>
        <v>#REF!</v>
      </c>
      <c r="AE466" s="53" t="e">
        <f>AD466-#REF!</f>
        <v>#REF!</v>
      </c>
      <c r="AF466" s="8"/>
      <c r="AG466" s="33" t="e">
        <f>#REF!-D466</f>
        <v>#REF!</v>
      </c>
      <c r="AH466" s="8"/>
      <c r="AI466" s="8"/>
      <c r="AJ466" s="8"/>
      <c r="AK466" s="8"/>
    </row>
    <row r="467" spans="1:37" s="12" customFormat="1" ht="10.199999999999999" outlineLevel="1" x14ac:dyDescent="0.2">
      <c r="A467" s="61" t="s">
        <v>974</v>
      </c>
      <c r="B467" s="47" t="s">
        <v>3004</v>
      </c>
      <c r="C467" s="9" t="s">
        <v>47</v>
      </c>
      <c r="D467" s="25">
        <f t="shared" si="125"/>
        <v>1</v>
      </c>
      <c r="E467" s="54"/>
      <c r="F467" s="78"/>
      <c r="G467" s="33">
        <v>0</v>
      </c>
      <c r="H467" s="33">
        <v>0</v>
      </c>
      <c r="I467" s="9">
        <v>0</v>
      </c>
      <c r="J467" s="9">
        <v>0</v>
      </c>
      <c r="K467" s="9">
        <v>0</v>
      </c>
      <c r="L467" s="9">
        <v>0</v>
      </c>
      <c r="M467" s="9">
        <v>0</v>
      </c>
      <c r="N467" s="9">
        <v>0</v>
      </c>
      <c r="O467" s="9">
        <v>0</v>
      </c>
      <c r="P467" s="9">
        <v>0</v>
      </c>
      <c r="Q467" s="9">
        <v>0</v>
      </c>
      <c r="R467" s="9">
        <v>0</v>
      </c>
      <c r="S467" s="9">
        <v>0</v>
      </c>
      <c r="T467" s="9">
        <v>0</v>
      </c>
      <c r="U467" s="33">
        <v>0</v>
      </c>
      <c r="V467" s="9">
        <v>1</v>
      </c>
      <c r="W467" s="9">
        <v>0</v>
      </c>
      <c r="X467" s="9">
        <v>0</v>
      </c>
      <c r="Y467" s="9">
        <v>0</v>
      </c>
      <c r="Z467" s="9">
        <v>0</v>
      </c>
      <c r="AA467" s="9">
        <v>0</v>
      </c>
      <c r="AB467" s="9">
        <v>0</v>
      </c>
      <c r="AC467" s="9">
        <v>0</v>
      </c>
      <c r="AD467" s="53" t="e">
        <f>#REF!*D467</f>
        <v>#REF!</v>
      </c>
      <c r="AE467" s="53" t="e">
        <f>AD467-#REF!</f>
        <v>#REF!</v>
      </c>
      <c r="AF467" s="9"/>
      <c r="AG467" s="33" t="e">
        <f>#REF!-D467</f>
        <v>#REF!</v>
      </c>
      <c r="AH467" s="9"/>
      <c r="AI467" s="9"/>
      <c r="AJ467" s="9"/>
      <c r="AK467" s="9"/>
    </row>
    <row r="468" spans="1:37" s="12" customFormat="1" ht="10.199999999999999" outlineLevel="1" x14ac:dyDescent="0.2">
      <c r="A468" s="61" t="s">
        <v>975</v>
      </c>
      <c r="B468" s="47" t="s">
        <v>3005</v>
      </c>
      <c r="C468" s="9" t="s">
        <v>47</v>
      </c>
      <c r="D468" s="25">
        <f t="shared" si="125"/>
        <v>1</v>
      </c>
      <c r="E468" s="54"/>
      <c r="F468" s="78"/>
      <c r="G468" s="33">
        <v>0</v>
      </c>
      <c r="H468" s="33">
        <v>0</v>
      </c>
      <c r="I468" s="9">
        <v>0</v>
      </c>
      <c r="J468" s="9">
        <v>0</v>
      </c>
      <c r="K468" s="9">
        <v>0</v>
      </c>
      <c r="L468" s="9">
        <v>0</v>
      </c>
      <c r="M468" s="9">
        <v>0</v>
      </c>
      <c r="N468" s="9">
        <v>0</v>
      </c>
      <c r="O468" s="9">
        <v>0</v>
      </c>
      <c r="P468" s="9">
        <v>0</v>
      </c>
      <c r="Q468" s="9">
        <v>0</v>
      </c>
      <c r="R468" s="9">
        <v>0</v>
      </c>
      <c r="S468" s="9">
        <v>0</v>
      </c>
      <c r="T468" s="9">
        <v>0</v>
      </c>
      <c r="U468" s="33">
        <v>0</v>
      </c>
      <c r="V468" s="9">
        <v>1</v>
      </c>
      <c r="W468" s="9">
        <v>0</v>
      </c>
      <c r="X468" s="9">
        <v>0</v>
      </c>
      <c r="Y468" s="9">
        <v>0</v>
      </c>
      <c r="Z468" s="9">
        <v>0</v>
      </c>
      <c r="AA468" s="9">
        <v>0</v>
      </c>
      <c r="AB468" s="9">
        <v>0</v>
      </c>
      <c r="AC468" s="9">
        <v>0</v>
      </c>
      <c r="AD468" s="53" t="e">
        <f>#REF!*D468</f>
        <v>#REF!</v>
      </c>
      <c r="AE468" s="53" t="e">
        <f>AD468-#REF!</f>
        <v>#REF!</v>
      </c>
      <c r="AF468" s="9"/>
      <c r="AG468" s="33" t="e">
        <f>#REF!-D468</f>
        <v>#REF!</v>
      </c>
      <c r="AH468" s="9"/>
      <c r="AI468" s="9"/>
      <c r="AJ468" s="9"/>
      <c r="AK468" s="9"/>
    </row>
    <row r="469" spans="1:37" s="12" customFormat="1" ht="10.199999999999999" outlineLevel="1" x14ac:dyDescent="0.2">
      <c r="A469" s="61" t="s">
        <v>976</v>
      </c>
      <c r="B469" s="47" t="s">
        <v>3006</v>
      </c>
      <c r="C469" s="9" t="s">
        <v>47</v>
      </c>
      <c r="D469" s="25">
        <f t="shared" si="125"/>
        <v>1</v>
      </c>
      <c r="E469" s="54"/>
      <c r="F469" s="78"/>
      <c r="G469" s="33">
        <v>0</v>
      </c>
      <c r="H469" s="33">
        <v>0</v>
      </c>
      <c r="I469" s="9">
        <v>0</v>
      </c>
      <c r="J469" s="9">
        <v>0</v>
      </c>
      <c r="K469" s="9">
        <v>0</v>
      </c>
      <c r="L469" s="9">
        <v>0</v>
      </c>
      <c r="M469" s="9">
        <v>0</v>
      </c>
      <c r="N469" s="9">
        <v>0</v>
      </c>
      <c r="O469" s="9">
        <v>0</v>
      </c>
      <c r="P469" s="9">
        <v>0</v>
      </c>
      <c r="Q469" s="9">
        <v>0</v>
      </c>
      <c r="R469" s="9">
        <v>0</v>
      </c>
      <c r="S469" s="9">
        <v>0</v>
      </c>
      <c r="T469" s="9">
        <v>0</v>
      </c>
      <c r="U469" s="33">
        <v>0</v>
      </c>
      <c r="V469" s="9">
        <v>1</v>
      </c>
      <c r="W469" s="9">
        <v>0</v>
      </c>
      <c r="X469" s="9">
        <v>0</v>
      </c>
      <c r="Y469" s="9">
        <v>0</v>
      </c>
      <c r="Z469" s="9">
        <v>0</v>
      </c>
      <c r="AA469" s="9">
        <v>0</v>
      </c>
      <c r="AB469" s="9">
        <v>0</v>
      </c>
      <c r="AC469" s="9">
        <v>0</v>
      </c>
      <c r="AD469" s="53" t="e">
        <f>#REF!*D469</f>
        <v>#REF!</v>
      </c>
      <c r="AE469" s="53" t="e">
        <f>AD469-#REF!</f>
        <v>#REF!</v>
      </c>
      <c r="AF469" s="9"/>
      <c r="AG469" s="33" t="e">
        <f>#REF!-D469</f>
        <v>#REF!</v>
      </c>
      <c r="AH469" s="9"/>
      <c r="AI469" s="9"/>
      <c r="AJ469" s="9"/>
      <c r="AK469" s="9"/>
    </row>
    <row r="470" spans="1:37" s="12" customFormat="1" ht="10.199999999999999" outlineLevel="1" x14ac:dyDescent="0.2">
      <c r="A470" s="61" t="s">
        <v>977</v>
      </c>
      <c r="B470" s="47" t="s">
        <v>3007</v>
      </c>
      <c r="C470" s="9" t="s">
        <v>47</v>
      </c>
      <c r="D470" s="25">
        <f t="shared" si="125"/>
        <v>1</v>
      </c>
      <c r="E470" s="54"/>
      <c r="F470" s="78"/>
      <c r="G470" s="33">
        <v>0</v>
      </c>
      <c r="H470" s="33">
        <v>0</v>
      </c>
      <c r="I470" s="9">
        <v>0</v>
      </c>
      <c r="J470" s="9">
        <v>0</v>
      </c>
      <c r="K470" s="9">
        <v>0</v>
      </c>
      <c r="L470" s="9">
        <v>0</v>
      </c>
      <c r="M470" s="9">
        <v>0</v>
      </c>
      <c r="N470" s="9">
        <v>0</v>
      </c>
      <c r="O470" s="9">
        <v>0</v>
      </c>
      <c r="P470" s="9">
        <v>0</v>
      </c>
      <c r="Q470" s="9">
        <v>0</v>
      </c>
      <c r="R470" s="9">
        <v>0</v>
      </c>
      <c r="S470" s="9">
        <v>0</v>
      </c>
      <c r="T470" s="9">
        <v>0</v>
      </c>
      <c r="U470" s="33">
        <v>0</v>
      </c>
      <c r="V470" s="9">
        <v>1</v>
      </c>
      <c r="W470" s="9">
        <v>0</v>
      </c>
      <c r="X470" s="9">
        <v>0</v>
      </c>
      <c r="Y470" s="9">
        <v>0</v>
      </c>
      <c r="Z470" s="9">
        <v>0</v>
      </c>
      <c r="AA470" s="9">
        <v>0</v>
      </c>
      <c r="AB470" s="9">
        <v>0</v>
      </c>
      <c r="AC470" s="9">
        <v>0</v>
      </c>
      <c r="AD470" s="53" t="e">
        <f>#REF!*D470</f>
        <v>#REF!</v>
      </c>
      <c r="AE470" s="53" t="e">
        <f>AD470-#REF!</f>
        <v>#REF!</v>
      </c>
      <c r="AF470" s="9"/>
      <c r="AG470" s="33" t="e">
        <f>#REF!-D470</f>
        <v>#REF!</v>
      </c>
      <c r="AH470" s="9"/>
      <c r="AI470" s="9"/>
      <c r="AJ470" s="9"/>
      <c r="AK470" s="9"/>
    </row>
    <row r="471" spans="1:37" s="12" customFormat="1" ht="10.199999999999999" outlineLevel="1" x14ac:dyDescent="0.2">
      <c r="A471" s="61" t="s">
        <v>978</v>
      </c>
      <c r="B471" s="47" t="s">
        <v>3008</v>
      </c>
      <c r="C471" s="9" t="s">
        <v>47</v>
      </c>
      <c r="D471" s="25">
        <f t="shared" si="125"/>
        <v>1</v>
      </c>
      <c r="E471" s="54"/>
      <c r="F471" s="78"/>
      <c r="G471" s="33">
        <v>0</v>
      </c>
      <c r="H471" s="33">
        <v>0</v>
      </c>
      <c r="I471" s="9">
        <v>0</v>
      </c>
      <c r="J471" s="9">
        <v>0</v>
      </c>
      <c r="K471" s="9">
        <v>0</v>
      </c>
      <c r="L471" s="9">
        <v>0</v>
      </c>
      <c r="M471" s="9">
        <v>0</v>
      </c>
      <c r="N471" s="9">
        <v>0</v>
      </c>
      <c r="O471" s="9">
        <v>0</v>
      </c>
      <c r="P471" s="9">
        <v>0</v>
      </c>
      <c r="Q471" s="9">
        <v>0</v>
      </c>
      <c r="R471" s="9">
        <v>0</v>
      </c>
      <c r="S471" s="9">
        <v>0</v>
      </c>
      <c r="T471" s="9">
        <v>0</v>
      </c>
      <c r="U471" s="33">
        <v>0</v>
      </c>
      <c r="V471" s="9">
        <v>1</v>
      </c>
      <c r="W471" s="9">
        <v>0</v>
      </c>
      <c r="X471" s="9">
        <v>0</v>
      </c>
      <c r="Y471" s="9">
        <v>0</v>
      </c>
      <c r="Z471" s="9">
        <v>0</v>
      </c>
      <c r="AA471" s="9">
        <v>0</v>
      </c>
      <c r="AB471" s="9">
        <v>0</v>
      </c>
      <c r="AC471" s="9">
        <v>0</v>
      </c>
      <c r="AD471" s="53" t="e">
        <f>#REF!*D471</f>
        <v>#REF!</v>
      </c>
      <c r="AE471" s="53" t="e">
        <f>AD471-#REF!</f>
        <v>#REF!</v>
      </c>
      <c r="AF471" s="9"/>
      <c r="AG471" s="33" t="e">
        <f>#REF!-D471</f>
        <v>#REF!</v>
      </c>
      <c r="AH471" s="9"/>
      <c r="AI471" s="9"/>
      <c r="AJ471" s="9"/>
      <c r="AK471" s="9"/>
    </row>
    <row r="472" spans="1:37" s="17" customFormat="1" ht="10.199999999999999" outlineLevel="1" x14ac:dyDescent="0.2">
      <c r="A472" s="61" t="s">
        <v>979</v>
      </c>
      <c r="B472" s="231" t="s">
        <v>532</v>
      </c>
      <c r="C472" s="8" t="s">
        <v>47</v>
      </c>
      <c r="D472" s="25">
        <f t="shared" si="125"/>
        <v>1</v>
      </c>
      <c r="E472" s="54"/>
      <c r="F472" s="78"/>
      <c r="G472" s="33">
        <v>0</v>
      </c>
      <c r="H472" s="33">
        <v>0</v>
      </c>
      <c r="I472" s="9">
        <v>0</v>
      </c>
      <c r="J472" s="9">
        <v>1</v>
      </c>
      <c r="K472" s="9">
        <v>0</v>
      </c>
      <c r="L472" s="9">
        <v>0</v>
      </c>
      <c r="M472" s="9">
        <v>0</v>
      </c>
      <c r="N472" s="9">
        <v>0</v>
      </c>
      <c r="O472" s="9">
        <v>0</v>
      </c>
      <c r="P472" s="9">
        <v>0</v>
      </c>
      <c r="Q472" s="9">
        <v>0</v>
      </c>
      <c r="R472" s="9">
        <v>0</v>
      </c>
      <c r="S472" s="9">
        <v>0</v>
      </c>
      <c r="T472" s="9">
        <v>0</v>
      </c>
      <c r="U472" s="33">
        <v>0</v>
      </c>
      <c r="V472" s="9">
        <v>0</v>
      </c>
      <c r="W472" s="9">
        <v>0</v>
      </c>
      <c r="X472" s="9">
        <v>0</v>
      </c>
      <c r="Y472" s="9">
        <v>0</v>
      </c>
      <c r="Z472" s="9">
        <v>0</v>
      </c>
      <c r="AA472" s="9">
        <v>0</v>
      </c>
      <c r="AB472" s="9">
        <v>0</v>
      </c>
      <c r="AC472" s="9">
        <v>0</v>
      </c>
      <c r="AD472" s="53" t="e">
        <f>#REF!*D472</f>
        <v>#REF!</v>
      </c>
      <c r="AE472" s="53" t="e">
        <f>AD472-#REF!</f>
        <v>#REF!</v>
      </c>
      <c r="AF472" s="8"/>
      <c r="AG472" s="33" t="e">
        <f>#REF!-D472</f>
        <v>#REF!</v>
      </c>
      <c r="AH472" s="8"/>
      <c r="AI472" s="8"/>
      <c r="AJ472" s="8"/>
      <c r="AK472" s="8"/>
    </row>
    <row r="473" spans="1:37" s="12" customFormat="1" ht="10.199999999999999" outlineLevel="1" collapsed="1" x14ac:dyDescent="0.2">
      <c r="A473" s="61" t="s">
        <v>980</v>
      </c>
      <c r="B473" s="14" t="s">
        <v>3012</v>
      </c>
      <c r="C473" s="9" t="s">
        <v>47</v>
      </c>
      <c r="D473" s="25">
        <f t="shared" si="125"/>
        <v>1</v>
      </c>
      <c r="E473" s="54"/>
      <c r="F473" s="78"/>
      <c r="G473" s="33">
        <v>0</v>
      </c>
      <c r="H473" s="33">
        <v>0</v>
      </c>
      <c r="I473" s="9">
        <v>0</v>
      </c>
      <c r="J473" s="9">
        <v>0</v>
      </c>
      <c r="K473" s="9">
        <v>0</v>
      </c>
      <c r="L473" s="9">
        <v>0</v>
      </c>
      <c r="M473" s="9">
        <v>0</v>
      </c>
      <c r="N473" s="9">
        <v>0</v>
      </c>
      <c r="O473" s="9">
        <v>0</v>
      </c>
      <c r="P473" s="9">
        <v>0</v>
      </c>
      <c r="Q473" s="9">
        <v>0</v>
      </c>
      <c r="R473" s="9">
        <v>0</v>
      </c>
      <c r="S473" s="9">
        <v>0</v>
      </c>
      <c r="T473" s="9">
        <v>0</v>
      </c>
      <c r="U473" s="33">
        <v>0</v>
      </c>
      <c r="V473" s="9">
        <v>0</v>
      </c>
      <c r="W473" s="9">
        <v>1</v>
      </c>
      <c r="X473" s="9">
        <v>0</v>
      </c>
      <c r="Y473" s="9">
        <v>0</v>
      </c>
      <c r="Z473" s="9">
        <v>0</v>
      </c>
      <c r="AA473" s="9">
        <v>0</v>
      </c>
      <c r="AB473" s="9">
        <v>0</v>
      </c>
      <c r="AC473" s="9">
        <v>0</v>
      </c>
      <c r="AD473" s="53" t="e">
        <f>#REF!*D473</f>
        <v>#REF!</v>
      </c>
      <c r="AE473" s="53" t="e">
        <f>AD473-#REF!</f>
        <v>#REF!</v>
      </c>
      <c r="AF473" s="9"/>
      <c r="AG473" s="33" t="e">
        <f>#REF!-D473</f>
        <v>#REF!</v>
      </c>
      <c r="AH473" s="9"/>
      <c r="AI473" s="9"/>
      <c r="AJ473" s="9"/>
      <c r="AK473" s="9"/>
    </row>
    <row r="474" spans="1:37" s="12" customFormat="1" ht="10.199999999999999" outlineLevel="1" x14ac:dyDescent="0.2">
      <c r="A474" s="61" t="s">
        <v>981</v>
      </c>
      <c r="B474" s="14" t="s">
        <v>3013</v>
      </c>
      <c r="C474" s="9" t="s">
        <v>47</v>
      </c>
      <c r="D474" s="25">
        <f t="shared" si="125"/>
        <v>1</v>
      </c>
      <c r="E474" s="54"/>
      <c r="F474" s="78"/>
      <c r="G474" s="33">
        <v>0</v>
      </c>
      <c r="H474" s="33">
        <v>0</v>
      </c>
      <c r="I474" s="9">
        <v>0</v>
      </c>
      <c r="J474" s="9">
        <v>0</v>
      </c>
      <c r="K474" s="9">
        <v>0</v>
      </c>
      <c r="L474" s="9">
        <v>0</v>
      </c>
      <c r="M474" s="9">
        <v>0</v>
      </c>
      <c r="N474" s="9">
        <v>0</v>
      </c>
      <c r="O474" s="9">
        <v>0</v>
      </c>
      <c r="P474" s="9">
        <v>0</v>
      </c>
      <c r="Q474" s="9">
        <v>0</v>
      </c>
      <c r="R474" s="9">
        <v>0</v>
      </c>
      <c r="S474" s="9">
        <v>0</v>
      </c>
      <c r="T474" s="9">
        <v>0</v>
      </c>
      <c r="U474" s="33">
        <v>0</v>
      </c>
      <c r="V474" s="9">
        <v>0</v>
      </c>
      <c r="W474" s="9">
        <v>1</v>
      </c>
      <c r="X474" s="9">
        <v>0</v>
      </c>
      <c r="Y474" s="9">
        <v>0</v>
      </c>
      <c r="Z474" s="9">
        <v>0</v>
      </c>
      <c r="AA474" s="9">
        <v>0</v>
      </c>
      <c r="AB474" s="9">
        <v>0</v>
      </c>
      <c r="AC474" s="9">
        <v>0</v>
      </c>
      <c r="AD474" s="53" t="e">
        <f>#REF!*D474</f>
        <v>#REF!</v>
      </c>
      <c r="AE474" s="53" t="e">
        <f>AD474-#REF!</f>
        <v>#REF!</v>
      </c>
      <c r="AF474" s="9"/>
      <c r="AG474" s="33" t="e">
        <f>#REF!-D474</f>
        <v>#REF!</v>
      </c>
      <c r="AH474" s="9"/>
      <c r="AI474" s="9"/>
      <c r="AJ474" s="9"/>
      <c r="AK474" s="9"/>
    </row>
    <row r="475" spans="1:37" s="12" customFormat="1" ht="10.199999999999999" outlineLevel="1" x14ac:dyDescent="0.2">
      <c r="A475" s="61" t="s">
        <v>982</v>
      </c>
      <c r="B475" s="231" t="s">
        <v>535</v>
      </c>
      <c r="C475" s="9" t="s">
        <v>47</v>
      </c>
      <c r="D475" s="25">
        <f t="shared" si="125"/>
        <v>1</v>
      </c>
      <c r="E475" s="54"/>
      <c r="F475" s="78"/>
      <c r="G475" s="33">
        <v>0</v>
      </c>
      <c r="H475" s="33">
        <v>0</v>
      </c>
      <c r="I475" s="9">
        <v>0</v>
      </c>
      <c r="J475" s="9">
        <v>0</v>
      </c>
      <c r="K475" s="9">
        <v>1</v>
      </c>
      <c r="L475" s="9">
        <v>0</v>
      </c>
      <c r="M475" s="9">
        <v>0</v>
      </c>
      <c r="N475" s="9">
        <v>0</v>
      </c>
      <c r="O475" s="9">
        <v>0</v>
      </c>
      <c r="P475" s="9">
        <v>0</v>
      </c>
      <c r="Q475" s="9">
        <v>0</v>
      </c>
      <c r="R475" s="9">
        <v>0</v>
      </c>
      <c r="S475" s="9">
        <v>0</v>
      </c>
      <c r="T475" s="9">
        <v>0</v>
      </c>
      <c r="U475" s="33">
        <v>0</v>
      </c>
      <c r="V475" s="9">
        <v>0</v>
      </c>
      <c r="W475" s="9">
        <v>0</v>
      </c>
      <c r="X475" s="9">
        <v>0</v>
      </c>
      <c r="Y475" s="9">
        <v>0</v>
      </c>
      <c r="Z475" s="9">
        <v>0</v>
      </c>
      <c r="AA475" s="9">
        <v>0</v>
      </c>
      <c r="AB475" s="9">
        <v>0</v>
      </c>
      <c r="AC475" s="9">
        <v>0</v>
      </c>
      <c r="AD475" s="53" t="e">
        <f>#REF!*D475</f>
        <v>#REF!</v>
      </c>
      <c r="AE475" s="53" t="e">
        <f>AD475-#REF!</f>
        <v>#REF!</v>
      </c>
      <c r="AF475" s="9"/>
      <c r="AG475" s="33" t="e">
        <f>#REF!-D475</f>
        <v>#REF!</v>
      </c>
      <c r="AH475" s="9"/>
      <c r="AI475" s="9"/>
      <c r="AJ475" s="9"/>
      <c r="AK475" s="9"/>
    </row>
    <row r="476" spans="1:37" s="12" customFormat="1" ht="10.199999999999999" outlineLevel="1" x14ac:dyDescent="0.2">
      <c r="A476" s="61" t="s">
        <v>983</v>
      </c>
      <c r="B476" s="14" t="s">
        <v>3055</v>
      </c>
      <c r="C476" s="9" t="s">
        <v>47</v>
      </c>
      <c r="D476" s="25">
        <f t="shared" si="125"/>
        <v>1</v>
      </c>
      <c r="E476" s="54"/>
      <c r="F476" s="78"/>
      <c r="G476" s="33">
        <v>0</v>
      </c>
      <c r="H476" s="33">
        <v>0</v>
      </c>
      <c r="I476" s="9">
        <v>0</v>
      </c>
      <c r="J476" s="9">
        <v>0</v>
      </c>
      <c r="K476" s="9">
        <v>0</v>
      </c>
      <c r="L476" s="9">
        <v>0</v>
      </c>
      <c r="M476" s="9">
        <v>0</v>
      </c>
      <c r="N476" s="9">
        <v>0</v>
      </c>
      <c r="O476" s="9">
        <v>0</v>
      </c>
      <c r="P476" s="9">
        <v>0</v>
      </c>
      <c r="Q476" s="9">
        <v>0</v>
      </c>
      <c r="R476" s="9">
        <v>0</v>
      </c>
      <c r="S476" s="9">
        <v>0</v>
      </c>
      <c r="T476" s="9">
        <v>0</v>
      </c>
      <c r="U476" s="33">
        <v>0</v>
      </c>
      <c r="V476" s="9">
        <v>0</v>
      </c>
      <c r="W476" s="9">
        <v>0</v>
      </c>
      <c r="X476" s="9">
        <v>1</v>
      </c>
      <c r="Y476" s="9">
        <v>0</v>
      </c>
      <c r="Z476" s="9">
        <v>0</v>
      </c>
      <c r="AA476" s="9">
        <v>0</v>
      </c>
      <c r="AB476" s="9">
        <v>0</v>
      </c>
      <c r="AC476" s="9">
        <v>0</v>
      </c>
      <c r="AD476" s="53" t="e">
        <f>#REF!*D476</f>
        <v>#REF!</v>
      </c>
      <c r="AE476" s="53" t="e">
        <f>AD476-#REF!</f>
        <v>#REF!</v>
      </c>
      <c r="AF476" s="9"/>
      <c r="AG476" s="33" t="e">
        <f>#REF!-D476</f>
        <v>#REF!</v>
      </c>
      <c r="AH476" s="9"/>
      <c r="AI476" s="9"/>
      <c r="AJ476" s="9"/>
      <c r="AK476" s="9"/>
    </row>
    <row r="477" spans="1:37" s="12" customFormat="1" ht="10.199999999999999" outlineLevel="1" x14ac:dyDescent="0.2">
      <c r="A477" s="61" t="s">
        <v>984</v>
      </c>
      <c r="B477" s="14" t="s">
        <v>3140</v>
      </c>
      <c r="C477" s="9" t="s">
        <v>47</v>
      </c>
      <c r="D477" s="25">
        <f t="shared" si="125"/>
        <v>1</v>
      </c>
      <c r="E477" s="54"/>
      <c r="F477" s="78"/>
      <c r="G477" s="33">
        <v>0</v>
      </c>
      <c r="H477" s="33">
        <v>0</v>
      </c>
      <c r="I477" s="9">
        <v>0</v>
      </c>
      <c r="J477" s="9">
        <v>0</v>
      </c>
      <c r="K477" s="9">
        <v>0</v>
      </c>
      <c r="L477" s="9">
        <v>0</v>
      </c>
      <c r="M477" s="9">
        <v>0</v>
      </c>
      <c r="N477" s="9">
        <v>0</v>
      </c>
      <c r="O477" s="9">
        <v>0</v>
      </c>
      <c r="P477" s="9">
        <v>0</v>
      </c>
      <c r="Q477" s="9">
        <v>0</v>
      </c>
      <c r="R477" s="9">
        <v>0</v>
      </c>
      <c r="S477" s="9">
        <v>0</v>
      </c>
      <c r="T477" s="9">
        <v>0</v>
      </c>
      <c r="U477" s="33">
        <v>0</v>
      </c>
      <c r="V477" s="9">
        <v>0</v>
      </c>
      <c r="W477" s="9">
        <v>0</v>
      </c>
      <c r="X477" s="9">
        <v>1</v>
      </c>
      <c r="Y477" s="9">
        <v>0</v>
      </c>
      <c r="Z477" s="9">
        <v>0</v>
      </c>
      <c r="AA477" s="9">
        <v>0</v>
      </c>
      <c r="AB477" s="9">
        <v>0</v>
      </c>
      <c r="AC477" s="9">
        <v>0</v>
      </c>
      <c r="AD477" s="53" t="e">
        <f>#REF!*D477</f>
        <v>#REF!</v>
      </c>
      <c r="AE477" s="53" t="e">
        <f>AD477-#REF!</f>
        <v>#REF!</v>
      </c>
      <c r="AF477" s="9"/>
      <c r="AG477" s="33" t="e">
        <f>#REF!-D477</f>
        <v>#REF!</v>
      </c>
      <c r="AH477" s="9"/>
      <c r="AI477" s="9"/>
      <c r="AJ477" s="9"/>
      <c r="AK477" s="9"/>
    </row>
    <row r="478" spans="1:37" s="12" customFormat="1" ht="10.199999999999999" outlineLevel="1" x14ac:dyDescent="0.2">
      <c r="A478" s="61" t="s">
        <v>985</v>
      </c>
      <c r="B478" s="14" t="s">
        <v>3025</v>
      </c>
      <c r="C478" s="9" t="s">
        <v>47</v>
      </c>
      <c r="D478" s="25">
        <f t="shared" si="125"/>
        <v>1</v>
      </c>
      <c r="E478" s="54"/>
      <c r="F478" s="78"/>
      <c r="G478" s="33">
        <v>0</v>
      </c>
      <c r="H478" s="33">
        <v>0</v>
      </c>
      <c r="I478" s="9">
        <v>0</v>
      </c>
      <c r="J478" s="9">
        <v>0</v>
      </c>
      <c r="K478" s="9">
        <v>0</v>
      </c>
      <c r="L478" s="9">
        <v>0</v>
      </c>
      <c r="M478" s="9">
        <v>0</v>
      </c>
      <c r="N478" s="9">
        <v>0</v>
      </c>
      <c r="O478" s="9">
        <v>0</v>
      </c>
      <c r="P478" s="9">
        <v>0</v>
      </c>
      <c r="Q478" s="9">
        <v>0</v>
      </c>
      <c r="R478" s="9">
        <v>0</v>
      </c>
      <c r="S478" s="9">
        <v>0</v>
      </c>
      <c r="T478" s="9">
        <v>0</v>
      </c>
      <c r="U478" s="33">
        <v>0</v>
      </c>
      <c r="V478" s="9">
        <v>0</v>
      </c>
      <c r="W478" s="9">
        <v>0</v>
      </c>
      <c r="X478" s="9">
        <v>0</v>
      </c>
      <c r="Y478" s="9">
        <v>1</v>
      </c>
      <c r="Z478" s="9">
        <v>0</v>
      </c>
      <c r="AA478" s="9">
        <v>0</v>
      </c>
      <c r="AB478" s="9">
        <v>0</v>
      </c>
      <c r="AC478" s="9">
        <v>0</v>
      </c>
      <c r="AD478" s="53" t="e">
        <f>#REF!*D478</f>
        <v>#REF!</v>
      </c>
      <c r="AE478" s="53" t="e">
        <f>AD478-#REF!</f>
        <v>#REF!</v>
      </c>
      <c r="AF478" s="9"/>
      <c r="AG478" s="33" t="e">
        <f>#REF!-D478</f>
        <v>#REF!</v>
      </c>
      <c r="AH478" s="9"/>
      <c r="AI478" s="9"/>
      <c r="AJ478" s="9"/>
      <c r="AK478" s="9"/>
    </row>
    <row r="479" spans="1:37" s="12" customFormat="1" ht="10.199999999999999" outlineLevel="1" x14ac:dyDescent="0.2">
      <c r="A479" s="61" t="s">
        <v>986</v>
      </c>
      <c r="B479" s="231" t="s">
        <v>542</v>
      </c>
      <c r="C479" s="9" t="s">
        <v>47</v>
      </c>
      <c r="D479" s="25">
        <f t="shared" si="125"/>
        <v>1</v>
      </c>
      <c r="E479" s="54"/>
      <c r="F479" s="78"/>
      <c r="G479" s="33">
        <v>0</v>
      </c>
      <c r="H479" s="33">
        <v>0</v>
      </c>
      <c r="I479" s="9">
        <v>0</v>
      </c>
      <c r="J479" s="9">
        <v>0</v>
      </c>
      <c r="K479" s="9">
        <v>0</v>
      </c>
      <c r="L479" s="9">
        <v>0</v>
      </c>
      <c r="M479" s="9">
        <v>1</v>
      </c>
      <c r="N479" s="9">
        <v>0</v>
      </c>
      <c r="O479" s="9">
        <v>0</v>
      </c>
      <c r="P479" s="9">
        <v>0</v>
      </c>
      <c r="Q479" s="9">
        <v>0</v>
      </c>
      <c r="R479" s="9">
        <v>0</v>
      </c>
      <c r="S479" s="9">
        <v>0</v>
      </c>
      <c r="T479" s="9">
        <v>0</v>
      </c>
      <c r="U479" s="33">
        <v>0</v>
      </c>
      <c r="V479" s="9">
        <v>0</v>
      </c>
      <c r="W479" s="9">
        <v>0</v>
      </c>
      <c r="X479" s="9">
        <v>0</v>
      </c>
      <c r="Y479" s="9">
        <v>0</v>
      </c>
      <c r="Z479" s="9">
        <v>0</v>
      </c>
      <c r="AA479" s="9">
        <v>0</v>
      </c>
      <c r="AB479" s="9">
        <v>0</v>
      </c>
      <c r="AC479" s="9">
        <v>0</v>
      </c>
      <c r="AD479" s="53" t="e">
        <f>#REF!*D479</f>
        <v>#REF!</v>
      </c>
      <c r="AE479" s="53" t="e">
        <f>AD479-#REF!</f>
        <v>#REF!</v>
      </c>
      <c r="AF479" s="9"/>
      <c r="AG479" s="33" t="e">
        <f>#REF!-D479</f>
        <v>#REF!</v>
      </c>
      <c r="AH479" s="9"/>
      <c r="AI479" s="9"/>
      <c r="AJ479" s="9"/>
      <c r="AK479" s="9"/>
    </row>
    <row r="480" spans="1:37" s="17" customFormat="1" ht="10.199999999999999" outlineLevel="1" x14ac:dyDescent="0.2">
      <c r="A480" s="61" t="s">
        <v>987</v>
      </c>
      <c r="B480" s="14" t="s">
        <v>3031</v>
      </c>
      <c r="C480" s="8" t="s">
        <v>47</v>
      </c>
      <c r="D480" s="25">
        <f t="shared" si="125"/>
        <v>1</v>
      </c>
      <c r="E480" s="54"/>
      <c r="F480" s="78"/>
      <c r="G480" s="33">
        <v>0</v>
      </c>
      <c r="H480" s="33">
        <v>0</v>
      </c>
      <c r="I480" s="9">
        <v>0</v>
      </c>
      <c r="J480" s="9">
        <v>0</v>
      </c>
      <c r="K480" s="9">
        <v>0</v>
      </c>
      <c r="L480" s="9">
        <v>0</v>
      </c>
      <c r="M480" s="9">
        <v>0</v>
      </c>
      <c r="N480" s="9">
        <v>0</v>
      </c>
      <c r="O480" s="9">
        <v>0</v>
      </c>
      <c r="P480" s="9">
        <v>0</v>
      </c>
      <c r="Q480" s="9">
        <v>0</v>
      </c>
      <c r="R480" s="9">
        <v>0</v>
      </c>
      <c r="S480" s="9">
        <v>0</v>
      </c>
      <c r="T480" s="9">
        <v>0</v>
      </c>
      <c r="U480" s="33">
        <v>0</v>
      </c>
      <c r="V480" s="9">
        <v>0</v>
      </c>
      <c r="W480" s="9">
        <v>0</v>
      </c>
      <c r="X480" s="9">
        <v>0</v>
      </c>
      <c r="Y480" s="9">
        <v>0</v>
      </c>
      <c r="Z480" s="9">
        <v>1</v>
      </c>
      <c r="AA480" s="9">
        <v>0</v>
      </c>
      <c r="AB480" s="9">
        <v>0</v>
      </c>
      <c r="AC480" s="9">
        <v>0</v>
      </c>
      <c r="AD480" s="53" t="e">
        <f>#REF!*D480</f>
        <v>#REF!</v>
      </c>
      <c r="AE480" s="53" t="e">
        <f>AD480-#REF!</f>
        <v>#REF!</v>
      </c>
      <c r="AF480" s="8"/>
      <c r="AG480" s="33" t="e">
        <f>#REF!-D480</f>
        <v>#REF!</v>
      </c>
      <c r="AH480" s="8"/>
      <c r="AI480" s="8"/>
      <c r="AJ480" s="8"/>
      <c r="AK480" s="8"/>
    </row>
    <row r="481" spans="1:37" s="12" customFormat="1" ht="10.199999999999999" outlineLevel="1" x14ac:dyDescent="0.2">
      <c r="A481" s="61" t="s">
        <v>988</v>
      </c>
      <c r="B481" s="231" t="s">
        <v>553</v>
      </c>
      <c r="C481" s="9" t="s">
        <v>47</v>
      </c>
      <c r="D481" s="25">
        <f t="shared" si="125"/>
        <v>1</v>
      </c>
      <c r="E481" s="54"/>
      <c r="F481" s="78"/>
      <c r="G481" s="33">
        <v>0</v>
      </c>
      <c r="H481" s="33">
        <v>0</v>
      </c>
      <c r="I481" s="9">
        <v>0</v>
      </c>
      <c r="J481" s="9">
        <v>0</v>
      </c>
      <c r="K481" s="9">
        <v>0</v>
      </c>
      <c r="L481" s="9">
        <v>0</v>
      </c>
      <c r="M481" s="9">
        <v>0</v>
      </c>
      <c r="N481" s="9">
        <v>1</v>
      </c>
      <c r="O481" s="9">
        <v>0</v>
      </c>
      <c r="P481" s="9">
        <v>0</v>
      </c>
      <c r="Q481" s="9">
        <v>0</v>
      </c>
      <c r="R481" s="9">
        <v>0</v>
      </c>
      <c r="S481" s="9">
        <v>0</v>
      </c>
      <c r="T481" s="9">
        <v>0</v>
      </c>
      <c r="U481" s="33">
        <v>0</v>
      </c>
      <c r="V481" s="9">
        <v>0</v>
      </c>
      <c r="W481" s="9">
        <v>0</v>
      </c>
      <c r="X481" s="9">
        <v>0</v>
      </c>
      <c r="Y481" s="9">
        <v>0</v>
      </c>
      <c r="Z481" s="9">
        <v>0</v>
      </c>
      <c r="AA481" s="9">
        <v>0</v>
      </c>
      <c r="AB481" s="9">
        <v>0</v>
      </c>
      <c r="AC481" s="9">
        <v>0</v>
      </c>
      <c r="AD481" s="53" t="e">
        <f>#REF!*D481</f>
        <v>#REF!</v>
      </c>
      <c r="AE481" s="53" t="e">
        <f>AD481-#REF!</f>
        <v>#REF!</v>
      </c>
      <c r="AF481" s="9"/>
      <c r="AG481" s="33" t="e">
        <f>#REF!-D481</f>
        <v>#REF!</v>
      </c>
      <c r="AH481" s="9"/>
      <c r="AI481" s="9"/>
      <c r="AJ481" s="9"/>
      <c r="AK481" s="9"/>
    </row>
    <row r="482" spans="1:37" s="17" customFormat="1" ht="10.199999999999999" outlineLevel="1" x14ac:dyDescent="0.2">
      <c r="A482" s="61" t="s">
        <v>989</v>
      </c>
      <c r="B482" s="14" t="s">
        <v>3039</v>
      </c>
      <c r="C482" s="8" t="s">
        <v>47</v>
      </c>
      <c r="D482" s="25">
        <f t="shared" si="125"/>
        <v>1</v>
      </c>
      <c r="E482" s="54"/>
      <c r="F482" s="78"/>
      <c r="G482" s="33">
        <v>0</v>
      </c>
      <c r="H482" s="33">
        <v>0</v>
      </c>
      <c r="I482" s="9">
        <v>0</v>
      </c>
      <c r="J482" s="9">
        <v>0</v>
      </c>
      <c r="K482" s="9">
        <v>0</v>
      </c>
      <c r="L482" s="9">
        <v>0</v>
      </c>
      <c r="M482" s="9">
        <v>0</v>
      </c>
      <c r="N482" s="9">
        <v>0</v>
      </c>
      <c r="O482" s="9">
        <v>0</v>
      </c>
      <c r="P482" s="9">
        <v>0</v>
      </c>
      <c r="Q482" s="9">
        <v>0</v>
      </c>
      <c r="R482" s="9">
        <v>0</v>
      </c>
      <c r="S482" s="9">
        <v>0</v>
      </c>
      <c r="T482" s="9">
        <v>0</v>
      </c>
      <c r="U482" s="33">
        <v>0</v>
      </c>
      <c r="V482" s="9">
        <v>0</v>
      </c>
      <c r="W482" s="9">
        <v>0</v>
      </c>
      <c r="X482" s="9">
        <v>0</v>
      </c>
      <c r="Y482" s="9">
        <v>0</v>
      </c>
      <c r="Z482" s="9">
        <v>0</v>
      </c>
      <c r="AA482" s="9">
        <v>1</v>
      </c>
      <c r="AB482" s="9">
        <v>0</v>
      </c>
      <c r="AC482" s="9">
        <v>0</v>
      </c>
      <c r="AD482" s="53" t="e">
        <f>#REF!*D482</f>
        <v>#REF!</v>
      </c>
      <c r="AE482" s="53" t="e">
        <f>AD482-#REF!</f>
        <v>#REF!</v>
      </c>
      <c r="AF482" s="8"/>
      <c r="AG482" s="33" t="e">
        <f>#REF!-D482</f>
        <v>#REF!</v>
      </c>
      <c r="AH482" s="8"/>
      <c r="AI482" s="8"/>
      <c r="AJ482" s="8"/>
      <c r="AK482" s="8"/>
    </row>
    <row r="483" spans="1:37" s="17" customFormat="1" ht="10.199999999999999" outlineLevel="1" x14ac:dyDescent="0.2">
      <c r="A483" s="61" t="s">
        <v>990</v>
      </c>
      <c r="B483" s="231" t="s">
        <v>559</v>
      </c>
      <c r="C483" s="8" t="s">
        <v>47</v>
      </c>
      <c r="D483" s="25">
        <f t="shared" si="125"/>
        <v>1</v>
      </c>
      <c r="E483" s="54"/>
      <c r="F483" s="78"/>
      <c r="G483" s="33">
        <v>0</v>
      </c>
      <c r="H483" s="33">
        <v>0</v>
      </c>
      <c r="I483" s="9">
        <v>0</v>
      </c>
      <c r="J483" s="9">
        <v>0</v>
      </c>
      <c r="K483" s="9">
        <v>0</v>
      </c>
      <c r="L483" s="9">
        <v>0</v>
      </c>
      <c r="M483" s="9">
        <v>0</v>
      </c>
      <c r="N483" s="9">
        <v>0</v>
      </c>
      <c r="O483" s="9">
        <v>1</v>
      </c>
      <c r="P483" s="9">
        <v>0</v>
      </c>
      <c r="Q483" s="9">
        <v>0</v>
      </c>
      <c r="R483" s="9">
        <v>0</v>
      </c>
      <c r="S483" s="9">
        <v>0</v>
      </c>
      <c r="T483" s="9">
        <v>0</v>
      </c>
      <c r="U483" s="33">
        <v>0</v>
      </c>
      <c r="V483" s="9">
        <v>0</v>
      </c>
      <c r="W483" s="9">
        <v>0</v>
      </c>
      <c r="X483" s="9">
        <v>0</v>
      </c>
      <c r="Y483" s="9">
        <v>0</v>
      </c>
      <c r="Z483" s="9">
        <v>0</v>
      </c>
      <c r="AA483" s="9">
        <v>0</v>
      </c>
      <c r="AB483" s="9">
        <v>0</v>
      </c>
      <c r="AC483" s="9">
        <v>0</v>
      </c>
      <c r="AD483" s="53" t="e">
        <f>#REF!*D483</f>
        <v>#REF!</v>
      </c>
      <c r="AE483" s="53" t="e">
        <f>AD483-#REF!</f>
        <v>#REF!</v>
      </c>
      <c r="AF483" s="8"/>
      <c r="AG483" s="33" t="e">
        <f>#REF!-D483</f>
        <v>#REF!</v>
      </c>
      <c r="AH483" s="8"/>
      <c r="AI483" s="8"/>
      <c r="AJ483" s="8"/>
      <c r="AK483" s="8"/>
    </row>
    <row r="484" spans="1:37" s="12" customFormat="1" ht="10.199999999999999" outlineLevel="1" x14ac:dyDescent="0.2">
      <c r="A484" s="61" t="s">
        <v>991</v>
      </c>
      <c r="B484" s="231" t="s">
        <v>563</v>
      </c>
      <c r="C484" s="9" t="s">
        <v>47</v>
      </c>
      <c r="D484" s="25">
        <f t="shared" si="125"/>
        <v>1</v>
      </c>
      <c r="E484" s="54"/>
      <c r="F484" s="78"/>
      <c r="G484" s="33">
        <v>0</v>
      </c>
      <c r="H484" s="33">
        <v>0</v>
      </c>
      <c r="I484" s="9">
        <v>0</v>
      </c>
      <c r="J484" s="9">
        <v>0</v>
      </c>
      <c r="K484" s="9">
        <v>0</v>
      </c>
      <c r="L484" s="9">
        <v>0</v>
      </c>
      <c r="M484" s="9">
        <v>0</v>
      </c>
      <c r="N484" s="9">
        <v>0</v>
      </c>
      <c r="O484" s="9">
        <v>0</v>
      </c>
      <c r="P484" s="9">
        <v>1</v>
      </c>
      <c r="Q484" s="9">
        <v>0</v>
      </c>
      <c r="R484" s="9">
        <v>0</v>
      </c>
      <c r="S484" s="9">
        <v>0</v>
      </c>
      <c r="T484" s="9">
        <v>0</v>
      </c>
      <c r="U484" s="33">
        <v>0</v>
      </c>
      <c r="V484" s="9">
        <v>0</v>
      </c>
      <c r="W484" s="9">
        <v>0</v>
      </c>
      <c r="X484" s="9">
        <v>0</v>
      </c>
      <c r="Y484" s="9">
        <v>0</v>
      </c>
      <c r="Z484" s="9">
        <v>0</v>
      </c>
      <c r="AA484" s="9">
        <v>0</v>
      </c>
      <c r="AB484" s="9">
        <v>0</v>
      </c>
      <c r="AC484" s="9">
        <v>0</v>
      </c>
      <c r="AD484" s="53" t="e">
        <f>#REF!*D484</f>
        <v>#REF!</v>
      </c>
      <c r="AE484" s="53" t="e">
        <f>AD484-#REF!</f>
        <v>#REF!</v>
      </c>
      <c r="AF484" s="9"/>
      <c r="AG484" s="33" t="e">
        <f>#REF!-D484</f>
        <v>#REF!</v>
      </c>
      <c r="AH484" s="9"/>
      <c r="AI484" s="9"/>
      <c r="AJ484" s="9"/>
      <c r="AK484" s="9"/>
    </row>
    <row r="485" spans="1:37" s="12" customFormat="1" ht="10.199999999999999" outlineLevel="1" x14ac:dyDescent="0.2">
      <c r="A485" s="61" t="s">
        <v>992</v>
      </c>
      <c r="B485" s="231" t="s">
        <v>566</v>
      </c>
      <c r="C485" s="9" t="s">
        <v>47</v>
      </c>
      <c r="D485" s="25">
        <f t="shared" si="125"/>
        <v>8</v>
      </c>
      <c r="E485" s="54"/>
      <c r="F485" s="78"/>
      <c r="G485" s="33">
        <v>0</v>
      </c>
      <c r="H485" s="33">
        <v>0</v>
      </c>
      <c r="I485" s="9">
        <v>0</v>
      </c>
      <c r="J485" s="9">
        <v>0</v>
      </c>
      <c r="K485" s="9">
        <v>0</v>
      </c>
      <c r="L485" s="9">
        <v>0</v>
      </c>
      <c r="M485" s="9">
        <v>0</v>
      </c>
      <c r="N485" s="9">
        <v>0</v>
      </c>
      <c r="O485" s="9">
        <v>0</v>
      </c>
      <c r="P485" s="9">
        <v>0</v>
      </c>
      <c r="Q485" s="9">
        <v>0</v>
      </c>
      <c r="R485" s="9">
        <v>8</v>
      </c>
      <c r="S485" s="9">
        <v>0</v>
      </c>
      <c r="T485" s="9">
        <v>0</v>
      </c>
      <c r="U485" s="33">
        <v>0</v>
      </c>
      <c r="V485" s="9">
        <v>0</v>
      </c>
      <c r="W485" s="9">
        <v>0</v>
      </c>
      <c r="X485" s="9">
        <v>0</v>
      </c>
      <c r="Y485" s="9">
        <v>0</v>
      </c>
      <c r="Z485" s="9">
        <v>0</v>
      </c>
      <c r="AA485" s="9">
        <v>0</v>
      </c>
      <c r="AB485" s="9">
        <v>0</v>
      </c>
      <c r="AC485" s="9">
        <v>0</v>
      </c>
      <c r="AD485" s="53" t="e">
        <f>#REF!*D485</f>
        <v>#REF!</v>
      </c>
      <c r="AE485" s="53" t="e">
        <f>AD485-#REF!</f>
        <v>#REF!</v>
      </c>
      <c r="AF485" s="9"/>
      <c r="AG485" s="33" t="e">
        <f>#REF!-D485</f>
        <v>#REF!</v>
      </c>
      <c r="AH485" s="9"/>
      <c r="AI485" s="9"/>
      <c r="AJ485" s="9"/>
      <c r="AK485" s="9"/>
    </row>
    <row r="486" spans="1:37" s="12" customFormat="1" ht="10.199999999999999" outlineLevel="1" x14ac:dyDescent="0.2">
      <c r="A486" s="61" t="s">
        <v>993</v>
      </c>
      <c r="B486" s="14" t="s">
        <v>3139</v>
      </c>
      <c r="C486" s="9" t="s">
        <v>47</v>
      </c>
      <c r="D486" s="25">
        <f t="shared" si="125"/>
        <v>2</v>
      </c>
      <c r="E486" s="54"/>
      <c r="F486" s="78"/>
      <c r="G486" s="33">
        <v>0</v>
      </c>
      <c r="H486" s="33">
        <v>0</v>
      </c>
      <c r="I486" s="9">
        <v>0</v>
      </c>
      <c r="J486" s="9">
        <v>0</v>
      </c>
      <c r="K486" s="9">
        <v>0</v>
      </c>
      <c r="L486" s="9">
        <v>0</v>
      </c>
      <c r="M486" s="9">
        <v>0</v>
      </c>
      <c r="N486" s="9">
        <v>0</v>
      </c>
      <c r="O486" s="9">
        <v>0</v>
      </c>
      <c r="P486" s="9">
        <v>0</v>
      </c>
      <c r="Q486" s="9">
        <v>0</v>
      </c>
      <c r="R486" s="9">
        <v>0</v>
      </c>
      <c r="S486" s="9">
        <v>0</v>
      </c>
      <c r="T486" s="9">
        <v>0</v>
      </c>
      <c r="U486" s="33">
        <v>0</v>
      </c>
      <c r="V486" s="9">
        <v>0</v>
      </c>
      <c r="W486" s="9">
        <v>0</v>
      </c>
      <c r="X486" s="9">
        <v>0</v>
      </c>
      <c r="Y486" s="9">
        <v>0</v>
      </c>
      <c r="Z486" s="9">
        <v>0</v>
      </c>
      <c r="AA486" s="9">
        <v>0</v>
      </c>
      <c r="AB486" s="9">
        <v>2</v>
      </c>
      <c r="AC486" s="9">
        <v>0</v>
      </c>
      <c r="AD486" s="53" t="e">
        <f>#REF!*D486</f>
        <v>#REF!</v>
      </c>
      <c r="AE486" s="53" t="e">
        <f>AD486-#REF!</f>
        <v>#REF!</v>
      </c>
      <c r="AF486" s="9"/>
      <c r="AG486" s="33" t="e">
        <f>#REF!-D486</f>
        <v>#REF!</v>
      </c>
      <c r="AH486" s="9"/>
      <c r="AI486" s="9"/>
      <c r="AJ486" s="9"/>
      <c r="AK486" s="9"/>
    </row>
    <row r="487" spans="1:37" s="12" customFormat="1" ht="10.199999999999999" outlineLevel="1" x14ac:dyDescent="0.2">
      <c r="A487" s="61" t="s">
        <v>994</v>
      </c>
      <c r="B487" s="231" t="s">
        <v>2993</v>
      </c>
      <c r="C487" s="9" t="s">
        <v>47</v>
      </c>
      <c r="D487" s="25">
        <f t="shared" ref="D487:D518" si="126">SUM(G487:AC487)</f>
        <v>1</v>
      </c>
      <c r="E487" s="54"/>
      <c r="F487" s="78"/>
      <c r="G487" s="33">
        <v>0</v>
      </c>
      <c r="H487" s="33">
        <v>1</v>
      </c>
      <c r="I487" s="9">
        <v>0</v>
      </c>
      <c r="J487" s="9">
        <v>0</v>
      </c>
      <c r="K487" s="9">
        <v>0</v>
      </c>
      <c r="L487" s="9">
        <v>0</v>
      </c>
      <c r="M487" s="9">
        <v>0</v>
      </c>
      <c r="N487" s="9">
        <v>0</v>
      </c>
      <c r="O487" s="9">
        <v>0</v>
      </c>
      <c r="P487" s="9">
        <v>0</v>
      </c>
      <c r="Q487" s="9">
        <v>0</v>
      </c>
      <c r="R487" s="9">
        <v>0</v>
      </c>
      <c r="S487" s="9">
        <v>0</v>
      </c>
      <c r="T487" s="9">
        <v>0</v>
      </c>
      <c r="U487" s="33">
        <v>0</v>
      </c>
      <c r="V487" s="9">
        <v>0</v>
      </c>
      <c r="W487" s="9">
        <v>0</v>
      </c>
      <c r="X487" s="9">
        <v>0</v>
      </c>
      <c r="Y487" s="9">
        <v>0</v>
      </c>
      <c r="Z487" s="9">
        <v>0</v>
      </c>
      <c r="AA487" s="9">
        <v>0</v>
      </c>
      <c r="AB487" s="9">
        <v>0</v>
      </c>
      <c r="AC487" s="9">
        <v>0</v>
      </c>
      <c r="AD487" s="53" t="e">
        <f>#REF!*D487</f>
        <v>#REF!</v>
      </c>
      <c r="AE487" s="53" t="e">
        <f>AD487-#REF!</f>
        <v>#REF!</v>
      </c>
      <c r="AF487" s="9"/>
      <c r="AG487" s="33" t="e">
        <f>#REF!-D487</f>
        <v>#REF!</v>
      </c>
      <c r="AH487" s="9"/>
      <c r="AI487" s="9"/>
      <c r="AJ487" s="9"/>
      <c r="AK487" s="9"/>
    </row>
    <row r="488" spans="1:37" s="12" customFormat="1" ht="10.199999999999999" outlineLevel="1" x14ac:dyDescent="0.2">
      <c r="A488" s="61" t="s">
        <v>995</v>
      </c>
      <c r="B488" s="231" t="s">
        <v>2994</v>
      </c>
      <c r="C488" s="9" t="s">
        <v>47</v>
      </c>
      <c r="D488" s="25">
        <f t="shared" si="126"/>
        <v>1</v>
      </c>
      <c r="E488" s="54"/>
      <c r="F488" s="78"/>
      <c r="G488" s="33">
        <v>0</v>
      </c>
      <c r="H488" s="33">
        <v>1</v>
      </c>
      <c r="I488" s="9">
        <v>0</v>
      </c>
      <c r="J488" s="9">
        <v>0</v>
      </c>
      <c r="K488" s="9">
        <v>0</v>
      </c>
      <c r="L488" s="9">
        <v>0</v>
      </c>
      <c r="M488" s="9">
        <v>0</v>
      </c>
      <c r="N488" s="9">
        <v>0</v>
      </c>
      <c r="O488" s="9">
        <v>0</v>
      </c>
      <c r="P488" s="9">
        <v>0</v>
      </c>
      <c r="Q488" s="9">
        <v>0</v>
      </c>
      <c r="R488" s="9">
        <v>0</v>
      </c>
      <c r="S488" s="9">
        <v>0</v>
      </c>
      <c r="T488" s="9">
        <v>0</v>
      </c>
      <c r="U488" s="33">
        <v>0</v>
      </c>
      <c r="V488" s="9">
        <v>0</v>
      </c>
      <c r="W488" s="9">
        <v>0</v>
      </c>
      <c r="X488" s="9">
        <v>0</v>
      </c>
      <c r="Y488" s="9">
        <v>0</v>
      </c>
      <c r="Z488" s="9">
        <v>0</v>
      </c>
      <c r="AA488" s="9">
        <v>0</v>
      </c>
      <c r="AB488" s="9">
        <v>0</v>
      </c>
      <c r="AC488" s="9">
        <v>0</v>
      </c>
      <c r="AD488" s="53" t="e">
        <f>#REF!*D488</f>
        <v>#REF!</v>
      </c>
      <c r="AE488" s="53" t="e">
        <f>AD488-#REF!</f>
        <v>#REF!</v>
      </c>
      <c r="AF488" s="9"/>
      <c r="AG488" s="33" t="e">
        <f>#REF!-D488</f>
        <v>#REF!</v>
      </c>
      <c r="AH488" s="9"/>
      <c r="AI488" s="9"/>
      <c r="AJ488" s="9"/>
      <c r="AK488" s="9"/>
    </row>
    <row r="489" spans="1:37" s="12" customFormat="1" ht="10.199999999999999" outlineLevel="1" x14ac:dyDescent="0.2">
      <c r="A489" s="61" t="s">
        <v>996</v>
      </c>
      <c r="B489" s="221" t="s">
        <v>515</v>
      </c>
      <c r="C489" s="9" t="s">
        <v>47</v>
      </c>
      <c r="D489" s="25">
        <f t="shared" si="126"/>
        <v>1</v>
      </c>
      <c r="E489" s="54"/>
      <c r="F489" s="78"/>
      <c r="G489" s="33">
        <v>0</v>
      </c>
      <c r="H489" s="33">
        <v>0</v>
      </c>
      <c r="I489" s="9">
        <v>0</v>
      </c>
      <c r="J489" s="9">
        <v>0</v>
      </c>
      <c r="K489" s="9">
        <v>0</v>
      </c>
      <c r="L489" s="9">
        <v>0</v>
      </c>
      <c r="M489" s="9">
        <v>0</v>
      </c>
      <c r="N489" s="9">
        <v>0</v>
      </c>
      <c r="O489" s="9">
        <v>0</v>
      </c>
      <c r="P489" s="9">
        <v>0</v>
      </c>
      <c r="Q489" s="9">
        <v>0</v>
      </c>
      <c r="R489" s="9">
        <v>0</v>
      </c>
      <c r="S489" s="9">
        <v>0</v>
      </c>
      <c r="T489" s="9">
        <v>0</v>
      </c>
      <c r="U489" s="33">
        <v>1</v>
      </c>
      <c r="V489" s="9">
        <v>0</v>
      </c>
      <c r="W489" s="9">
        <v>0</v>
      </c>
      <c r="X489" s="9">
        <v>0</v>
      </c>
      <c r="Y489" s="9">
        <v>0</v>
      </c>
      <c r="Z489" s="9">
        <v>0</v>
      </c>
      <c r="AA489" s="9">
        <v>0</v>
      </c>
      <c r="AB489" s="9">
        <v>0</v>
      </c>
      <c r="AC489" s="9">
        <v>0</v>
      </c>
      <c r="AD489" s="53" t="e">
        <f>#REF!*D489</f>
        <v>#REF!</v>
      </c>
      <c r="AE489" s="53" t="e">
        <f>AD489-#REF!</f>
        <v>#REF!</v>
      </c>
      <c r="AF489" s="9"/>
      <c r="AG489" s="33" t="e">
        <f>#REF!-D489</f>
        <v>#REF!</v>
      </c>
      <c r="AH489" s="9"/>
      <c r="AI489" s="9"/>
      <c r="AJ489" s="9"/>
      <c r="AK489" s="9"/>
    </row>
    <row r="490" spans="1:37" s="17" customFormat="1" ht="10.199999999999999" outlineLevel="1" x14ac:dyDescent="0.2">
      <c r="A490" s="61" t="s">
        <v>997</v>
      </c>
      <c r="B490" s="221" t="s">
        <v>2995</v>
      </c>
      <c r="C490" s="8" t="s">
        <v>47</v>
      </c>
      <c r="D490" s="25">
        <f t="shared" si="126"/>
        <v>1</v>
      </c>
      <c r="E490" s="54"/>
      <c r="F490" s="78"/>
      <c r="G490" s="33">
        <v>0</v>
      </c>
      <c r="H490" s="33">
        <v>0</v>
      </c>
      <c r="I490" s="9">
        <v>0</v>
      </c>
      <c r="J490" s="9">
        <v>0</v>
      </c>
      <c r="K490" s="9">
        <v>0</v>
      </c>
      <c r="L490" s="9">
        <v>0</v>
      </c>
      <c r="M490" s="9">
        <v>0</v>
      </c>
      <c r="N490" s="9">
        <v>0</v>
      </c>
      <c r="O490" s="9">
        <v>0</v>
      </c>
      <c r="P490" s="9">
        <v>0</v>
      </c>
      <c r="Q490" s="9">
        <v>0</v>
      </c>
      <c r="R490" s="9">
        <v>0</v>
      </c>
      <c r="S490" s="9">
        <v>0</v>
      </c>
      <c r="T490" s="9">
        <v>0</v>
      </c>
      <c r="U490" s="33">
        <v>1</v>
      </c>
      <c r="V490" s="9">
        <v>0</v>
      </c>
      <c r="W490" s="9">
        <v>0</v>
      </c>
      <c r="X490" s="9">
        <v>0</v>
      </c>
      <c r="Y490" s="9">
        <v>0</v>
      </c>
      <c r="Z490" s="9">
        <v>0</v>
      </c>
      <c r="AA490" s="9">
        <v>0</v>
      </c>
      <c r="AB490" s="9">
        <v>0</v>
      </c>
      <c r="AC490" s="9">
        <v>0</v>
      </c>
      <c r="AD490" s="53" t="e">
        <f>#REF!*D490</f>
        <v>#REF!</v>
      </c>
      <c r="AE490" s="53" t="e">
        <f>AD490-#REF!</f>
        <v>#REF!</v>
      </c>
      <c r="AF490" s="8"/>
      <c r="AG490" s="33" t="e">
        <f>#REF!-D490</f>
        <v>#REF!</v>
      </c>
      <c r="AH490" s="8"/>
      <c r="AI490" s="8"/>
      <c r="AJ490" s="8"/>
      <c r="AK490" s="8"/>
    </row>
    <row r="491" spans="1:37" outlineLevel="1" x14ac:dyDescent="0.25">
      <c r="A491" s="61" t="s">
        <v>998</v>
      </c>
      <c r="B491" s="232" t="s">
        <v>3137</v>
      </c>
      <c r="C491" s="8" t="s">
        <v>47</v>
      </c>
      <c r="D491" s="25">
        <f t="shared" si="126"/>
        <v>1</v>
      </c>
      <c r="E491" s="54"/>
      <c r="F491" s="78"/>
      <c r="G491" s="33">
        <v>0</v>
      </c>
      <c r="H491" s="33">
        <v>0</v>
      </c>
      <c r="I491" s="9">
        <v>1</v>
      </c>
      <c r="J491" s="9">
        <v>0</v>
      </c>
      <c r="K491" s="9">
        <v>0</v>
      </c>
      <c r="L491" s="9">
        <v>0</v>
      </c>
      <c r="M491" s="9">
        <v>0</v>
      </c>
      <c r="N491" s="9">
        <v>0</v>
      </c>
      <c r="O491" s="9">
        <v>0</v>
      </c>
      <c r="P491" s="9">
        <v>0</v>
      </c>
      <c r="Q491" s="9">
        <v>0</v>
      </c>
      <c r="R491" s="9">
        <v>0</v>
      </c>
      <c r="S491" s="9">
        <v>0</v>
      </c>
      <c r="T491" s="9">
        <v>0</v>
      </c>
      <c r="U491" s="33">
        <v>0</v>
      </c>
      <c r="V491" s="9">
        <v>0</v>
      </c>
      <c r="W491" s="9">
        <v>0</v>
      </c>
      <c r="X491" s="9">
        <v>0</v>
      </c>
      <c r="Y491" s="9">
        <v>0</v>
      </c>
      <c r="Z491" s="9">
        <v>0</v>
      </c>
      <c r="AA491" s="9">
        <v>0</v>
      </c>
      <c r="AB491" s="9">
        <v>0</v>
      </c>
      <c r="AC491" s="9">
        <v>0</v>
      </c>
      <c r="AD491" s="53" t="e">
        <f>#REF!*D491</f>
        <v>#REF!</v>
      </c>
      <c r="AE491" s="53" t="e">
        <f>AD491-#REF!</f>
        <v>#REF!</v>
      </c>
      <c r="AG491" s="33" t="e">
        <f>#REF!-D491</f>
        <v>#REF!</v>
      </c>
    </row>
    <row r="492" spans="1:37" outlineLevel="1" x14ac:dyDescent="0.25">
      <c r="A492" s="61" t="s">
        <v>999</v>
      </c>
      <c r="B492" s="232" t="s">
        <v>3138</v>
      </c>
      <c r="C492" s="8" t="s">
        <v>47</v>
      </c>
      <c r="D492" s="25">
        <f t="shared" si="126"/>
        <v>1</v>
      </c>
      <c r="E492" s="54"/>
      <c r="F492" s="78"/>
      <c r="G492" s="33">
        <v>0</v>
      </c>
      <c r="H492" s="33">
        <v>0</v>
      </c>
      <c r="I492" s="9">
        <v>1</v>
      </c>
      <c r="J492" s="9">
        <v>0</v>
      </c>
      <c r="K492" s="9">
        <v>0</v>
      </c>
      <c r="L492" s="9">
        <v>0</v>
      </c>
      <c r="M492" s="9">
        <v>0</v>
      </c>
      <c r="N492" s="9">
        <v>0</v>
      </c>
      <c r="O492" s="9">
        <v>0</v>
      </c>
      <c r="P492" s="9">
        <v>0</v>
      </c>
      <c r="Q492" s="9">
        <v>0</v>
      </c>
      <c r="R492" s="9">
        <v>0</v>
      </c>
      <c r="S492" s="9">
        <v>0</v>
      </c>
      <c r="T492" s="9">
        <v>0</v>
      </c>
      <c r="U492" s="33">
        <v>0</v>
      </c>
      <c r="V492" s="9">
        <v>0</v>
      </c>
      <c r="W492" s="9">
        <v>0</v>
      </c>
      <c r="X492" s="9">
        <v>0</v>
      </c>
      <c r="Y492" s="9">
        <v>0</v>
      </c>
      <c r="Z492" s="9">
        <v>0</v>
      </c>
      <c r="AA492" s="9">
        <v>0</v>
      </c>
      <c r="AB492" s="9">
        <v>0</v>
      </c>
      <c r="AC492" s="9">
        <v>0</v>
      </c>
      <c r="AD492" s="53" t="e">
        <f>#REF!*D492</f>
        <v>#REF!</v>
      </c>
      <c r="AE492" s="53" t="e">
        <f>AD492-#REF!</f>
        <v>#REF!</v>
      </c>
      <c r="AG492" s="33" t="e">
        <f>#REF!-D492</f>
        <v>#REF!</v>
      </c>
    </row>
    <row r="493" spans="1:37" s="12" customFormat="1" ht="10.199999999999999" outlineLevel="1" x14ac:dyDescent="0.2">
      <c r="A493" s="61" t="s">
        <v>1000</v>
      </c>
      <c r="B493" s="47" t="s">
        <v>527</v>
      </c>
      <c r="C493" s="9" t="s">
        <v>47</v>
      </c>
      <c r="D493" s="25">
        <f t="shared" si="126"/>
        <v>1</v>
      </c>
      <c r="E493" s="54"/>
      <c r="F493" s="78"/>
      <c r="G493" s="33">
        <v>0</v>
      </c>
      <c r="H493" s="33">
        <v>0</v>
      </c>
      <c r="I493" s="9">
        <v>0</v>
      </c>
      <c r="J493" s="9">
        <v>0</v>
      </c>
      <c r="K493" s="9">
        <v>0</v>
      </c>
      <c r="L493" s="9">
        <v>0</v>
      </c>
      <c r="M493" s="9">
        <v>0</v>
      </c>
      <c r="N493" s="9">
        <v>0</v>
      </c>
      <c r="O493" s="9">
        <v>0</v>
      </c>
      <c r="P493" s="9">
        <v>0</v>
      </c>
      <c r="Q493" s="9">
        <v>0</v>
      </c>
      <c r="R493" s="9">
        <v>0</v>
      </c>
      <c r="S493" s="9">
        <v>0</v>
      </c>
      <c r="T493" s="9">
        <v>0</v>
      </c>
      <c r="U493" s="33">
        <v>0</v>
      </c>
      <c r="V493" s="9">
        <v>1</v>
      </c>
      <c r="W493" s="9">
        <v>0</v>
      </c>
      <c r="X493" s="9">
        <v>0</v>
      </c>
      <c r="Y493" s="9">
        <v>0</v>
      </c>
      <c r="Z493" s="9">
        <v>0</v>
      </c>
      <c r="AA493" s="9">
        <v>0</v>
      </c>
      <c r="AB493" s="9">
        <v>0</v>
      </c>
      <c r="AC493" s="9">
        <v>0</v>
      </c>
      <c r="AD493" s="53" t="e">
        <f>#REF!*D493</f>
        <v>#REF!</v>
      </c>
      <c r="AE493" s="53" t="e">
        <f>AD493-#REF!</f>
        <v>#REF!</v>
      </c>
      <c r="AF493" s="9"/>
      <c r="AG493" s="33" t="e">
        <f>#REF!-D493</f>
        <v>#REF!</v>
      </c>
      <c r="AH493" s="9"/>
      <c r="AI493" s="9"/>
      <c r="AJ493" s="9"/>
      <c r="AK493" s="9"/>
    </row>
    <row r="494" spans="1:37" s="12" customFormat="1" ht="10.199999999999999" outlineLevel="1" x14ac:dyDescent="0.2">
      <c r="A494" s="61" t="s">
        <v>3281</v>
      </c>
      <c r="B494" s="47" t="s">
        <v>3002</v>
      </c>
      <c r="C494" s="9" t="s">
        <v>47</v>
      </c>
      <c r="D494" s="25">
        <f t="shared" si="126"/>
        <v>1</v>
      </c>
      <c r="E494" s="54"/>
      <c r="F494" s="78"/>
      <c r="G494" s="33">
        <v>0</v>
      </c>
      <c r="H494" s="33">
        <v>0</v>
      </c>
      <c r="I494" s="9">
        <v>0</v>
      </c>
      <c r="J494" s="9">
        <v>0</v>
      </c>
      <c r="K494" s="9">
        <v>0</v>
      </c>
      <c r="L494" s="9">
        <v>0</v>
      </c>
      <c r="M494" s="9">
        <v>0</v>
      </c>
      <c r="N494" s="9">
        <v>0</v>
      </c>
      <c r="O494" s="9">
        <v>0</v>
      </c>
      <c r="P494" s="9">
        <v>0</v>
      </c>
      <c r="Q494" s="9">
        <v>0</v>
      </c>
      <c r="R494" s="9">
        <v>0</v>
      </c>
      <c r="S494" s="9">
        <v>0</v>
      </c>
      <c r="T494" s="9">
        <v>0</v>
      </c>
      <c r="U494" s="33">
        <v>0</v>
      </c>
      <c r="V494" s="9">
        <v>1</v>
      </c>
      <c r="W494" s="9">
        <v>0</v>
      </c>
      <c r="X494" s="9">
        <v>0</v>
      </c>
      <c r="Y494" s="9">
        <v>0</v>
      </c>
      <c r="Z494" s="9">
        <v>0</v>
      </c>
      <c r="AA494" s="9">
        <v>0</v>
      </c>
      <c r="AB494" s="9">
        <v>0</v>
      </c>
      <c r="AC494" s="9">
        <v>0</v>
      </c>
      <c r="AD494" s="53" t="e">
        <f>#REF!*D494</f>
        <v>#REF!</v>
      </c>
      <c r="AE494" s="53" t="e">
        <f>AD494-#REF!</f>
        <v>#REF!</v>
      </c>
      <c r="AF494" s="9"/>
      <c r="AG494" s="33" t="e">
        <f>#REF!-D494</f>
        <v>#REF!</v>
      </c>
      <c r="AH494" s="9"/>
      <c r="AI494" s="9"/>
      <c r="AJ494" s="9"/>
      <c r="AK494" s="9"/>
    </row>
    <row r="495" spans="1:37" s="12" customFormat="1" ht="10.199999999999999" outlineLevel="1" x14ac:dyDescent="0.2">
      <c r="A495" s="61" t="s">
        <v>3282</v>
      </c>
      <c r="B495" s="47" t="s">
        <v>3003</v>
      </c>
      <c r="C495" s="9" t="s">
        <v>47</v>
      </c>
      <c r="D495" s="25">
        <f t="shared" si="126"/>
        <v>1</v>
      </c>
      <c r="E495" s="54"/>
      <c r="F495" s="78"/>
      <c r="G495" s="33">
        <v>0</v>
      </c>
      <c r="H495" s="33">
        <v>0</v>
      </c>
      <c r="I495" s="9">
        <v>0</v>
      </c>
      <c r="J495" s="9">
        <v>0</v>
      </c>
      <c r="K495" s="9">
        <v>0</v>
      </c>
      <c r="L495" s="9">
        <v>0</v>
      </c>
      <c r="M495" s="9">
        <v>0</v>
      </c>
      <c r="N495" s="9">
        <v>0</v>
      </c>
      <c r="O495" s="9">
        <v>0</v>
      </c>
      <c r="P495" s="9">
        <v>0</v>
      </c>
      <c r="Q495" s="9">
        <v>0</v>
      </c>
      <c r="R495" s="9">
        <v>0</v>
      </c>
      <c r="S495" s="9">
        <v>0</v>
      </c>
      <c r="T495" s="9">
        <v>0</v>
      </c>
      <c r="U495" s="33">
        <v>0</v>
      </c>
      <c r="V495" s="9">
        <v>1</v>
      </c>
      <c r="W495" s="9">
        <v>0</v>
      </c>
      <c r="X495" s="9">
        <v>0</v>
      </c>
      <c r="Y495" s="9">
        <v>0</v>
      </c>
      <c r="Z495" s="9">
        <v>0</v>
      </c>
      <c r="AA495" s="9">
        <v>0</v>
      </c>
      <c r="AB495" s="9">
        <v>0</v>
      </c>
      <c r="AC495" s="9">
        <v>0</v>
      </c>
      <c r="AD495" s="53" t="e">
        <f>#REF!*D495</f>
        <v>#REF!</v>
      </c>
      <c r="AE495" s="53" t="e">
        <f>AD495-#REF!</f>
        <v>#REF!</v>
      </c>
      <c r="AF495" s="9"/>
      <c r="AG495" s="33" t="e">
        <f>#REF!-D495</f>
        <v>#REF!</v>
      </c>
      <c r="AH495" s="9"/>
      <c r="AI495" s="9"/>
      <c r="AJ495" s="9"/>
      <c r="AK495" s="9"/>
    </row>
    <row r="496" spans="1:37" s="12" customFormat="1" ht="10.199999999999999" outlineLevel="1" x14ac:dyDescent="0.2">
      <c r="A496" s="61" t="s">
        <v>3283</v>
      </c>
      <c r="B496" s="232" t="s">
        <v>528</v>
      </c>
      <c r="C496" s="9" t="s">
        <v>47</v>
      </c>
      <c r="D496" s="25">
        <f t="shared" si="126"/>
        <v>1</v>
      </c>
      <c r="E496" s="54"/>
      <c r="F496" s="78"/>
      <c r="G496" s="33">
        <v>1</v>
      </c>
      <c r="H496" s="33">
        <v>0</v>
      </c>
      <c r="I496" s="9">
        <v>0</v>
      </c>
      <c r="J496" s="9">
        <v>0</v>
      </c>
      <c r="K496" s="9">
        <v>0</v>
      </c>
      <c r="L496" s="9">
        <v>0</v>
      </c>
      <c r="M496" s="9">
        <v>0</v>
      </c>
      <c r="N496" s="9">
        <v>0</v>
      </c>
      <c r="O496" s="9">
        <v>0</v>
      </c>
      <c r="P496" s="9">
        <v>0</v>
      </c>
      <c r="Q496" s="9">
        <v>0</v>
      </c>
      <c r="R496" s="9">
        <v>0</v>
      </c>
      <c r="S496" s="9">
        <v>0</v>
      </c>
      <c r="T496" s="9">
        <v>0</v>
      </c>
      <c r="U496" s="33">
        <v>0</v>
      </c>
      <c r="V496" s="9">
        <v>0</v>
      </c>
      <c r="W496" s="9">
        <v>0</v>
      </c>
      <c r="X496" s="9">
        <v>0</v>
      </c>
      <c r="Y496" s="9">
        <v>0</v>
      </c>
      <c r="Z496" s="9">
        <v>0</v>
      </c>
      <c r="AA496" s="9">
        <v>0</v>
      </c>
      <c r="AB496" s="9">
        <v>0</v>
      </c>
      <c r="AC496" s="9">
        <v>0</v>
      </c>
      <c r="AD496" s="53" t="e">
        <f>#REF!*D496</f>
        <v>#REF!</v>
      </c>
      <c r="AE496" s="53" t="e">
        <f>AD496-#REF!</f>
        <v>#REF!</v>
      </c>
      <c r="AF496" s="9"/>
      <c r="AG496" s="33" t="e">
        <f>#REF!-D496</f>
        <v>#REF!</v>
      </c>
      <c r="AH496" s="9"/>
      <c r="AI496" s="9"/>
      <c r="AJ496" s="9"/>
      <c r="AK496" s="9"/>
    </row>
    <row r="497" spans="1:37" outlineLevel="1" x14ac:dyDescent="0.25">
      <c r="A497" s="61" t="s">
        <v>3284</v>
      </c>
      <c r="B497" s="232" t="s">
        <v>3043</v>
      </c>
      <c r="C497" s="8" t="s">
        <v>47</v>
      </c>
      <c r="D497" s="25">
        <f t="shared" si="126"/>
        <v>1</v>
      </c>
      <c r="E497" s="54"/>
      <c r="F497" s="78"/>
      <c r="G497" s="33">
        <v>0</v>
      </c>
      <c r="H497" s="33">
        <v>0</v>
      </c>
      <c r="I497" s="9">
        <v>0</v>
      </c>
      <c r="J497" s="9">
        <v>1</v>
      </c>
      <c r="K497" s="9">
        <v>0</v>
      </c>
      <c r="L497" s="9">
        <v>0</v>
      </c>
      <c r="M497" s="9">
        <v>0</v>
      </c>
      <c r="N497" s="9">
        <v>0</v>
      </c>
      <c r="O497" s="9">
        <v>0</v>
      </c>
      <c r="P497" s="9">
        <v>0</v>
      </c>
      <c r="Q497" s="9">
        <v>0</v>
      </c>
      <c r="R497" s="9">
        <v>0</v>
      </c>
      <c r="S497" s="9">
        <v>0</v>
      </c>
      <c r="T497" s="9">
        <v>0</v>
      </c>
      <c r="U497" s="33">
        <v>0</v>
      </c>
      <c r="V497" s="9">
        <v>0</v>
      </c>
      <c r="W497" s="9">
        <v>0</v>
      </c>
      <c r="X497" s="9">
        <v>0</v>
      </c>
      <c r="Y497" s="9">
        <v>0</v>
      </c>
      <c r="Z497" s="9">
        <v>0</v>
      </c>
      <c r="AA497" s="9">
        <v>0</v>
      </c>
      <c r="AB497" s="9">
        <v>0</v>
      </c>
      <c r="AC497" s="9">
        <v>0</v>
      </c>
      <c r="AD497" s="53" t="e">
        <f>#REF!*D497</f>
        <v>#REF!</v>
      </c>
      <c r="AE497" s="53" t="e">
        <f>AD497-#REF!</f>
        <v>#REF!</v>
      </c>
      <c r="AG497" s="33" t="e">
        <f>#REF!-D497</f>
        <v>#REF!</v>
      </c>
    </row>
    <row r="498" spans="1:37" s="12" customFormat="1" ht="10.199999999999999" outlineLevel="1" x14ac:dyDescent="0.2">
      <c r="A498" s="61" t="s">
        <v>3285</v>
      </c>
      <c r="B498" s="232" t="s">
        <v>3044</v>
      </c>
      <c r="C498" s="9" t="s">
        <v>47</v>
      </c>
      <c r="D498" s="25">
        <f t="shared" si="126"/>
        <v>1</v>
      </c>
      <c r="E498" s="54"/>
      <c r="F498" s="78"/>
      <c r="G498" s="33">
        <v>0</v>
      </c>
      <c r="H498" s="33">
        <v>0</v>
      </c>
      <c r="I498" s="9">
        <v>0</v>
      </c>
      <c r="J498" s="9">
        <v>1</v>
      </c>
      <c r="K498" s="9">
        <v>0</v>
      </c>
      <c r="L498" s="9">
        <v>0</v>
      </c>
      <c r="M498" s="9">
        <v>0</v>
      </c>
      <c r="N498" s="9">
        <v>0</v>
      </c>
      <c r="O498" s="9">
        <v>0</v>
      </c>
      <c r="P498" s="9">
        <v>0</v>
      </c>
      <c r="Q498" s="9">
        <v>0</v>
      </c>
      <c r="R498" s="9">
        <v>0</v>
      </c>
      <c r="S498" s="9">
        <v>0</v>
      </c>
      <c r="T498" s="9">
        <v>0</v>
      </c>
      <c r="U498" s="33">
        <v>0</v>
      </c>
      <c r="V498" s="9">
        <v>0</v>
      </c>
      <c r="W498" s="9">
        <v>0</v>
      </c>
      <c r="X498" s="9">
        <v>0</v>
      </c>
      <c r="Y498" s="9">
        <v>0</v>
      </c>
      <c r="Z498" s="9">
        <v>0</v>
      </c>
      <c r="AA498" s="9">
        <v>0</v>
      </c>
      <c r="AB498" s="9">
        <v>0</v>
      </c>
      <c r="AC498" s="9">
        <v>0</v>
      </c>
      <c r="AD498" s="53" t="e">
        <f>#REF!*D498</f>
        <v>#REF!</v>
      </c>
      <c r="AE498" s="53" t="e">
        <f>AD498-#REF!</f>
        <v>#REF!</v>
      </c>
      <c r="AF498" s="9"/>
      <c r="AG498" s="33" t="e">
        <f>#REF!-D498</f>
        <v>#REF!</v>
      </c>
      <c r="AH498" s="9"/>
      <c r="AI498" s="9"/>
      <c r="AJ498" s="9"/>
      <c r="AK498" s="9"/>
    </row>
    <row r="499" spans="1:37" s="12" customFormat="1" ht="10.199999999999999" outlineLevel="1" x14ac:dyDescent="0.2">
      <c r="A499" s="61" t="s">
        <v>3286</v>
      </c>
      <c r="B499" s="47" t="s">
        <v>531</v>
      </c>
      <c r="C499" s="9" t="s">
        <v>47</v>
      </c>
      <c r="D499" s="25">
        <f t="shared" si="126"/>
        <v>1</v>
      </c>
      <c r="E499" s="54"/>
      <c r="F499" s="78"/>
      <c r="G499" s="33">
        <v>0</v>
      </c>
      <c r="H499" s="33">
        <v>0</v>
      </c>
      <c r="I499" s="9">
        <v>0</v>
      </c>
      <c r="J499" s="9">
        <v>0</v>
      </c>
      <c r="K499" s="9">
        <v>0</v>
      </c>
      <c r="L499" s="9">
        <v>0</v>
      </c>
      <c r="M499" s="9">
        <v>0</v>
      </c>
      <c r="N499" s="9">
        <v>0</v>
      </c>
      <c r="O499" s="9">
        <v>0</v>
      </c>
      <c r="P499" s="9">
        <v>0</v>
      </c>
      <c r="Q499" s="9">
        <v>0</v>
      </c>
      <c r="R499" s="9">
        <v>0</v>
      </c>
      <c r="S499" s="9">
        <v>0</v>
      </c>
      <c r="T499" s="9">
        <v>0</v>
      </c>
      <c r="U499" s="33">
        <v>0</v>
      </c>
      <c r="V499" s="9">
        <v>0</v>
      </c>
      <c r="W499" s="9">
        <v>1</v>
      </c>
      <c r="X499" s="9">
        <v>0</v>
      </c>
      <c r="Y499" s="9">
        <v>0</v>
      </c>
      <c r="Z499" s="9">
        <v>0</v>
      </c>
      <c r="AA499" s="9">
        <v>0</v>
      </c>
      <c r="AB499" s="9">
        <v>0</v>
      </c>
      <c r="AC499" s="9">
        <v>0</v>
      </c>
      <c r="AD499" s="53" t="e">
        <f>#REF!*D499</f>
        <v>#REF!</v>
      </c>
      <c r="AE499" s="53" t="e">
        <f>AD499-#REF!</f>
        <v>#REF!</v>
      </c>
      <c r="AF499" s="9"/>
      <c r="AG499" s="33" t="e">
        <f>#REF!-D499</f>
        <v>#REF!</v>
      </c>
      <c r="AH499" s="9"/>
      <c r="AI499" s="9"/>
      <c r="AJ499" s="9"/>
      <c r="AK499" s="9"/>
    </row>
    <row r="500" spans="1:37" s="12" customFormat="1" ht="10.199999999999999" outlineLevel="1" x14ac:dyDescent="0.2">
      <c r="A500" s="61" t="s">
        <v>3287</v>
      </c>
      <c r="B500" s="47" t="s">
        <v>3014</v>
      </c>
      <c r="C500" s="9" t="s">
        <v>47</v>
      </c>
      <c r="D500" s="25">
        <f t="shared" si="126"/>
        <v>1</v>
      </c>
      <c r="E500" s="54"/>
      <c r="F500" s="78"/>
      <c r="G500" s="33">
        <v>0</v>
      </c>
      <c r="H500" s="33">
        <v>0</v>
      </c>
      <c r="I500" s="9">
        <v>0</v>
      </c>
      <c r="J500" s="9">
        <v>0</v>
      </c>
      <c r="K500" s="9">
        <v>0</v>
      </c>
      <c r="L500" s="9">
        <v>0</v>
      </c>
      <c r="M500" s="9">
        <v>0</v>
      </c>
      <c r="N500" s="9">
        <v>0</v>
      </c>
      <c r="O500" s="9">
        <v>0</v>
      </c>
      <c r="P500" s="9">
        <v>0</v>
      </c>
      <c r="Q500" s="9">
        <v>0</v>
      </c>
      <c r="R500" s="9">
        <v>0</v>
      </c>
      <c r="S500" s="9">
        <v>0</v>
      </c>
      <c r="T500" s="9">
        <v>0</v>
      </c>
      <c r="U500" s="33">
        <v>0</v>
      </c>
      <c r="V500" s="9">
        <v>0</v>
      </c>
      <c r="W500" s="9">
        <v>1</v>
      </c>
      <c r="X500" s="9">
        <v>0</v>
      </c>
      <c r="Y500" s="9">
        <v>0</v>
      </c>
      <c r="Z500" s="9">
        <v>0</v>
      </c>
      <c r="AA500" s="9">
        <v>0</v>
      </c>
      <c r="AB500" s="9">
        <v>0</v>
      </c>
      <c r="AC500" s="9">
        <v>0</v>
      </c>
      <c r="AD500" s="53" t="e">
        <f>#REF!*D500</f>
        <v>#REF!</v>
      </c>
      <c r="AE500" s="53" t="e">
        <f>AD500-#REF!</f>
        <v>#REF!</v>
      </c>
      <c r="AF500" s="9"/>
      <c r="AG500" s="33" t="e">
        <f>#REF!-D500</f>
        <v>#REF!</v>
      </c>
      <c r="AH500" s="9"/>
      <c r="AI500" s="9"/>
      <c r="AJ500" s="9"/>
      <c r="AK500" s="9"/>
    </row>
    <row r="501" spans="1:37" s="12" customFormat="1" ht="10.199999999999999" outlineLevel="1" x14ac:dyDescent="0.2">
      <c r="A501" s="61" t="s">
        <v>3288</v>
      </c>
      <c r="B501" s="14" t="s">
        <v>3148</v>
      </c>
      <c r="C501" s="9" t="s">
        <v>47</v>
      </c>
      <c r="D501" s="25">
        <f t="shared" si="126"/>
        <v>1</v>
      </c>
      <c r="E501" s="54"/>
      <c r="F501" s="78"/>
      <c r="G501" s="33">
        <v>0</v>
      </c>
      <c r="H501" s="33">
        <v>0</v>
      </c>
      <c r="I501" s="9">
        <v>0</v>
      </c>
      <c r="J501" s="9">
        <v>0</v>
      </c>
      <c r="K501" s="9">
        <v>0</v>
      </c>
      <c r="L501" s="9">
        <v>0</v>
      </c>
      <c r="M501" s="9">
        <v>0</v>
      </c>
      <c r="N501" s="9">
        <v>0</v>
      </c>
      <c r="O501" s="9">
        <v>0</v>
      </c>
      <c r="P501" s="9">
        <v>0</v>
      </c>
      <c r="Q501" s="9">
        <v>0</v>
      </c>
      <c r="R501" s="9">
        <v>0</v>
      </c>
      <c r="S501" s="9">
        <v>0</v>
      </c>
      <c r="T501" s="9">
        <v>0</v>
      </c>
      <c r="U501" s="33">
        <v>0</v>
      </c>
      <c r="V501" s="9">
        <v>0</v>
      </c>
      <c r="W501" s="9">
        <v>1</v>
      </c>
      <c r="X501" s="9">
        <v>0</v>
      </c>
      <c r="Y501" s="9">
        <v>0</v>
      </c>
      <c r="Z501" s="9">
        <v>0</v>
      </c>
      <c r="AA501" s="9">
        <v>0</v>
      </c>
      <c r="AB501" s="9">
        <v>0</v>
      </c>
      <c r="AC501" s="9">
        <v>0</v>
      </c>
      <c r="AD501" s="53" t="e">
        <f>#REF!*D501</f>
        <v>#REF!</v>
      </c>
      <c r="AE501" s="53" t="e">
        <f>AD501-#REF!</f>
        <v>#REF!</v>
      </c>
      <c r="AF501" s="9"/>
      <c r="AG501" s="33" t="e">
        <f>#REF!-D501</f>
        <v>#REF!</v>
      </c>
      <c r="AH501" s="9"/>
      <c r="AI501" s="9"/>
      <c r="AJ501" s="9"/>
      <c r="AK501" s="9"/>
    </row>
    <row r="502" spans="1:37" s="12" customFormat="1" ht="10.199999999999999" outlineLevel="1" x14ac:dyDescent="0.2">
      <c r="A502" s="61" t="s">
        <v>3289</v>
      </c>
      <c r="B502" s="14" t="s">
        <v>3149</v>
      </c>
      <c r="C502" s="9" t="s">
        <v>47</v>
      </c>
      <c r="D502" s="25">
        <f t="shared" si="126"/>
        <v>1</v>
      </c>
      <c r="E502" s="54"/>
      <c r="F502" s="78"/>
      <c r="G502" s="33">
        <v>0</v>
      </c>
      <c r="H502" s="33">
        <v>0</v>
      </c>
      <c r="I502" s="9">
        <v>0</v>
      </c>
      <c r="J502" s="9">
        <v>0</v>
      </c>
      <c r="K502" s="9">
        <v>0</v>
      </c>
      <c r="L502" s="9">
        <v>0</v>
      </c>
      <c r="M502" s="9">
        <v>0</v>
      </c>
      <c r="N502" s="9">
        <v>0</v>
      </c>
      <c r="O502" s="9">
        <v>0</v>
      </c>
      <c r="P502" s="9">
        <v>0</v>
      </c>
      <c r="Q502" s="9">
        <v>0</v>
      </c>
      <c r="R502" s="9">
        <v>0</v>
      </c>
      <c r="S502" s="9">
        <v>0</v>
      </c>
      <c r="T502" s="9">
        <v>0</v>
      </c>
      <c r="U502" s="33">
        <v>0</v>
      </c>
      <c r="V502" s="9">
        <v>0</v>
      </c>
      <c r="W502" s="9">
        <v>1</v>
      </c>
      <c r="X502" s="9">
        <v>0</v>
      </c>
      <c r="Y502" s="9">
        <v>0</v>
      </c>
      <c r="Z502" s="9">
        <v>0</v>
      </c>
      <c r="AA502" s="9">
        <v>0</v>
      </c>
      <c r="AB502" s="9">
        <v>0</v>
      </c>
      <c r="AC502" s="9">
        <v>0</v>
      </c>
      <c r="AD502" s="53" t="e">
        <f>#REF!*D502</f>
        <v>#REF!</v>
      </c>
      <c r="AE502" s="53" t="e">
        <f>AD502-#REF!</f>
        <v>#REF!</v>
      </c>
      <c r="AF502" s="9"/>
      <c r="AG502" s="33" t="e">
        <f>#REF!-D502</f>
        <v>#REF!</v>
      </c>
      <c r="AH502" s="9"/>
      <c r="AI502" s="9"/>
      <c r="AJ502" s="9"/>
      <c r="AK502" s="9"/>
    </row>
    <row r="503" spans="1:37" s="12" customFormat="1" ht="10.199999999999999" outlineLevel="1" x14ac:dyDescent="0.2">
      <c r="A503" s="61" t="s">
        <v>3290</v>
      </c>
      <c r="B503" s="14" t="s">
        <v>3150</v>
      </c>
      <c r="C503" s="9" t="s">
        <v>47</v>
      </c>
      <c r="D503" s="25">
        <f t="shared" si="126"/>
        <v>1</v>
      </c>
      <c r="E503" s="54"/>
      <c r="F503" s="78"/>
      <c r="G503" s="33">
        <v>0</v>
      </c>
      <c r="H503" s="33">
        <v>0</v>
      </c>
      <c r="I503" s="9">
        <v>0</v>
      </c>
      <c r="J503" s="9">
        <v>0</v>
      </c>
      <c r="K503" s="9">
        <v>0</v>
      </c>
      <c r="L503" s="9">
        <v>0</v>
      </c>
      <c r="M503" s="9">
        <v>0</v>
      </c>
      <c r="N503" s="9">
        <v>0</v>
      </c>
      <c r="O503" s="9">
        <v>0</v>
      </c>
      <c r="P503" s="9">
        <v>0</v>
      </c>
      <c r="Q503" s="9">
        <v>0</v>
      </c>
      <c r="R503" s="9">
        <v>0</v>
      </c>
      <c r="S503" s="9">
        <v>0</v>
      </c>
      <c r="T503" s="9">
        <v>0</v>
      </c>
      <c r="U503" s="33">
        <v>0</v>
      </c>
      <c r="V503" s="9">
        <v>0</v>
      </c>
      <c r="W503" s="9">
        <v>1</v>
      </c>
      <c r="X503" s="9">
        <v>0</v>
      </c>
      <c r="Y503" s="9">
        <v>0</v>
      </c>
      <c r="Z503" s="9">
        <v>0</v>
      </c>
      <c r="AA503" s="9">
        <v>0</v>
      </c>
      <c r="AB503" s="9">
        <v>0</v>
      </c>
      <c r="AC503" s="9">
        <v>0</v>
      </c>
      <c r="AD503" s="53" t="e">
        <f>#REF!*D503</f>
        <v>#REF!</v>
      </c>
      <c r="AE503" s="53" t="e">
        <f>AD503-#REF!</f>
        <v>#REF!</v>
      </c>
      <c r="AF503" s="9"/>
      <c r="AG503" s="33" t="e">
        <f>#REF!-D503</f>
        <v>#REF!</v>
      </c>
      <c r="AH503" s="9"/>
      <c r="AI503" s="9"/>
      <c r="AJ503" s="9"/>
      <c r="AK503" s="9"/>
    </row>
    <row r="504" spans="1:37" s="12" customFormat="1" ht="10.199999999999999" outlineLevel="1" x14ac:dyDescent="0.2">
      <c r="A504" s="61" t="s">
        <v>3291</v>
      </c>
      <c r="B504" s="232" t="s">
        <v>3016</v>
      </c>
      <c r="C504" s="9" t="s">
        <v>47</v>
      </c>
      <c r="D504" s="25">
        <f t="shared" si="126"/>
        <v>1</v>
      </c>
      <c r="E504" s="54"/>
      <c r="F504" s="78"/>
      <c r="G504" s="33">
        <v>0</v>
      </c>
      <c r="H504" s="33">
        <v>0</v>
      </c>
      <c r="I504" s="9">
        <v>0</v>
      </c>
      <c r="J504" s="9">
        <v>0</v>
      </c>
      <c r="K504" s="9">
        <v>1</v>
      </c>
      <c r="L504" s="9">
        <v>0</v>
      </c>
      <c r="M504" s="9">
        <v>0</v>
      </c>
      <c r="N504" s="9">
        <v>0</v>
      </c>
      <c r="O504" s="9">
        <v>0</v>
      </c>
      <c r="P504" s="9">
        <v>0</v>
      </c>
      <c r="Q504" s="9">
        <v>0</v>
      </c>
      <c r="R504" s="9">
        <v>0</v>
      </c>
      <c r="S504" s="9">
        <v>0</v>
      </c>
      <c r="T504" s="9">
        <v>0</v>
      </c>
      <c r="U504" s="33">
        <v>0</v>
      </c>
      <c r="V504" s="9">
        <v>0</v>
      </c>
      <c r="W504" s="9">
        <v>0</v>
      </c>
      <c r="X504" s="9">
        <v>0</v>
      </c>
      <c r="Y504" s="9">
        <v>0</v>
      </c>
      <c r="Z504" s="9">
        <v>0</v>
      </c>
      <c r="AA504" s="9">
        <v>0</v>
      </c>
      <c r="AB504" s="9">
        <v>0</v>
      </c>
      <c r="AC504" s="9">
        <v>0</v>
      </c>
      <c r="AD504" s="53" t="e">
        <f>#REF!*D504</f>
        <v>#REF!</v>
      </c>
      <c r="AE504" s="53" t="e">
        <f>AD504-#REF!</f>
        <v>#REF!</v>
      </c>
      <c r="AF504" s="9"/>
      <c r="AG504" s="33" t="e">
        <f>#REF!-D504</f>
        <v>#REF!</v>
      </c>
      <c r="AH504" s="9"/>
      <c r="AI504" s="9"/>
      <c r="AJ504" s="9"/>
      <c r="AK504" s="9"/>
    </row>
    <row r="505" spans="1:37" s="12" customFormat="1" ht="10.199999999999999" outlineLevel="1" x14ac:dyDescent="0.2">
      <c r="A505" s="61" t="s">
        <v>3292</v>
      </c>
      <c r="B505" s="232" t="s">
        <v>3017</v>
      </c>
      <c r="C505" s="9" t="s">
        <v>47</v>
      </c>
      <c r="D505" s="25">
        <f t="shared" si="126"/>
        <v>1</v>
      </c>
      <c r="E505" s="54"/>
      <c r="F505" s="78"/>
      <c r="G505" s="33">
        <v>0</v>
      </c>
      <c r="H505" s="33">
        <v>0</v>
      </c>
      <c r="I505" s="9">
        <v>0</v>
      </c>
      <c r="J505" s="9">
        <v>0</v>
      </c>
      <c r="K505" s="9">
        <v>1</v>
      </c>
      <c r="L505" s="9">
        <v>0</v>
      </c>
      <c r="M505" s="9">
        <v>0</v>
      </c>
      <c r="N505" s="9">
        <v>0</v>
      </c>
      <c r="O505" s="9">
        <v>0</v>
      </c>
      <c r="P505" s="9">
        <v>0</v>
      </c>
      <c r="Q505" s="9">
        <v>0</v>
      </c>
      <c r="R505" s="9">
        <v>0</v>
      </c>
      <c r="S505" s="9">
        <v>0</v>
      </c>
      <c r="T505" s="9">
        <v>0</v>
      </c>
      <c r="U505" s="33">
        <v>0</v>
      </c>
      <c r="V505" s="9">
        <v>0</v>
      </c>
      <c r="W505" s="9">
        <v>0</v>
      </c>
      <c r="X505" s="9">
        <v>0</v>
      </c>
      <c r="Y505" s="9">
        <v>0</v>
      </c>
      <c r="Z505" s="9">
        <v>0</v>
      </c>
      <c r="AA505" s="9">
        <v>0</v>
      </c>
      <c r="AB505" s="9">
        <v>0</v>
      </c>
      <c r="AC505" s="9">
        <v>0</v>
      </c>
      <c r="AD505" s="53" t="e">
        <f>#REF!*D505</f>
        <v>#REF!</v>
      </c>
      <c r="AE505" s="53" t="e">
        <f>AD505-#REF!</f>
        <v>#REF!</v>
      </c>
      <c r="AF505" s="9"/>
      <c r="AG505" s="33" t="e">
        <f>#REF!-D505</f>
        <v>#REF!</v>
      </c>
      <c r="AH505" s="9"/>
      <c r="AI505" s="9"/>
      <c r="AJ505" s="9"/>
      <c r="AK505" s="9"/>
    </row>
    <row r="506" spans="1:37" s="12" customFormat="1" ht="10.199999999999999" outlineLevel="1" x14ac:dyDescent="0.2">
      <c r="A506" s="61" t="s">
        <v>3293</v>
      </c>
      <c r="B506" s="47" t="s">
        <v>534</v>
      </c>
      <c r="C506" s="9" t="s">
        <v>47</v>
      </c>
      <c r="D506" s="25">
        <f t="shared" si="126"/>
        <v>1</v>
      </c>
      <c r="E506" s="54"/>
      <c r="F506" s="78"/>
      <c r="G506" s="33">
        <v>0</v>
      </c>
      <c r="H506" s="33">
        <v>0</v>
      </c>
      <c r="I506" s="9">
        <v>0</v>
      </c>
      <c r="J506" s="9">
        <v>0</v>
      </c>
      <c r="K506" s="9">
        <v>0</v>
      </c>
      <c r="L506" s="9">
        <v>0</v>
      </c>
      <c r="M506" s="9">
        <v>0</v>
      </c>
      <c r="N506" s="9">
        <v>0</v>
      </c>
      <c r="O506" s="9">
        <v>0</v>
      </c>
      <c r="P506" s="9">
        <v>0</v>
      </c>
      <c r="Q506" s="9">
        <v>0</v>
      </c>
      <c r="R506" s="9">
        <v>0</v>
      </c>
      <c r="S506" s="9">
        <v>0</v>
      </c>
      <c r="T506" s="9">
        <v>0</v>
      </c>
      <c r="U506" s="33">
        <v>0</v>
      </c>
      <c r="V506" s="9">
        <v>0</v>
      </c>
      <c r="W506" s="9">
        <v>0</v>
      </c>
      <c r="X506" s="9">
        <v>1</v>
      </c>
      <c r="Y506" s="9">
        <v>0</v>
      </c>
      <c r="Z506" s="9">
        <v>0</v>
      </c>
      <c r="AA506" s="9">
        <v>0</v>
      </c>
      <c r="AB506" s="9">
        <v>0</v>
      </c>
      <c r="AC506" s="9">
        <v>0</v>
      </c>
      <c r="AD506" s="53" t="e">
        <f>#REF!*D506</f>
        <v>#REF!</v>
      </c>
      <c r="AE506" s="53" t="e">
        <f>AD506-#REF!</f>
        <v>#REF!</v>
      </c>
      <c r="AF506" s="9"/>
      <c r="AG506" s="33" t="e">
        <f>#REF!-D506</f>
        <v>#REF!</v>
      </c>
      <c r="AH506" s="9"/>
      <c r="AI506" s="9"/>
      <c r="AJ506" s="9"/>
      <c r="AK506" s="9"/>
    </row>
    <row r="507" spans="1:37" s="12" customFormat="1" ht="10.199999999999999" outlineLevel="1" x14ac:dyDescent="0.2">
      <c r="A507" s="61" t="s">
        <v>3294</v>
      </c>
      <c r="B507" s="47" t="s">
        <v>3018</v>
      </c>
      <c r="C507" s="9" t="s">
        <v>47</v>
      </c>
      <c r="D507" s="25">
        <f t="shared" si="126"/>
        <v>1</v>
      </c>
      <c r="E507" s="54"/>
      <c r="F507" s="78"/>
      <c r="G507" s="33">
        <v>0</v>
      </c>
      <c r="H507" s="33">
        <v>0</v>
      </c>
      <c r="I507" s="9">
        <v>0</v>
      </c>
      <c r="J507" s="9">
        <v>0</v>
      </c>
      <c r="K507" s="9">
        <v>0</v>
      </c>
      <c r="L507" s="9">
        <v>0</v>
      </c>
      <c r="M507" s="9">
        <v>0</v>
      </c>
      <c r="N507" s="9">
        <v>0</v>
      </c>
      <c r="O507" s="9">
        <v>0</v>
      </c>
      <c r="P507" s="9">
        <v>0</v>
      </c>
      <c r="Q507" s="9">
        <v>0</v>
      </c>
      <c r="R507" s="9">
        <v>0</v>
      </c>
      <c r="S507" s="9">
        <v>0</v>
      </c>
      <c r="T507" s="9">
        <v>0</v>
      </c>
      <c r="U507" s="33">
        <v>0</v>
      </c>
      <c r="V507" s="9">
        <v>0</v>
      </c>
      <c r="W507" s="9">
        <v>0</v>
      </c>
      <c r="X507" s="9">
        <v>1</v>
      </c>
      <c r="Y507" s="9">
        <v>0</v>
      </c>
      <c r="Z507" s="9">
        <v>0</v>
      </c>
      <c r="AA507" s="9">
        <v>0</v>
      </c>
      <c r="AB507" s="9">
        <v>0</v>
      </c>
      <c r="AC507" s="9">
        <v>0</v>
      </c>
      <c r="AD507" s="53" t="e">
        <f>#REF!*D507</f>
        <v>#REF!</v>
      </c>
      <c r="AE507" s="53" t="e">
        <f>AD507-#REF!</f>
        <v>#REF!</v>
      </c>
      <c r="AF507" s="9"/>
      <c r="AG507" s="33" t="e">
        <f>#REF!-D507</f>
        <v>#REF!</v>
      </c>
      <c r="AH507" s="9"/>
      <c r="AI507" s="9"/>
      <c r="AJ507" s="9"/>
      <c r="AK507" s="9"/>
    </row>
    <row r="508" spans="1:37" s="12" customFormat="1" ht="10.199999999999999" outlineLevel="1" x14ac:dyDescent="0.2">
      <c r="A508" s="61" t="s">
        <v>3295</v>
      </c>
      <c r="B508" s="232" t="s">
        <v>3045</v>
      </c>
      <c r="C508" s="9" t="s">
        <v>47</v>
      </c>
      <c r="D508" s="25">
        <f t="shared" si="126"/>
        <v>1</v>
      </c>
      <c r="E508" s="54"/>
      <c r="F508" s="78"/>
      <c r="G508" s="33">
        <v>0</v>
      </c>
      <c r="H508" s="33">
        <v>0</v>
      </c>
      <c r="I508" s="9">
        <v>0</v>
      </c>
      <c r="J508" s="9">
        <v>0</v>
      </c>
      <c r="K508" s="9">
        <v>0</v>
      </c>
      <c r="L508" s="9">
        <v>1</v>
      </c>
      <c r="M508" s="9">
        <v>0</v>
      </c>
      <c r="N508" s="9">
        <v>0</v>
      </c>
      <c r="O508" s="9">
        <v>0</v>
      </c>
      <c r="P508" s="9">
        <v>0</v>
      </c>
      <c r="Q508" s="9">
        <v>0</v>
      </c>
      <c r="R508" s="9">
        <v>0</v>
      </c>
      <c r="S508" s="9">
        <v>0</v>
      </c>
      <c r="T508" s="9">
        <v>0</v>
      </c>
      <c r="U508" s="33">
        <v>0</v>
      </c>
      <c r="V508" s="9">
        <v>0</v>
      </c>
      <c r="W508" s="9">
        <v>0</v>
      </c>
      <c r="X508" s="9">
        <v>0</v>
      </c>
      <c r="Y508" s="9">
        <v>0</v>
      </c>
      <c r="Z508" s="9">
        <v>0</v>
      </c>
      <c r="AA508" s="9">
        <v>0</v>
      </c>
      <c r="AB508" s="9">
        <v>0</v>
      </c>
      <c r="AC508" s="9">
        <v>0</v>
      </c>
      <c r="AD508" s="53" t="e">
        <f>#REF!*D508</f>
        <v>#REF!</v>
      </c>
      <c r="AE508" s="53" t="e">
        <f>AD508-#REF!</f>
        <v>#REF!</v>
      </c>
      <c r="AF508" s="9"/>
      <c r="AG508" s="33" t="e">
        <f>#REF!-D508</f>
        <v>#REF!</v>
      </c>
      <c r="AH508" s="9"/>
      <c r="AI508" s="9"/>
      <c r="AJ508" s="9"/>
      <c r="AK508" s="9"/>
    </row>
    <row r="509" spans="1:37" s="17" customFormat="1" ht="10.199999999999999" outlineLevel="1" x14ac:dyDescent="0.2">
      <c r="A509" s="61" t="s">
        <v>3296</v>
      </c>
      <c r="B509" s="232" t="s">
        <v>3046</v>
      </c>
      <c r="C509" s="8" t="s">
        <v>47</v>
      </c>
      <c r="D509" s="25">
        <f t="shared" si="126"/>
        <v>1</v>
      </c>
      <c r="E509" s="54"/>
      <c r="F509" s="78"/>
      <c r="G509" s="33">
        <v>0</v>
      </c>
      <c r="H509" s="33">
        <v>0</v>
      </c>
      <c r="I509" s="9">
        <v>0</v>
      </c>
      <c r="J509" s="9">
        <v>0</v>
      </c>
      <c r="K509" s="9">
        <v>0</v>
      </c>
      <c r="L509" s="9">
        <v>1</v>
      </c>
      <c r="M509" s="9">
        <v>0</v>
      </c>
      <c r="N509" s="9">
        <v>0</v>
      </c>
      <c r="O509" s="9">
        <v>0</v>
      </c>
      <c r="P509" s="9">
        <v>0</v>
      </c>
      <c r="Q509" s="9">
        <v>0</v>
      </c>
      <c r="R509" s="9">
        <v>0</v>
      </c>
      <c r="S509" s="9">
        <v>0</v>
      </c>
      <c r="T509" s="9">
        <v>0</v>
      </c>
      <c r="U509" s="33">
        <v>0</v>
      </c>
      <c r="V509" s="9">
        <v>0</v>
      </c>
      <c r="W509" s="9">
        <v>0</v>
      </c>
      <c r="X509" s="9">
        <v>0</v>
      </c>
      <c r="Y509" s="9">
        <v>0</v>
      </c>
      <c r="Z509" s="9">
        <v>0</v>
      </c>
      <c r="AA509" s="9">
        <v>0</v>
      </c>
      <c r="AB509" s="9">
        <v>0</v>
      </c>
      <c r="AC509" s="9">
        <v>0</v>
      </c>
      <c r="AD509" s="53" t="e">
        <f>#REF!*D509</f>
        <v>#REF!</v>
      </c>
      <c r="AE509" s="53" t="e">
        <f>AD509-#REF!</f>
        <v>#REF!</v>
      </c>
      <c r="AF509" s="8"/>
      <c r="AG509" s="33" t="e">
        <f>#REF!-D509</f>
        <v>#REF!</v>
      </c>
      <c r="AH509" s="8"/>
      <c r="AI509" s="8"/>
      <c r="AJ509" s="8"/>
      <c r="AK509" s="8"/>
    </row>
    <row r="510" spans="1:37" s="12" customFormat="1" ht="10.199999999999999" outlineLevel="1" x14ac:dyDescent="0.2">
      <c r="A510" s="61" t="s">
        <v>3297</v>
      </c>
      <c r="B510" s="47" t="s">
        <v>537</v>
      </c>
      <c r="C510" s="9" t="s">
        <v>47</v>
      </c>
      <c r="D510" s="25">
        <f t="shared" si="126"/>
        <v>1</v>
      </c>
      <c r="E510" s="54"/>
      <c r="F510" s="78"/>
      <c r="G510" s="33">
        <v>0</v>
      </c>
      <c r="H510" s="33">
        <v>0</v>
      </c>
      <c r="I510" s="9">
        <v>0</v>
      </c>
      <c r="J510" s="9">
        <v>0</v>
      </c>
      <c r="K510" s="9">
        <v>0</v>
      </c>
      <c r="L510" s="9">
        <v>0</v>
      </c>
      <c r="M510" s="9">
        <v>0</v>
      </c>
      <c r="N510" s="9">
        <v>0</v>
      </c>
      <c r="O510" s="9">
        <v>0</v>
      </c>
      <c r="P510" s="9">
        <v>0</v>
      </c>
      <c r="Q510" s="9">
        <v>0</v>
      </c>
      <c r="R510" s="9">
        <v>0</v>
      </c>
      <c r="S510" s="9">
        <v>0</v>
      </c>
      <c r="T510" s="9">
        <v>0</v>
      </c>
      <c r="U510" s="33">
        <v>0</v>
      </c>
      <c r="V510" s="9">
        <v>0</v>
      </c>
      <c r="W510" s="9">
        <v>0</v>
      </c>
      <c r="X510" s="9">
        <v>0</v>
      </c>
      <c r="Y510" s="9">
        <v>1</v>
      </c>
      <c r="Z510" s="9">
        <v>0</v>
      </c>
      <c r="AA510" s="9">
        <v>0</v>
      </c>
      <c r="AB510" s="9">
        <v>0</v>
      </c>
      <c r="AC510" s="9">
        <v>0</v>
      </c>
      <c r="AD510" s="53" t="e">
        <f>#REF!*D510</f>
        <v>#REF!</v>
      </c>
      <c r="AE510" s="53" t="e">
        <f>AD510-#REF!</f>
        <v>#REF!</v>
      </c>
      <c r="AF510" s="9"/>
      <c r="AG510" s="33" t="e">
        <f>#REF!-D510</f>
        <v>#REF!</v>
      </c>
      <c r="AH510" s="9"/>
      <c r="AI510" s="9"/>
      <c r="AJ510" s="9"/>
      <c r="AK510" s="9"/>
    </row>
    <row r="511" spans="1:37" s="12" customFormat="1" ht="10.199999999999999" outlineLevel="1" x14ac:dyDescent="0.2">
      <c r="A511" s="61" t="s">
        <v>3298</v>
      </c>
      <c r="B511" s="232" t="s">
        <v>3027</v>
      </c>
      <c r="C511" s="9" t="s">
        <v>47</v>
      </c>
      <c r="D511" s="25">
        <f t="shared" si="126"/>
        <v>1</v>
      </c>
      <c r="E511" s="54"/>
      <c r="F511" s="78"/>
      <c r="G511" s="33">
        <v>0</v>
      </c>
      <c r="H511" s="33">
        <v>0</v>
      </c>
      <c r="I511" s="9">
        <v>0</v>
      </c>
      <c r="J511" s="9">
        <v>0</v>
      </c>
      <c r="K511" s="9">
        <v>0</v>
      </c>
      <c r="L511" s="9">
        <v>0</v>
      </c>
      <c r="M511" s="9">
        <v>1</v>
      </c>
      <c r="N511" s="9">
        <v>0</v>
      </c>
      <c r="O511" s="9">
        <v>0</v>
      </c>
      <c r="P511" s="9">
        <v>0</v>
      </c>
      <c r="Q511" s="9">
        <v>0</v>
      </c>
      <c r="R511" s="9">
        <v>0</v>
      </c>
      <c r="S511" s="9">
        <v>0</v>
      </c>
      <c r="T511" s="9">
        <v>0</v>
      </c>
      <c r="U511" s="33">
        <v>0</v>
      </c>
      <c r="V511" s="9">
        <v>0</v>
      </c>
      <c r="W511" s="9">
        <v>0</v>
      </c>
      <c r="X511" s="9">
        <v>0</v>
      </c>
      <c r="Y511" s="9">
        <v>0</v>
      </c>
      <c r="Z511" s="9">
        <v>0</v>
      </c>
      <c r="AA511" s="9">
        <v>0</v>
      </c>
      <c r="AB511" s="9">
        <v>0</v>
      </c>
      <c r="AC511" s="9">
        <v>0</v>
      </c>
      <c r="AD511" s="53" t="e">
        <f>#REF!*D511</f>
        <v>#REF!</v>
      </c>
      <c r="AE511" s="53" t="e">
        <f>AD511-#REF!</f>
        <v>#REF!</v>
      </c>
      <c r="AF511" s="9"/>
      <c r="AG511" s="33" t="e">
        <f>#REF!-D511</f>
        <v>#REF!</v>
      </c>
      <c r="AH511" s="9"/>
      <c r="AI511" s="9"/>
      <c r="AJ511" s="9"/>
      <c r="AK511" s="9"/>
    </row>
    <row r="512" spans="1:37" s="12" customFormat="1" ht="10.199999999999999" outlineLevel="1" x14ac:dyDescent="0.2">
      <c r="A512" s="61" t="s">
        <v>3299</v>
      </c>
      <c r="B512" s="232" t="s">
        <v>3028</v>
      </c>
      <c r="C512" s="9" t="s">
        <v>47</v>
      </c>
      <c r="D512" s="25">
        <f t="shared" si="126"/>
        <v>1</v>
      </c>
      <c r="E512" s="54"/>
      <c r="F512" s="78"/>
      <c r="G512" s="33">
        <v>0</v>
      </c>
      <c r="H512" s="33">
        <v>0</v>
      </c>
      <c r="I512" s="9">
        <v>0</v>
      </c>
      <c r="J512" s="9">
        <v>0</v>
      </c>
      <c r="K512" s="9">
        <v>0</v>
      </c>
      <c r="L512" s="9">
        <v>0</v>
      </c>
      <c r="M512" s="9">
        <v>1</v>
      </c>
      <c r="N512" s="9">
        <v>0</v>
      </c>
      <c r="O512" s="9">
        <v>0</v>
      </c>
      <c r="P512" s="9">
        <v>0</v>
      </c>
      <c r="Q512" s="9">
        <v>0</v>
      </c>
      <c r="R512" s="9">
        <v>0</v>
      </c>
      <c r="S512" s="9">
        <v>0</v>
      </c>
      <c r="T512" s="9">
        <v>0</v>
      </c>
      <c r="U512" s="33">
        <v>0</v>
      </c>
      <c r="V512" s="9">
        <v>0</v>
      </c>
      <c r="W512" s="9">
        <v>0</v>
      </c>
      <c r="X512" s="9">
        <v>0</v>
      </c>
      <c r="Y512" s="9">
        <v>0</v>
      </c>
      <c r="Z512" s="9">
        <v>0</v>
      </c>
      <c r="AA512" s="9">
        <v>0</v>
      </c>
      <c r="AB512" s="9">
        <v>0</v>
      </c>
      <c r="AC512" s="9">
        <v>0</v>
      </c>
      <c r="AD512" s="53" t="e">
        <f>#REF!*D512</f>
        <v>#REF!</v>
      </c>
      <c r="AE512" s="53" t="e">
        <f>AD512-#REF!</f>
        <v>#REF!</v>
      </c>
      <c r="AF512" s="9"/>
      <c r="AG512" s="33" t="e">
        <f>#REF!-D512</f>
        <v>#REF!</v>
      </c>
      <c r="AH512" s="9"/>
      <c r="AI512" s="9"/>
      <c r="AJ512" s="9"/>
      <c r="AK512" s="9"/>
    </row>
    <row r="513" spans="1:37" s="17" customFormat="1" ht="10.199999999999999" outlineLevel="1" x14ac:dyDescent="0.2">
      <c r="A513" s="61" t="s">
        <v>3300</v>
      </c>
      <c r="B513" s="47" t="s">
        <v>541</v>
      </c>
      <c r="C513" s="8" t="s">
        <v>47</v>
      </c>
      <c r="D513" s="25">
        <f t="shared" si="126"/>
        <v>1</v>
      </c>
      <c r="E513" s="54"/>
      <c r="F513" s="78"/>
      <c r="G513" s="33">
        <v>0</v>
      </c>
      <c r="H513" s="33">
        <v>0</v>
      </c>
      <c r="I513" s="9">
        <v>0</v>
      </c>
      <c r="J513" s="9">
        <v>0</v>
      </c>
      <c r="K513" s="9">
        <v>0</v>
      </c>
      <c r="L513" s="9">
        <v>0</v>
      </c>
      <c r="M513" s="9">
        <v>0</v>
      </c>
      <c r="N513" s="9">
        <v>0</v>
      </c>
      <c r="O513" s="9">
        <v>0</v>
      </c>
      <c r="P513" s="9">
        <v>0</v>
      </c>
      <c r="Q513" s="9">
        <v>0</v>
      </c>
      <c r="R513" s="9">
        <v>0</v>
      </c>
      <c r="S513" s="9">
        <v>0</v>
      </c>
      <c r="T513" s="9">
        <v>0</v>
      </c>
      <c r="U513" s="33">
        <v>0</v>
      </c>
      <c r="V513" s="9">
        <v>0</v>
      </c>
      <c r="W513" s="9">
        <v>0</v>
      </c>
      <c r="X513" s="9">
        <v>0</v>
      </c>
      <c r="Y513" s="9">
        <v>0</v>
      </c>
      <c r="Z513" s="9">
        <v>1</v>
      </c>
      <c r="AA513" s="9">
        <v>0</v>
      </c>
      <c r="AB513" s="9">
        <v>0</v>
      </c>
      <c r="AC513" s="9">
        <v>0</v>
      </c>
      <c r="AD513" s="53" t="e">
        <f>#REF!*D513</f>
        <v>#REF!</v>
      </c>
      <c r="AE513" s="53" t="e">
        <f>AD513-#REF!</f>
        <v>#REF!</v>
      </c>
      <c r="AF513" s="8"/>
      <c r="AG513" s="33" t="e">
        <f>#REF!-D513</f>
        <v>#REF!</v>
      </c>
      <c r="AH513" s="8"/>
      <c r="AI513" s="8"/>
      <c r="AJ513" s="8"/>
      <c r="AK513" s="8"/>
    </row>
    <row r="514" spans="1:37" s="12" customFormat="1" ht="10.199999999999999" outlineLevel="1" x14ac:dyDescent="0.2">
      <c r="A514" s="61" t="s">
        <v>3301</v>
      </c>
      <c r="B514" s="232" t="s">
        <v>3033</v>
      </c>
      <c r="C514" s="9" t="s">
        <v>47</v>
      </c>
      <c r="D514" s="25">
        <f t="shared" si="126"/>
        <v>1</v>
      </c>
      <c r="E514" s="54"/>
      <c r="F514" s="78"/>
      <c r="G514" s="33">
        <v>0</v>
      </c>
      <c r="H514" s="33">
        <v>0</v>
      </c>
      <c r="I514" s="9">
        <v>0</v>
      </c>
      <c r="J514" s="9">
        <v>0</v>
      </c>
      <c r="K514" s="9">
        <v>0</v>
      </c>
      <c r="L514" s="9">
        <v>0</v>
      </c>
      <c r="M514" s="9">
        <v>0</v>
      </c>
      <c r="N514" s="9">
        <v>1</v>
      </c>
      <c r="O514" s="9">
        <v>0</v>
      </c>
      <c r="P514" s="9">
        <v>0</v>
      </c>
      <c r="Q514" s="9">
        <v>0</v>
      </c>
      <c r="R514" s="9">
        <v>0</v>
      </c>
      <c r="S514" s="9">
        <v>0</v>
      </c>
      <c r="T514" s="9">
        <v>0</v>
      </c>
      <c r="U514" s="33">
        <v>0</v>
      </c>
      <c r="V514" s="9">
        <v>0</v>
      </c>
      <c r="W514" s="9">
        <v>0</v>
      </c>
      <c r="X514" s="9">
        <v>0</v>
      </c>
      <c r="Y514" s="9">
        <v>0</v>
      </c>
      <c r="Z514" s="9">
        <v>0</v>
      </c>
      <c r="AA514" s="9">
        <v>0</v>
      </c>
      <c r="AB514" s="9">
        <v>0</v>
      </c>
      <c r="AC514" s="9">
        <v>0</v>
      </c>
      <c r="AD514" s="53" t="e">
        <f>#REF!*D514</f>
        <v>#REF!</v>
      </c>
      <c r="AE514" s="53" t="e">
        <f>AD514-#REF!</f>
        <v>#REF!</v>
      </c>
      <c r="AF514" s="9"/>
      <c r="AG514" s="33" t="e">
        <f>#REF!-D514</f>
        <v>#REF!</v>
      </c>
      <c r="AH514" s="9"/>
      <c r="AI514" s="9"/>
      <c r="AJ514" s="9"/>
      <c r="AK514" s="9"/>
    </row>
    <row r="515" spans="1:37" s="12" customFormat="1" ht="10.199999999999999" outlineLevel="1" x14ac:dyDescent="0.2">
      <c r="A515" s="61" t="s">
        <v>3302</v>
      </c>
      <c r="B515" s="232" t="s">
        <v>3034</v>
      </c>
      <c r="C515" s="9" t="s">
        <v>47</v>
      </c>
      <c r="D515" s="25">
        <f t="shared" si="126"/>
        <v>1</v>
      </c>
      <c r="E515" s="54"/>
      <c r="F515" s="78"/>
      <c r="G515" s="33">
        <v>0</v>
      </c>
      <c r="H515" s="33">
        <v>0</v>
      </c>
      <c r="I515" s="9">
        <v>0</v>
      </c>
      <c r="J515" s="9">
        <v>0</v>
      </c>
      <c r="K515" s="9">
        <v>0</v>
      </c>
      <c r="L515" s="9">
        <v>0</v>
      </c>
      <c r="M515" s="9">
        <v>0</v>
      </c>
      <c r="N515" s="9">
        <v>1</v>
      </c>
      <c r="O515" s="9">
        <v>0</v>
      </c>
      <c r="P515" s="9">
        <v>0</v>
      </c>
      <c r="Q515" s="9">
        <v>0</v>
      </c>
      <c r="R515" s="9">
        <v>0</v>
      </c>
      <c r="S515" s="9">
        <v>0</v>
      </c>
      <c r="T515" s="9">
        <v>0</v>
      </c>
      <c r="U515" s="33">
        <v>0</v>
      </c>
      <c r="V515" s="9">
        <v>0</v>
      </c>
      <c r="W515" s="9">
        <v>0</v>
      </c>
      <c r="X515" s="9">
        <v>0</v>
      </c>
      <c r="Y515" s="9">
        <v>0</v>
      </c>
      <c r="Z515" s="9">
        <v>0</v>
      </c>
      <c r="AA515" s="9">
        <v>0</v>
      </c>
      <c r="AB515" s="9">
        <v>0</v>
      </c>
      <c r="AC515" s="9">
        <v>0</v>
      </c>
      <c r="AD515" s="53" t="e">
        <f>#REF!*D515</f>
        <v>#REF!</v>
      </c>
      <c r="AE515" s="53" t="e">
        <f>AD515-#REF!</f>
        <v>#REF!</v>
      </c>
      <c r="AF515" s="9"/>
      <c r="AG515" s="33" t="e">
        <f>#REF!-D515</f>
        <v>#REF!</v>
      </c>
      <c r="AH515" s="9"/>
      <c r="AI515" s="9"/>
      <c r="AJ515" s="9"/>
      <c r="AK515" s="9"/>
    </row>
    <row r="516" spans="1:37" s="17" customFormat="1" ht="10.199999999999999" outlineLevel="1" x14ac:dyDescent="0.2">
      <c r="A516" s="61" t="s">
        <v>3303</v>
      </c>
      <c r="B516" s="47" t="s">
        <v>548</v>
      </c>
      <c r="C516" s="8" t="s">
        <v>47</v>
      </c>
      <c r="D516" s="25">
        <f t="shared" si="126"/>
        <v>1</v>
      </c>
      <c r="E516" s="54"/>
      <c r="F516" s="78"/>
      <c r="G516" s="33">
        <v>0</v>
      </c>
      <c r="H516" s="33">
        <v>0</v>
      </c>
      <c r="I516" s="9">
        <v>0</v>
      </c>
      <c r="J516" s="9">
        <v>0</v>
      </c>
      <c r="K516" s="9">
        <v>0</v>
      </c>
      <c r="L516" s="9">
        <v>0</v>
      </c>
      <c r="M516" s="9">
        <v>0</v>
      </c>
      <c r="N516" s="9">
        <v>0</v>
      </c>
      <c r="O516" s="9">
        <v>0</v>
      </c>
      <c r="P516" s="9">
        <v>0</v>
      </c>
      <c r="Q516" s="9">
        <v>0</v>
      </c>
      <c r="R516" s="9">
        <v>0</v>
      </c>
      <c r="S516" s="9">
        <v>0</v>
      </c>
      <c r="T516" s="9">
        <v>0</v>
      </c>
      <c r="U516" s="33">
        <v>0</v>
      </c>
      <c r="V516" s="9">
        <v>0</v>
      </c>
      <c r="W516" s="9">
        <v>0</v>
      </c>
      <c r="X516" s="9">
        <v>0</v>
      </c>
      <c r="Y516" s="9">
        <v>0</v>
      </c>
      <c r="Z516" s="9">
        <v>0</v>
      </c>
      <c r="AA516" s="9">
        <v>1</v>
      </c>
      <c r="AB516" s="9">
        <v>0</v>
      </c>
      <c r="AC516" s="9">
        <v>0</v>
      </c>
      <c r="AD516" s="53" t="e">
        <f>#REF!*D516</f>
        <v>#REF!</v>
      </c>
      <c r="AE516" s="53" t="e">
        <f>AD516-#REF!</f>
        <v>#REF!</v>
      </c>
      <c r="AF516" s="8"/>
      <c r="AG516" s="33" t="e">
        <f>#REF!-D516</f>
        <v>#REF!</v>
      </c>
      <c r="AH516" s="8"/>
      <c r="AI516" s="8"/>
      <c r="AJ516" s="8"/>
      <c r="AK516" s="8"/>
    </row>
    <row r="517" spans="1:37" s="12" customFormat="1" ht="10.199999999999999" outlineLevel="1" x14ac:dyDescent="0.2">
      <c r="A517" s="61" t="s">
        <v>3304</v>
      </c>
      <c r="B517" s="232" t="s">
        <v>3047</v>
      </c>
      <c r="C517" s="9" t="s">
        <v>47</v>
      </c>
      <c r="D517" s="25">
        <f t="shared" si="126"/>
        <v>1</v>
      </c>
      <c r="E517" s="54"/>
      <c r="F517" s="78"/>
      <c r="G517" s="33">
        <v>0</v>
      </c>
      <c r="H517" s="33">
        <v>0</v>
      </c>
      <c r="I517" s="9">
        <v>0</v>
      </c>
      <c r="J517" s="9">
        <v>0</v>
      </c>
      <c r="K517" s="9">
        <v>0</v>
      </c>
      <c r="L517" s="9">
        <v>0</v>
      </c>
      <c r="M517" s="9">
        <v>0</v>
      </c>
      <c r="N517" s="9">
        <v>1</v>
      </c>
      <c r="O517" s="9">
        <v>0</v>
      </c>
      <c r="P517" s="9">
        <v>0</v>
      </c>
      <c r="Q517" s="9">
        <v>0</v>
      </c>
      <c r="R517" s="9">
        <v>0</v>
      </c>
      <c r="S517" s="9">
        <v>0</v>
      </c>
      <c r="T517" s="9">
        <v>0</v>
      </c>
      <c r="U517" s="33">
        <v>0</v>
      </c>
      <c r="V517" s="9">
        <v>0</v>
      </c>
      <c r="W517" s="9">
        <v>0</v>
      </c>
      <c r="X517" s="9">
        <v>0</v>
      </c>
      <c r="Y517" s="9">
        <v>0</v>
      </c>
      <c r="Z517" s="9">
        <v>0</v>
      </c>
      <c r="AA517" s="9">
        <v>0</v>
      </c>
      <c r="AB517" s="9">
        <v>0</v>
      </c>
      <c r="AC517" s="9">
        <v>0</v>
      </c>
      <c r="AD517" s="53" t="e">
        <f>#REF!*D517</f>
        <v>#REF!</v>
      </c>
      <c r="AE517" s="53" t="e">
        <f>AD517-#REF!</f>
        <v>#REF!</v>
      </c>
      <c r="AF517" s="9"/>
      <c r="AG517" s="33" t="e">
        <f>#REF!-D517</f>
        <v>#REF!</v>
      </c>
      <c r="AH517" s="9"/>
      <c r="AI517" s="9"/>
      <c r="AJ517" s="9"/>
      <c r="AK517" s="9"/>
    </row>
    <row r="518" spans="1:37" s="12" customFormat="1" ht="10.199999999999999" outlineLevel="1" x14ac:dyDescent="0.2">
      <c r="A518" s="61" t="s">
        <v>3305</v>
      </c>
      <c r="B518" s="232" t="s">
        <v>3048</v>
      </c>
      <c r="C518" s="9" t="s">
        <v>47</v>
      </c>
      <c r="D518" s="25">
        <f t="shared" si="126"/>
        <v>1</v>
      </c>
      <c r="E518" s="54"/>
      <c r="F518" s="78"/>
      <c r="G518" s="33">
        <v>0</v>
      </c>
      <c r="H518" s="33">
        <v>0</v>
      </c>
      <c r="I518" s="9">
        <v>0</v>
      </c>
      <c r="J518" s="9">
        <v>0</v>
      </c>
      <c r="K518" s="9">
        <v>0</v>
      </c>
      <c r="L518" s="9">
        <v>0</v>
      </c>
      <c r="M518" s="9">
        <v>0</v>
      </c>
      <c r="N518" s="9">
        <v>1</v>
      </c>
      <c r="O518" s="9">
        <v>0</v>
      </c>
      <c r="P518" s="9">
        <v>0</v>
      </c>
      <c r="Q518" s="9">
        <v>0</v>
      </c>
      <c r="R518" s="9">
        <v>0</v>
      </c>
      <c r="S518" s="9">
        <v>0</v>
      </c>
      <c r="T518" s="9">
        <v>0</v>
      </c>
      <c r="U518" s="33">
        <v>0</v>
      </c>
      <c r="V518" s="9">
        <v>0</v>
      </c>
      <c r="W518" s="9">
        <v>0</v>
      </c>
      <c r="X518" s="9">
        <v>0</v>
      </c>
      <c r="Y518" s="9">
        <v>0</v>
      </c>
      <c r="Z518" s="9">
        <v>0</v>
      </c>
      <c r="AA518" s="9">
        <v>0</v>
      </c>
      <c r="AB518" s="9">
        <v>0</v>
      </c>
      <c r="AC518" s="9">
        <v>0</v>
      </c>
      <c r="AD518" s="53" t="e">
        <f>#REF!*D518</f>
        <v>#REF!</v>
      </c>
      <c r="AE518" s="53" t="e">
        <f>AD518-#REF!</f>
        <v>#REF!</v>
      </c>
      <c r="AF518" s="9"/>
      <c r="AG518" s="33" t="e">
        <f>#REF!-D518</f>
        <v>#REF!</v>
      </c>
      <c r="AH518" s="9"/>
      <c r="AI518" s="9"/>
      <c r="AJ518" s="9"/>
      <c r="AK518" s="9"/>
    </row>
    <row r="519" spans="1:37" s="17" customFormat="1" ht="10.199999999999999" outlineLevel="1" x14ac:dyDescent="0.2">
      <c r="A519" s="61" t="s">
        <v>3306</v>
      </c>
      <c r="B519" s="232" t="s">
        <v>3053</v>
      </c>
      <c r="C519" s="8" t="s">
        <v>47</v>
      </c>
      <c r="D519" s="25">
        <f t="shared" ref="D519:D550" si="127">SUM(G519:AC519)</f>
        <v>1</v>
      </c>
      <c r="E519" s="54"/>
      <c r="F519" s="78"/>
      <c r="G519" s="33">
        <v>0</v>
      </c>
      <c r="H519" s="33">
        <v>0</v>
      </c>
      <c r="I519" s="9">
        <v>0</v>
      </c>
      <c r="J519" s="9">
        <v>0</v>
      </c>
      <c r="K519" s="9">
        <v>0</v>
      </c>
      <c r="L519" s="9">
        <v>0</v>
      </c>
      <c r="M519" s="9">
        <v>0</v>
      </c>
      <c r="N519" s="9">
        <v>0</v>
      </c>
      <c r="O519" s="9">
        <v>0</v>
      </c>
      <c r="P519" s="9">
        <v>1</v>
      </c>
      <c r="Q519" s="9">
        <v>0</v>
      </c>
      <c r="R519" s="9">
        <v>0</v>
      </c>
      <c r="S519" s="9">
        <v>0</v>
      </c>
      <c r="T519" s="9">
        <v>0</v>
      </c>
      <c r="U519" s="33">
        <v>0</v>
      </c>
      <c r="V519" s="9">
        <v>0</v>
      </c>
      <c r="W519" s="9">
        <v>0</v>
      </c>
      <c r="X519" s="9">
        <v>0</v>
      </c>
      <c r="Y519" s="9">
        <v>0</v>
      </c>
      <c r="Z519" s="9">
        <v>0</v>
      </c>
      <c r="AA519" s="9">
        <v>0</v>
      </c>
      <c r="AB519" s="9">
        <v>0</v>
      </c>
      <c r="AC519" s="9">
        <v>0</v>
      </c>
      <c r="AD519" s="53" t="e">
        <f>#REF!*D519</f>
        <v>#REF!</v>
      </c>
      <c r="AE519" s="53" t="e">
        <f>AD519-#REF!</f>
        <v>#REF!</v>
      </c>
      <c r="AF519" s="8"/>
      <c r="AG519" s="33" t="e">
        <f>#REF!-D519</f>
        <v>#REF!</v>
      </c>
      <c r="AH519" s="8"/>
      <c r="AI519" s="8"/>
      <c r="AJ519" s="8"/>
      <c r="AK519" s="8"/>
    </row>
    <row r="520" spans="1:37" s="12" customFormat="1" ht="10.199999999999999" outlineLevel="1" x14ac:dyDescent="0.2">
      <c r="A520" s="61" t="s">
        <v>3307</v>
      </c>
      <c r="B520" s="232" t="s">
        <v>3054</v>
      </c>
      <c r="C520" s="9" t="s">
        <v>47</v>
      </c>
      <c r="D520" s="25">
        <f t="shared" si="127"/>
        <v>1</v>
      </c>
      <c r="E520" s="54"/>
      <c r="F520" s="78"/>
      <c r="G520" s="33">
        <v>0</v>
      </c>
      <c r="H520" s="33">
        <v>0</v>
      </c>
      <c r="I520" s="9">
        <v>0</v>
      </c>
      <c r="J520" s="9">
        <v>0</v>
      </c>
      <c r="K520" s="9">
        <v>0</v>
      </c>
      <c r="L520" s="9">
        <v>0</v>
      </c>
      <c r="M520" s="9">
        <v>0</v>
      </c>
      <c r="N520" s="9">
        <v>0</v>
      </c>
      <c r="O520" s="9">
        <v>0</v>
      </c>
      <c r="P520" s="9">
        <v>1</v>
      </c>
      <c r="Q520" s="9">
        <v>0</v>
      </c>
      <c r="R520" s="9">
        <v>0</v>
      </c>
      <c r="S520" s="9">
        <v>0</v>
      </c>
      <c r="T520" s="9">
        <v>0</v>
      </c>
      <c r="U520" s="33">
        <v>0</v>
      </c>
      <c r="V520" s="9">
        <v>0</v>
      </c>
      <c r="W520" s="9">
        <v>0</v>
      </c>
      <c r="X520" s="9">
        <v>0</v>
      </c>
      <c r="Y520" s="9">
        <v>0</v>
      </c>
      <c r="Z520" s="9">
        <v>0</v>
      </c>
      <c r="AA520" s="9">
        <v>0</v>
      </c>
      <c r="AB520" s="9">
        <v>0</v>
      </c>
      <c r="AC520" s="9">
        <v>0</v>
      </c>
      <c r="AD520" s="53" t="e">
        <f>#REF!*D520</f>
        <v>#REF!</v>
      </c>
      <c r="AE520" s="53" t="e">
        <f>AD520-#REF!</f>
        <v>#REF!</v>
      </c>
      <c r="AF520" s="9"/>
      <c r="AG520" s="33" t="e">
        <f>#REF!-D520</f>
        <v>#REF!</v>
      </c>
      <c r="AH520" s="9"/>
      <c r="AI520" s="9"/>
      <c r="AJ520" s="9"/>
      <c r="AK520" s="9"/>
    </row>
    <row r="521" spans="1:37" s="12" customFormat="1" ht="10.199999999999999" outlineLevel="1" x14ac:dyDescent="0.2">
      <c r="A521" s="61" t="s">
        <v>3308</v>
      </c>
      <c r="B521" s="232" t="s">
        <v>3049</v>
      </c>
      <c r="C521" s="9" t="s">
        <v>47</v>
      </c>
      <c r="D521" s="25">
        <f t="shared" si="127"/>
        <v>1</v>
      </c>
      <c r="E521" s="54"/>
      <c r="F521" s="78"/>
      <c r="G521" s="33">
        <v>0</v>
      </c>
      <c r="H521" s="33">
        <v>0</v>
      </c>
      <c r="I521" s="9">
        <v>0</v>
      </c>
      <c r="J521" s="9">
        <v>0</v>
      </c>
      <c r="K521" s="9">
        <v>0</v>
      </c>
      <c r="L521" s="9">
        <v>0</v>
      </c>
      <c r="M521" s="9">
        <v>0</v>
      </c>
      <c r="N521" s="9">
        <v>0</v>
      </c>
      <c r="O521" s="9">
        <v>0</v>
      </c>
      <c r="P521" s="9">
        <v>0</v>
      </c>
      <c r="Q521" s="9">
        <v>1</v>
      </c>
      <c r="R521" s="9">
        <v>0</v>
      </c>
      <c r="S521" s="9">
        <v>0</v>
      </c>
      <c r="T521" s="9">
        <v>0</v>
      </c>
      <c r="U521" s="33">
        <v>0</v>
      </c>
      <c r="V521" s="9">
        <v>0</v>
      </c>
      <c r="W521" s="9">
        <v>0</v>
      </c>
      <c r="X521" s="9">
        <v>0</v>
      </c>
      <c r="Y521" s="9">
        <v>0</v>
      </c>
      <c r="Z521" s="9">
        <v>0</v>
      </c>
      <c r="AA521" s="9">
        <v>0</v>
      </c>
      <c r="AB521" s="9">
        <v>0</v>
      </c>
      <c r="AC521" s="9">
        <v>0</v>
      </c>
      <c r="AD521" s="53" t="e">
        <f>#REF!*D521</f>
        <v>#REF!</v>
      </c>
      <c r="AE521" s="53" t="e">
        <f>AD521-#REF!</f>
        <v>#REF!</v>
      </c>
      <c r="AF521" s="9"/>
      <c r="AG521" s="33" t="e">
        <f>#REF!-D521</f>
        <v>#REF!</v>
      </c>
      <c r="AH521" s="9"/>
      <c r="AI521" s="9"/>
      <c r="AJ521" s="9"/>
      <c r="AK521" s="9"/>
    </row>
    <row r="522" spans="1:37" s="12" customFormat="1" ht="10.199999999999999" outlineLevel="1" x14ac:dyDescent="0.2">
      <c r="A522" s="61" t="s">
        <v>3309</v>
      </c>
      <c r="B522" s="232" t="s">
        <v>3050</v>
      </c>
      <c r="C522" s="9" t="s">
        <v>47</v>
      </c>
      <c r="D522" s="25">
        <f t="shared" si="127"/>
        <v>1</v>
      </c>
      <c r="E522" s="54"/>
      <c r="F522" s="78"/>
      <c r="G522" s="33">
        <v>0</v>
      </c>
      <c r="H522" s="33">
        <v>0</v>
      </c>
      <c r="I522" s="9">
        <v>0</v>
      </c>
      <c r="J522" s="9">
        <v>0</v>
      </c>
      <c r="K522" s="9">
        <v>0</v>
      </c>
      <c r="L522" s="9">
        <v>0</v>
      </c>
      <c r="M522" s="9">
        <v>0</v>
      </c>
      <c r="N522" s="9">
        <v>0</v>
      </c>
      <c r="O522" s="9">
        <v>0</v>
      </c>
      <c r="P522" s="9">
        <v>0</v>
      </c>
      <c r="Q522" s="9">
        <v>1</v>
      </c>
      <c r="R522" s="9">
        <v>0</v>
      </c>
      <c r="S522" s="9">
        <v>0</v>
      </c>
      <c r="T522" s="9">
        <v>0</v>
      </c>
      <c r="U522" s="33">
        <v>0</v>
      </c>
      <c r="V522" s="9">
        <v>0</v>
      </c>
      <c r="W522" s="9">
        <v>0</v>
      </c>
      <c r="X522" s="9">
        <v>0</v>
      </c>
      <c r="Y522" s="9">
        <v>0</v>
      </c>
      <c r="Z522" s="9">
        <v>0</v>
      </c>
      <c r="AA522" s="9">
        <v>0</v>
      </c>
      <c r="AB522" s="9">
        <v>0</v>
      </c>
      <c r="AC522" s="9">
        <v>0</v>
      </c>
      <c r="AD522" s="53" t="e">
        <f>#REF!*D522</f>
        <v>#REF!</v>
      </c>
      <c r="AE522" s="53" t="e">
        <f>AD522-#REF!</f>
        <v>#REF!</v>
      </c>
      <c r="AF522" s="9"/>
      <c r="AG522" s="33" t="e">
        <f>#REF!-D522</f>
        <v>#REF!</v>
      </c>
      <c r="AH522" s="9"/>
      <c r="AI522" s="9"/>
      <c r="AJ522" s="9"/>
      <c r="AK522" s="9"/>
    </row>
    <row r="523" spans="1:37" s="17" customFormat="1" ht="10.199999999999999" outlineLevel="1" x14ac:dyDescent="0.2">
      <c r="A523" s="61" t="s">
        <v>3310</v>
      </c>
      <c r="B523" s="231" t="s">
        <v>3051</v>
      </c>
      <c r="C523" s="8" t="s">
        <v>47</v>
      </c>
      <c r="D523" s="25">
        <f t="shared" si="127"/>
        <v>1</v>
      </c>
      <c r="E523" s="54"/>
      <c r="F523" s="78"/>
      <c r="G523" s="33">
        <v>0</v>
      </c>
      <c r="H523" s="33">
        <v>0</v>
      </c>
      <c r="I523" s="9">
        <v>0</v>
      </c>
      <c r="J523" s="9">
        <v>0</v>
      </c>
      <c r="K523" s="9">
        <v>0</v>
      </c>
      <c r="L523" s="9">
        <v>0</v>
      </c>
      <c r="M523" s="9">
        <v>0</v>
      </c>
      <c r="N523" s="9">
        <v>0</v>
      </c>
      <c r="O523" s="9">
        <v>0</v>
      </c>
      <c r="P523" s="9">
        <v>0</v>
      </c>
      <c r="Q523" s="9">
        <v>0</v>
      </c>
      <c r="R523" s="9">
        <v>1</v>
      </c>
      <c r="S523" s="9">
        <v>0</v>
      </c>
      <c r="T523" s="9">
        <v>0</v>
      </c>
      <c r="U523" s="33">
        <v>0</v>
      </c>
      <c r="V523" s="9">
        <v>0</v>
      </c>
      <c r="W523" s="9">
        <v>0</v>
      </c>
      <c r="X523" s="9">
        <v>0</v>
      </c>
      <c r="Y523" s="9">
        <v>0</v>
      </c>
      <c r="Z523" s="9">
        <v>0</v>
      </c>
      <c r="AA523" s="9">
        <v>0</v>
      </c>
      <c r="AB523" s="9">
        <v>0</v>
      </c>
      <c r="AC523" s="9">
        <v>0</v>
      </c>
      <c r="AD523" s="53" t="e">
        <f>#REF!*D523</f>
        <v>#REF!</v>
      </c>
      <c r="AE523" s="53" t="e">
        <f>AD523-#REF!</f>
        <v>#REF!</v>
      </c>
      <c r="AF523" s="8"/>
      <c r="AG523" s="33" t="e">
        <f>#REF!-D523</f>
        <v>#REF!</v>
      </c>
      <c r="AH523" s="8"/>
      <c r="AI523" s="8"/>
      <c r="AJ523" s="8"/>
      <c r="AK523" s="8"/>
    </row>
    <row r="524" spans="1:37" s="17" customFormat="1" ht="10.199999999999999" outlineLevel="1" x14ac:dyDescent="0.2">
      <c r="A524" s="61" t="s">
        <v>3311</v>
      </c>
      <c r="B524" s="231" t="s">
        <v>3052</v>
      </c>
      <c r="C524" s="8" t="s">
        <v>47</v>
      </c>
      <c r="D524" s="25">
        <f t="shared" si="127"/>
        <v>1</v>
      </c>
      <c r="E524" s="54"/>
      <c r="F524" s="78"/>
      <c r="G524" s="33">
        <v>0</v>
      </c>
      <c r="H524" s="33">
        <v>0</v>
      </c>
      <c r="I524" s="9">
        <v>0</v>
      </c>
      <c r="J524" s="9">
        <v>0</v>
      </c>
      <c r="K524" s="9">
        <v>0</v>
      </c>
      <c r="L524" s="9">
        <v>0</v>
      </c>
      <c r="M524" s="9">
        <v>0</v>
      </c>
      <c r="N524" s="9">
        <v>0</v>
      </c>
      <c r="O524" s="9">
        <v>0</v>
      </c>
      <c r="P524" s="9">
        <v>0</v>
      </c>
      <c r="Q524" s="9">
        <v>0</v>
      </c>
      <c r="R524" s="9">
        <v>1</v>
      </c>
      <c r="S524" s="9">
        <v>0</v>
      </c>
      <c r="T524" s="9">
        <v>0</v>
      </c>
      <c r="U524" s="33">
        <v>0</v>
      </c>
      <c r="V524" s="9">
        <v>0</v>
      </c>
      <c r="W524" s="9">
        <v>0</v>
      </c>
      <c r="X524" s="9">
        <v>0</v>
      </c>
      <c r="Y524" s="9">
        <v>0</v>
      </c>
      <c r="Z524" s="9">
        <v>0</v>
      </c>
      <c r="AA524" s="9">
        <v>0</v>
      </c>
      <c r="AB524" s="9">
        <v>0</v>
      </c>
      <c r="AC524" s="9">
        <v>0</v>
      </c>
      <c r="AD524" s="53" t="e">
        <f>#REF!*D524</f>
        <v>#REF!</v>
      </c>
      <c r="AE524" s="53" t="e">
        <f>AD524-#REF!</f>
        <v>#REF!</v>
      </c>
      <c r="AF524" s="8"/>
      <c r="AG524" s="33" t="e">
        <f>#REF!-D524</f>
        <v>#REF!</v>
      </c>
      <c r="AH524" s="8"/>
      <c r="AI524" s="8"/>
      <c r="AJ524" s="8"/>
      <c r="AK524" s="8"/>
    </row>
    <row r="525" spans="1:37" s="17" customFormat="1" ht="10.199999999999999" outlineLevel="1" x14ac:dyDescent="0.2">
      <c r="A525" s="61" t="s">
        <v>3312</v>
      </c>
      <c r="B525" s="231" t="s">
        <v>543</v>
      </c>
      <c r="C525" s="8" t="s">
        <v>47</v>
      </c>
      <c r="D525" s="25">
        <f t="shared" si="127"/>
        <v>1</v>
      </c>
      <c r="E525" s="54"/>
      <c r="F525" s="78"/>
      <c r="G525" s="33">
        <v>0</v>
      </c>
      <c r="H525" s="33">
        <v>0</v>
      </c>
      <c r="I525" s="9">
        <v>0</v>
      </c>
      <c r="J525" s="9">
        <v>0</v>
      </c>
      <c r="K525" s="9">
        <v>0</v>
      </c>
      <c r="L525" s="9">
        <v>0</v>
      </c>
      <c r="M525" s="9">
        <v>1</v>
      </c>
      <c r="N525" s="9">
        <v>0</v>
      </c>
      <c r="O525" s="9">
        <v>0</v>
      </c>
      <c r="P525" s="9">
        <v>0</v>
      </c>
      <c r="Q525" s="9">
        <v>0</v>
      </c>
      <c r="R525" s="9">
        <v>0</v>
      </c>
      <c r="S525" s="9">
        <v>0</v>
      </c>
      <c r="T525" s="9">
        <v>0</v>
      </c>
      <c r="U525" s="33">
        <v>0</v>
      </c>
      <c r="V525" s="9">
        <v>0</v>
      </c>
      <c r="W525" s="9">
        <v>0</v>
      </c>
      <c r="X525" s="9">
        <v>0</v>
      </c>
      <c r="Y525" s="9">
        <v>0</v>
      </c>
      <c r="Z525" s="9">
        <v>0</v>
      </c>
      <c r="AA525" s="9">
        <v>0</v>
      </c>
      <c r="AB525" s="9">
        <v>0</v>
      </c>
      <c r="AC525" s="9">
        <v>0</v>
      </c>
      <c r="AD525" s="53" t="e">
        <f>#REF!*D525</f>
        <v>#REF!</v>
      </c>
      <c r="AE525" s="53" t="e">
        <f>AD525-#REF!</f>
        <v>#REF!</v>
      </c>
      <c r="AF525" s="8"/>
      <c r="AG525" s="33" t="e">
        <f>#REF!-D525</f>
        <v>#REF!</v>
      </c>
      <c r="AH525" s="8"/>
      <c r="AI525" s="8"/>
      <c r="AJ525" s="8"/>
      <c r="AK525" s="8"/>
    </row>
    <row r="526" spans="1:37" s="12" customFormat="1" ht="10.199999999999999" outlineLevel="1" x14ac:dyDescent="0.2">
      <c r="A526" s="61" t="s">
        <v>3313</v>
      </c>
      <c r="B526" s="233" t="s">
        <v>2996</v>
      </c>
      <c r="C526" s="9" t="s">
        <v>47</v>
      </c>
      <c r="D526" s="25">
        <f t="shared" si="127"/>
        <v>1</v>
      </c>
      <c r="E526" s="54"/>
      <c r="F526" s="78"/>
      <c r="G526" s="33">
        <v>1</v>
      </c>
      <c r="H526" s="33">
        <v>0</v>
      </c>
      <c r="I526" s="9">
        <v>0</v>
      </c>
      <c r="J526" s="9">
        <v>0</v>
      </c>
      <c r="K526" s="9">
        <v>0</v>
      </c>
      <c r="L526" s="9">
        <v>0</v>
      </c>
      <c r="M526" s="9">
        <v>0</v>
      </c>
      <c r="N526" s="9">
        <v>0</v>
      </c>
      <c r="O526" s="9">
        <v>0</v>
      </c>
      <c r="P526" s="9">
        <v>0</v>
      </c>
      <c r="Q526" s="9">
        <v>0</v>
      </c>
      <c r="R526" s="9">
        <v>0</v>
      </c>
      <c r="S526" s="9">
        <v>0</v>
      </c>
      <c r="T526" s="9">
        <v>0</v>
      </c>
      <c r="U526" s="33">
        <v>0</v>
      </c>
      <c r="V526" s="9">
        <v>0</v>
      </c>
      <c r="W526" s="9">
        <v>0</v>
      </c>
      <c r="X526" s="9">
        <v>0</v>
      </c>
      <c r="Y526" s="9">
        <v>0</v>
      </c>
      <c r="Z526" s="9">
        <v>0</v>
      </c>
      <c r="AA526" s="9">
        <v>0</v>
      </c>
      <c r="AB526" s="9">
        <v>0</v>
      </c>
      <c r="AC526" s="9">
        <v>0</v>
      </c>
      <c r="AD526" s="53" t="e">
        <f>#REF!*D526</f>
        <v>#REF!</v>
      </c>
      <c r="AE526" s="53" t="e">
        <f>AD526-#REF!</f>
        <v>#REF!</v>
      </c>
      <c r="AF526" s="9"/>
      <c r="AG526" s="33" t="e">
        <f>#REF!-D526</f>
        <v>#REF!</v>
      </c>
      <c r="AH526" s="9"/>
      <c r="AI526" s="9"/>
      <c r="AJ526" s="9"/>
      <c r="AK526" s="9"/>
    </row>
    <row r="527" spans="1:37" s="12" customFormat="1" ht="10.199999999999999" outlineLevel="1" x14ac:dyDescent="0.2">
      <c r="A527" s="61" t="s">
        <v>3314</v>
      </c>
      <c r="B527" s="221" t="s">
        <v>2997</v>
      </c>
      <c r="C527" s="9" t="s">
        <v>47</v>
      </c>
      <c r="D527" s="25">
        <f t="shared" si="127"/>
        <v>1</v>
      </c>
      <c r="E527" s="54"/>
      <c r="F527" s="78"/>
      <c r="G527" s="33">
        <v>1</v>
      </c>
      <c r="H527" s="33">
        <v>0</v>
      </c>
      <c r="I527" s="9">
        <v>0</v>
      </c>
      <c r="J527" s="9">
        <v>0</v>
      </c>
      <c r="K527" s="9">
        <v>0</v>
      </c>
      <c r="L527" s="9">
        <v>0</v>
      </c>
      <c r="M527" s="9">
        <v>0</v>
      </c>
      <c r="N527" s="9">
        <v>0</v>
      </c>
      <c r="O527" s="9">
        <v>0</v>
      </c>
      <c r="P527" s="9">
        <v>0</v>
      </c>
      <c r="Q527" s="9">
        <v>0</v>
      </c>
      <c r="R527" s="9">
        <v>0</v>
      </c>
      <c r="S527" s="9">
        <v>0</v>
      </c>
      <c r="T527" s="9">
        <v>0</v>
      </c>
      <c r="U527" s="33">
        <v>0</v>
      </c>
      <c r="V527" s="9">
        <v>0</v>
      </c>
      <c r="W527" s="9">
        <v>0</v>
      </c>
      <c r="X527" s="9">
        <v>0</v>
      </c>
      <c r="Y527" s="9">
        <v>0</v>
      </c>
      <c r="Z527" s="9">
        <v>0</v>
      </c>
      <c r="AA527" s="9">
        <v>0</v>
      </c>
      <c r="AB527" s="9">
        <v>0</v>
      </c>
      <c r="AC527" s="9">
        <v>0</v>
      </c>
      <c r="AD527" s="53" t="e">
        <f>#REF!*D527</f>
        <v>#REF!</v>
      </c>
      <c r="AE527" s="53" t="e">
        <f>AD527-#REF!</f>
        <v>#REF!</v>
      </c>
      <c r="AF527" s="9"/>
      <c r="AG527" s="33" t="e">
        <f>#REF!-D527</f>
        <v>#REF!</v>
      </c>
      <c r="AH527" s="9"/>
      <c r="AI527" s="9"/>
      <c r="AJ527" s="9"/>
      <c r="AK527" s="9"/>
    </row>
    <row r="528" spans="1:37" s="17" customFormat="1" ht="10.199999999999999" outlineLevel="1" x14ac:dyDescent="0.2">
      <c r="A528" s="61" t="s">
        <v>3315</v>
      </c>
      <c r="B528" s="231" t="s">
        <v>3135</v>
      </c>
      <c r="C528" s="8" t="s">
        <v>47</v>
      </c>
      <c r="D528" s="25">
        <f t="shared" si="127"/>
        <v>1</v>
      </c>
      <c r="E528" s="54"/>
      <c r="F528" s="78"/>
      <c r="G528" s="33">
        <v>0</v>
      </c>
      <c r="H528" s="33">
        <v>1</v>
      </c>
      <c r="I528" s="9">
        <v>0</v>
      </c>
      <c r="J528" s="9">
        <v>0</v>
      </c>
      <c r="K528" s="9">
        <v>0</v>
      </c>
      <c r="L528" s="9">
        <v>0</v>
      </c>
      <c r="M528" s="9">
        <v>0</v>
      </c>
      <c r="N528" s="9">
        <v>0</v>
      </c>
      <c r="O528" s="9">
        <v>0</v>
      </c>
      <c r="P528" s="9">
        <v>0</v>
      </c>
      <c r="Q528" s="9">
        <v>0</v>
      </c>
      <c r="R528" s="9">
        <v>0</v>
      </c>
      <c r="S528" s="9">
        <v>0</v>
      </c>
      <c r="T528" s="9">
        <v>0</v>
      </c>
      <c r="U528" s="33">
        <v>0</v>
      </c>
      <c r="V528" s="9">
        <v>0</v>
      </c>
      <c r="W528" s="9">
        <v>0</v>
      </c>
      <c r="X528" s="9">
        <v>0</v>
      </c>
      <c r="Y528" s="9">
        <v>0</v>
      </c>
      <c r="Z528" s="9">
        <v>0</v>
      </c>
      <c r="AA528" s="9">
        <v>0</v>
      </c>
      <c r="AB528" s="9">
        <v>0</v>
      </c>
      <c r="AC528" s="9">
        <v>0</v>
      </c>
      <c r="AD528" s="53" t="e">
        <f>#REF!*D528</f>
        <v>#REF!</v>
      </c>
      <c r="AE528" s="53" t="e">
        <f>AD528-#REF!</f>
        <v>#REF!</v>
      </c>
      <c r="AF528" s="8"/>
      <c r="AG528" s="33" t="e">
        <f>#REF!-D528</f>
        <v>#REF!</v>
      </c>
      <c r="AH528" s="8"/>
      <c r="AI528" s="8"/>
      <c r="AJ528" s="8"/>
      <c r="AK528" s="8"/>
    </row>
    <row r="529" spans="1:37" s="17" customFormat="1" ht="10.199999999999999" outlineLevel="1" x14ac:dyDescent="0.2">
      <c r="A529" s="61" t="s">
        <v>3316</v>
      </c>
      <c r="B529" s="231" t="s">
        <v>3134</v>
      </c>
      <c r="C529" s="8" t="s">
        <v>47</v>
      </c>
      <c r="D529" s="25">
        <f t="shared" si="127"/>
        <v>1</v>
      </c>
      <c r="E529" s="54"/>
      <c r="F529" s="78"/>
      <c r="G529" s="33">
        <v>0</v>
      </c>
      <c r="H529" s="33">
        <v>0</v>
      </c>
      <c r="I529" s="9">
        <v>0</v>
      </c>
      <c r="J529" s="9">
        <v>0</v>
      </c>
      <c r="K529" s="9">
        <v>0</v>
      </c>
      <c r="L529" s="9">
        <v>0</v>
      </c>
      <c r="M529" s="9">
        <v>0</v>
      </c>
      <c r="N529" s="9">
        <v>0</v>
      </c>
      <c r="O529" s="9">
        <v>0</v>
      </c>
      <c r="P529" s="9">
        <v>0</v>
      </c>
      <c r="Q529" s="9">
        <v>0</v>
      </c>
      <c r="R529" s="9">
        <v>1</v>
      </c>
      <c r="S529" s="9">
        <v>0</v>
      </c>
      <c r="T529" s="9">
        <v>0</v>
      </c>
      <c r="U529" s="33">
        <v>0</v>
      </c>
      <c r="V529" s="9">
        <v>0</v>
      </c>
      <c r="W529" s="9">
        <v>0</v>
      </c>
      <c r="X529" s="9">
        <v>0</v>
      </c>
      <c r="Y529" s="9">
        <v>0</v>
      </c>
      <c r="Z529" s="9">
        <v>0</v>
      </c>
      <c r="AA529" s="9">
        <v>0</v>
      </c>
      <c r="AB529" s="9">
        <v>0</v>
      </c>
      <c r="AC529" s="9">
        <v>0</v>
      </c>
      <c r="AD529" s="53" t="e">
        <f>#REF!*D529</f>
        <v>#REF!</v>
      </c>
      <c r="AE529" s="53" t="e">
        <f>AD529-#REF!</f>
        <v>#REF!</v>
      </c>
      <c r="AF529" s="8"/>
      <c r="AG529" s="33" t="e">
        <f>#REF!-D529</f>
        <v>#REF!</v>
      </c>
      <c r="AH529" s="8"/>
      <c r="AI529" s="8"/>
      <c r="AJ529" s="8"/>
      <c r="AK529" s="8"/>
    </row>
    <row r="530" spans="1:37" s="12" customFormat="1" ht="10.199999999999999" outlineLevel="1" x14ac:dyDescent="0.2">
      <c r="A530" s="61" t="s">
        <v>3317</v>
      </c>
      <c r="B530" s="231" t="s">
        <v>3136</v>
      </c>
      <c r="C530" s="9" t="s">
        <v>47</v>
      </c>
      <c r="D530" s="25">
        <f t="shared" si="127"/>
        <v>1</v>
      </c>
      <c r="E530" s="54"/>
      <c r="F530" s="78"/>
      <c r="G530" s="33">
        <v>0</v>
      </c>
      <c r="H530" s="33">
        <v>1</v>
      </c>
      <c r="I530" s="9">
        <v>0</v>
      </c>
      <c r="J530" s="9">
        <v>0</v>
      </c>
      <c r="K530" s="9">
        <v>0</v>
      </c>
      <c r="L530" s="9">
        <v>0</v>
      </c>
      <c r="M530" s="9">
        <v>0</v>
      </c>
      <c r="N530" s="9">
        <v>0</v>
      </c>
      <c r="O530" s="9">
        <v>0</v>
      </c>
      <c r="P530" s="9">
        <v>0</v>
      </c>
      <c r="Q530" s="9">
        <v>0</v>
      </c>
      <c r="R530" s="9">
        <v>0</v>
      </c>
      <c r="S530" s="9">
        <v>0</v>
      </c>
      <c r="T530" s="9">
        <v>0</v>
      </c>
      <c r="U530" s="33">
        <v>0</v>
      </c>
      <c r="V530" s="9">
        <v>0</v>
      </c>
      <c r="W530" s="9">
        <v>0</v>
      </c>
      <c r="X530" s="9">
        <v>0</v>
      </c>
      <c r="Y530" s="9">
        <v>0</v>
      </c>
      <c r="Z530" s="9">
        <v>0</v>
      </c>
      <c r="AA530" s="9">
        <v>0</v>
      </c>
      <c r="AB530" s="9">
        <v>0</v>
      </c>
      <c r="AC530" s="9">
        <v>0</v>
      </c>
      <c r="AD530" s="53" t="e">
        <f>#REF!*D530</f>
        <v>#REF!</v>
      </c>
      <c r="AE530" s="53" t="e">
        <f>AD530-#REF!</f>
        <v>#REF!</v>
      </c>
      <c r="AF530" s="9"/>
      <c r="AG530" s="33" t="e">
        <f>#REF!-D530</f>
        <v>#REF!</v>
      </c>
      <c r="AH530" s="9"/>
      <c r="AI530" s="9"/>
      <c r="AJ530" s="9"/>
      <c r="AK530" s="9"/>
    </row>
    <row r="531" spans="1:37" s="12" customFormat="1" ht="10.199999999999999" outlineLevel="1" x14ac:dyDescent="0.2">
      <c r="A531" s="61" t="s">
        <v>3318</v>
      </c>
      <c r="B531" s="231" t="s">
        <v>3527</v>
      </c>
      <c r="C531" s="9" t="s">
        <v>47</v>
      </c>
      <c r="D531" s="25">
        <f t="shared" si="127"/>
        <v>1</v>
      </c>
      <c r="E531" s="54"/>
      <c r="F531" s="78"/>
      <c r="G531" s="33">
        <v>0</v>
      </c>
      <c r="H531" s="33">
        <v>1</v>
      </c>
      <c r="I531" s="9">
        <v>0</v>
      </c>
      <c r="J531" s="9">
        <v>0</v>
      </c>
      <c r="K531" s="9">
        <v>0</v>
      </c>
      <c r="L531" s="9">
        <v>0</v>
      </c>
      <c r="M531" s="9">
        <v>0</v>
      </c>
      <c r="N531" s="9">
        <v>0</v>
      </c>
      <c r="O531" s="9">
        <v>0</v>
      </c>
      <c r="P531" s="9">
        <v>0</v>
      </c>
      <c r="Q531" s="9">
        <v>0</v>
      </c>
      <c r="R531" s="9">
        <v>0</v>
      </c>
      <c r="S531" s="9">
        <v>0</v>
      </c>
      <c r="T531" s="9">
        <v>0</v>
      </c>
      <c r="U531" s="33">
        <v>0</v>
      </c>
      <c r="V531" s="9">
        <v>0</v>
      </c>
      <c r="W531" s="9">
        <v>0</v>
      </c>
      <c r="X531" s="9">
        <v>0</v>
      </c>
      <c r="Y531" s="9">
        <v>0</v>
      </c>
      <c r="Z531" s="9">
        <v>0</v>
      </c>
      <c r="AA531" s="9">
        <v>0</v>
      </c>
      <c r="AB531" s="9">
        <v>0</v>
      </c>
      <c r="AC531" s="9">
        <v>0</v>
      </c>
      <c r="AD531" s="53" t="e">
        <f>#REF!*D531</f>
        <v>#REF!</v>
      </c>
      <c r="AE531" s="53" t="e">
        <f>AD531-#REF!</f>
        <v>#REF!</v>
      </c>
      <c r="AF531" s="9"/>
      <c r="AG531" s="33" t="e">
        <f>#REF!-D531</f>
        <v>#REF!</v>
      </c>
      <c r="AH531" s="9"/>
      <c r="AI531" s="9"/>
      <c r="AJ531" s="9"/>
      <c r="AK531" s="9"/>
    </row>
    <row r="532" spans="1:37" s="12" customFormat="1" ht="10.199999999999999" outlineLevel="1" x14ac:dyDescent="0.2">
      <c r="A532" s="61" t="s">
        <v>3319</v>
      </c>
      <c r="B532" s="231" t="s">
        <v>3528</v>
      </c>
      <c r="C532" s="9" t="s">
        <v>47</v>
      </c>
      <c r="D532" s="25">
        <f t="shared" si="127"/>
        <v>1</v>
      </c>
      <c r="E532" s="54"/>
      <c r="F532" s="78"/>
      <c r="G532" s="33">
        <v>0</v>
      </c>
      <c r="H532" s="33">
        <v>1</v>
      </c>
      <c r="I532" s="9">
        <v>0</v>
      </c>
      <c r="J532" s="9">
        <v>0</v>
      </c>
      <c r="K532" s="9">
        <v>0</v>
      </c>
      <c r="L532" s="9">
        <v>0</v>
      </c>
      <c r="M532" s="9">
        <v>0</v>
      </c>
      <c r="N532" s="9">
        <v>0</v>
      </c>
      <c r="O532" s="9">
        <v>0</v>
      </c>
      <c r="P532" s="9">
        <v>0</v>
      </c>
      <c r="Q532" s="9">
        <v>0</v>
      </c>
      <c r="R532" s="9">
        <v>0</v>
      </c>
      <c r="S532" s="9">
        <v>0</v>
      </c>
      <c r="T532" s="9">
        <v>0</v>
      </c>
      <c r="U532" s="33">
        <v>0</v>
      </c>
      <c r="V532" s="9">
        <v>0</v>
      </c>
      <c r="W532" s="9">
        <v>0</v>
      </c>
      <c r="X532" s="9">
        <v>0</v>
      </c>
      <c r="Y532" s="9">
        <v>0</v>
      </c>
      <c r="Z532" s="9">
        <v>0</v>
      </c>
      <c r="AA532" s="9">
        <v>0</v>
      </c>
      <c r="AB532" s="9">
        <v>0</v>
      </c>
      <c r="AC532" s="9">
        <v>0</v>
      </c>
      <c r="AD532" s="53" t="e">
        <f>#REF!*D532</f>
        <v>#REF!</v>
      </c>
      <c r="AE532" s="53" t="e">
        <f>AD532-#REF!</f>
        <v>#REF!</v>
      </c>
      <c r="AF532" s="9"/>
      <c r="AG532" s="33" t="e">
        <f>#REF!-D532</f>
        <v>#REF!</v>
      </c>
      <c r="AH532" s="9"/>
      <c r="AI532" s="9"/>
      <c r="AJ532" s="9"/>
      <c r="AK532" s="9"/>
    </row>
    <row r="533" spans="1:37" s="12" customFormat="1" ht="10.199999999999999" outlineLevel="1" x14ac:dyDescent="0.2">
      <c r="A533" s="61" t="s">
        <v>3320</v>
      </c>
      <c r="B533" s="231" t="s">
        <v>519</v>
      </c>
      <c r="C533" s="9" t="s">
        <v>47</v>
      </c>
      <c r="D533" s="25">
        <f t="shared" si="127"/>
        <v>1</v>
      </c>
      <c r="E533" s="54"/>
      <c r="F533" s="78"/>
      <c r="G533" s="33">
        <v>0</v>
      </c>
      <c r="H533" s="33">
        <v>1</v>
      </c>
      <c r="I533" s="9">
        <v>0</v>
      </c>
      <c r="J533" s="9">
        <v>0</v>
      </c>
      <c r="K533" s="9">
        <v>0</v>
      </c>
      <c r="L533" s="9">
        <v>0</v>
      </c>
      <c r="M533" s="9">
        <v>0</v>
      </c>
      <c r="N533" s="9">
        <v>0</v>
      </c>
      <c r="O533" s="9">
        <v>0</v>
      </c>
      <c r="P533" s="9">
        <v>0</v>
      </c>
      <c r="Q533" s="9">
        <v>0</v>
      </c>
      <c r="R533" s="9">
        <v>0</v>
      </c>
      <c r="S533" s="9">
        <v>0</v>
      </c>
      <c r="T533" s="9">
        <v>0</v>
      </c>
      <c r="U533" s="33">
        <v>0</v>
      </c>
      <c r="V533" s="9">
        <v>0</v>
      </c>
      <c r="W533" s="9">
        <v>0</v>
      </c>
      <c r="X533" s="9">
        <v>0</v>
      </c>
      <c r="Y533" s="9">
        <v>0</v>
      </c>
      <c r="Z533" s="9">
        <v>0</v>
      </c>
      <c r="AA533" s="9">
        <v>0</v>
      </c>
      <c r="AB533" s="9">
        <v>0</v>
      </c>
      <c r="AC533" s="9">
        <v>0</v>
      </c>
      <c r="AD533" s="53" t="e">
        <f>#REF!*D533</f>
        <v>#REF!</v>
      </c>
      <c r="AE533" s="53" t="e">
        <f>AD533-#REF!</f>
        <v>#REF!</v>
      </c>
      <c r="AF533" s="9"/>
      <c r="AG533" s="33" t="e">
        <f>#REF!-D533</f>
        <v>#REF!</v>
      </c>
      <c r="AH533" s="9"/>
      <c r="AI533" s="9"/>
      <c r="AJ533" s="9"/>
      <c r="AK533" s="9"/>
    </row>
    <row r="534" spans="1:37" s="12" customFormat="1" ht="10.199999999999999" outlineLevel="1" x14ac:dyDescent="0.2">
      <c r="A534" s="61" t="s">
        <v>3321</v>
      </c>
      <c r="B534" s="231" t="s">
        <v>518</v>
      </c>
      <c r="C534" s="9" t="s">
        <v>47</v>
      </c>
      <c r="D534" s="25">
        <f t="shared" si="127"/>
        <v>1</v>
      </c>
      <c r="E534" s="54"/>
      <c r="F534" s="78"/>
      <c r="G534" s="33">
        <v>0</v>
      </c>
      <c r="H534" s="33">
        <v>1</v>
      </c>
      <c r="I534" s="9">
        <v>0</v>
      </c>
      <c r="J534" s="9">
        <v>0</v>
      </c>
      <c r="K534" s="9">
        <v>0</v>
      </c>
      <c r="L534" s="9">
        <v>0</v>
      </c>
      <c r="M534" s="9">
        <v>0</v>
      </c>
      <c r="N534" s="9">
        <v>0</v>
      </c>
      <c r="O534" s="9">
        <v>0</v>
      </c>
      <c r="P534" s="9">
        <v>0</v>
      </c>
      <c r="Q534" s="9">
        <v>0</v>
      </c>
      <c r="R534" s="9">
        <v>0</v>
      </c>
      <c r="S534" s="9">
        <v>0</v>
      </c>
      <c r="T534" s="9">
        <v>0</v>
      </c>
      <c r="U534" s="33">
        <v>0</v>
      </c>
      <c r="V534" s="9">
        <v>0</v>
      </c>
      <c r="W534" s="9">
        <v>0</v>
      </c>
      <c r="X534" s="9">
        <v>0</v>
      </c>
      <c r="Y534" s="9">
        <v>0</v>
      </c>
      <c r="Z534" s="9">
        <v>0</v>
      </c>
      <c r="AA534" s="9">
        <v>0</v>
      </c>
      <c r="AB534" s="9">
        <v>0</v>
      </c>
      <c r="AC534" s="9">
        <v>0</v>
      </c>
      <c r="AD534" s="53" t="e">
        <f>#REF!*D534</f>
        <v>#REF!</v>
      </c>
      <c r="AE534" s="53" t="e">
        <f>AD534-#REF!</f>
        <v>#REF!</v>
      </c>
      <c r="AF534" s="9"/>
      <c r="AG534" s="33" t="e">
        <f>#REF!-D534</f>
        <v>#REF!</v>
      </c>
      <c r="AH534" s="9"/>
      <c r="AI534" s="9"/>
      <c r="AJ534" s="9"/>
      <c r="AK534" s="9"/>
    </row>
    <row r="535" spans="1:37" s="17" customFormat="1" ht="10.199999999999999" outlineLevel="1" x14ac:dyDescent="0.2">
      <c r="A535" s="61" t="s">
        <v>3322</v>
      </c>
      <c r="B535" s="231" t="s">
        <v>518</v>
      </c>
      <c r="C535" s="8" t="s">
        <v>47</v>
      </c>
      <c r="D535" s="25">
        <f t="shared" si="127"/>
        <v>1</v>
      </c>
      <c r="E535" s="54"/>
      <c r="F535" s="78"/>
      <c r="G535" s="33">
        <v>0</v>
      </c>
      <c r="H535" s="33">
        <v>1</v>
      </c>
      <c r="I535" s="9">
        <v>0</v>
      </c>
      <c r="J535" s="9">
        <v>0</v>
      </c>
      <c r="K535" s="9">
        <v>0</v>
      </c>
      <c r="L535" s="9">
        <v>0</v>
      </c>
      <c r="M535" s="9">
        <v>0</v>
      </c>
      <c r="N535" s="9">
        <v>0</v>
      </c>
      <c r="O535" s="9">
        <v>0</v>
      </c>
      <c r="P535" s="9">
        <v>0</v>
      </c>
      <c r="Q535" s="9">
        <v>0</v>
      </c>
      <c r="R535" s="9">
        <v>0</v>
      </c>
      <c r="S535" s="9">
        <v>0</v>
      </c>
      <c r="T535" s="9">
        <v>0</v>
      </c>
      <c r="U535" s="33">
        <v>0</v>
      </c>
      <c r="V535" s="9">
        <v>0</v>
      </c>
      <c r="W535" s="9">
        <v>0</v>
      </c>
      <c r="X535" s="9">
        <v>0</v>
      </c>
      <c r="Y535" s="9">
        <v>0</v>
      </c>
      <c r="Z535" s="9">
        <v>0</v>
      </c>
      <c r="AA535" s="9">
        <v>0</v>
      </c>
      <c r="AB535" s="9">
        <v>0</v>
      </c>
      <c r="AC535" s="9">
        <v>0</v>
      </c>
      <c r="AD535" s="53" t="e">
        <f>#REF!*D535</f>
        <v>#REF!</v>
      </c>
      <c r="AE535" s="53" t="e">
        <f>AD535-#REF!</f>
        <v>#REF!</v>
      </c>
      <c r="AF535" s="8"/>
      <c r="AG535" s="33" t="e">
        <f>#REF!-D535</f>
        <v>#REF!</v>
      </c>
      <c r="AH535" s="8"/>
      <c r="AI535" s="8"/>
      <c r="AJ535" s="8"/>
      <c r="AK535" s="8"/>
    </row>
    <row r="536" spans="1:37" s="12" customFormat="1" ht="10.199999999999999" outlineLevel="1" x14ac:dyDescent="0.2">
      <c r="A536" s="61" t="s">
        <v>3323</v>
      </c>
      <c r="B536" s="14" t="s">
        <v>3000</v>
      </c>
      <c r="C536" s="9" t="s">
        <v>47</v>
      </c>
      <c r="D536" s="25">
        <f t="shared" si="127"/>
        <v>1</v>
      </c>
      <c r="E536" s="54"/>
      <c r="F536" s="78"/>
      <c r="G536" s="33">
        <v>0</v>
      </c>
      <c r="H536" s="33">
        <v>0</v>
      </c>
      <c r="I536" s="9">
        <v>0</v>
      </c>
      <c r="J536" s="9">
        <v>0</v>
      </c>
      <c r="K536" s="9">
        <v>0</v>
      </c>
      <c r="L536" s="9">
        <v>0</v>
      </c>
      <c r="M536" s="9">
        <v>0</v>
      </c>
      <c r="N536" s="9">
        <v>0</v>
      </c>
      <c r="O536" s="9">
        <v>0</v>
      </c>
      <c r="P536" s="9">
        <v>0</v>
      </c>
      <c r="Q536" s="9">
        <v>0</v>
      </c>
      <c r="R536" s="9">
        <v>0</v>
      </c>
      <c r="S536" s="9">
        <v>0</v>
      </c>
      <c r="T536" s="9">
        <v>0</v>
      </c>
      <c r="U536" s="33">
        <v>1</v>
      </c>
      <c r="V536" s="9">
        <v>0</v>
      </c>
      <c r="W536" s="9">
        <v>0</v>
      </c>
      <c r="X536" s="9">
        <v>0</v>
      </c>
      <c r="Y536" s="9">
        <v>0</v>
      </c>
      <c r="Z536" s="9">
        <v>0</v>
      </c>
      <c r="AA536" s="9">
        <v>0</v>
      </c>
      <c r="AB536" s="9">
        <v>0</v>
      </c>
      <c r="AC536" s="9">
        <v>0</v>
      </c>
      <c r="AD536" s="53" t="e">
        <f>#REF!*D536</f>
        <v>#REF!</v>
      </c>
      <c r="AE536" s="53" t="e">
        <f>AD536-#REF!</f>
        <v>#REF!</v>
      </c>
      <c r="AF536" s="9"/>
      <c r="AG536" s="33" t="e">
        <f>#REF!-D536</f>
        <v>#REF!</v>
      </c>
      <c r="AH536" s="9"/>
      <c r="AI536" s="9"/>
      <c r="AJ536" s="9"/>
      <c r="AK536" s="9"/>
    </row>
    <row r="537" spans="1:37" s="12" customFormat="1" ht="10.199999999999999" outlineLevel="1" x14ac:dyDescent="0.2">
      <c r="A537" s="61" t="s">
        <v>3324</v>
      </c>
      <c r="B537" s="14" t="s">
        <v>3001</v>
      </c>
      <c r="C537" s="9" t="s">
        <v>47</v>
      </c>
      <c r="D537" s="25">
        <f t="shared" si="127"/>
        <v>1</v>
      </c>
      <c r="E537" s="54"/>
      <c r="F537" s="78"/>
      <c r="G537" s="33">
        <v>0</v>
      </c>
      <c r="H537" s="33">
        <v>0</v>
      </c>
      <c r="I537" s="9">
        <v>0</v>
      </c>
      <c r="J537" s="9">
        <v>0</v>
      </c>
      <c r="K537" s="9">
        <v>0</v>
      </c>
      <c r="L537" s="9">
        <v>0</v>
      </c>
      <c r="M537" s="9">
        <v>0</v>
      </c>
      <c r="N537" s="9">
        <v>0</v>
      </c>
      <c r="O537" s="9">
        <v>0</v>
      </c>
      <c r="P537" s="9">
        <v>0</v>
      </c>
      <c r="Q537" s="9">
        <v>0</v>
      </c>
      <c r="R537" s="9">
        <v>0</v>
      </c>
      <c r="S537" s="9">
        <v>0</v>
      </c>
      <c r="T537" s="9">
        <v>0</v>
      </c>
      <c r="U537" s="33">
        <v>1</v>
      </c>
      <c r="V537" s="9">
        <v>0</v>
      </c>
      <c r="W537" s="9">
        <v>0</v>
      </c>
      <c r="X537" s="9">
        <v>0</v>
      </c>
      <c r="Y537" s="9">
        <v>0</v>
      </c>
      <c r="Z537" s="9">
        <v>0</v>
      </c>
      <c r="AA537" s="9">
        <v>0</v>
      </c>
      <c r="AB537" s="9">
        <v>0</v>
      </c>
      <c r="AC537" s="9">
        <v>0</v>
      </c>
      <c r="AD537" s="53" t="e">
        <f>#REF!*D537</f>
        <v>#REF!</v>
      </c>
      <c r="AE537" s="53" t="e">
        <f>AD537-#REF!</f>
        <v>#REF!</v>
      </c>
      <c r="AF537" s="9"/>
      <c r="AG537" s="33" t="e">
        <f>#REF!-D537</f>
        <v>#REF!</v>
      </c>
      <c r="AH537" s="9"/>
      <c r="AI537" s="9"/>
      <c r="AJ537" s="9"/>
      <c r="AK537" s="9"/>
    </row>
    <row r="538" spans="1:37" s="12" customFormat="1" ht="10.199999999999999" outlineLevel="1" x14ac:dyDescent="0.2">
      <c r="A538" s="61" t="s">
        <v>3325</v>
      </c>
      <c r="B538" s="231" t="s">
        <v>530</v>
      </c>
      <c r="C538" s="9" t="s">
        <v>47</v>
      </c>
      <c r="D538" s="25">
        <f t="shared" si="127"/>
        <v>1</v>
      </c>
      <c r="E538" s="54"/>
      <c r="F538" s="78"/>
      <c r="G538" s="33">
        <v>0</v>
      </c>
      <c r="H538" s="33">
        <v>0</v>
      </c>
      <c r="I538" s="9">
        <v>1</v>
      </c>
      <c r="J538" s="9">
        <v>0</v>
      </c>
      <c r="K538" s="9">
        <v>0</v>
      </c>
      <c r="L538" s="9">
        <v>0</v>
      </c>
      <c r="M538" s="9">
        <v>0</v>
      </c>
      <c r="N538" s="9">
        <v>0</v>
      </c>
      <c r="O538" s="9">
        <v>0</v>
      </c>
      <c r="P538" s="9">
        <v>0</v>
      </c>
      <c r="Q538" s="9">
        <v>0</v>
      </c>
      <c r="R538" s="9">
        <v>0</v>
      </c>
      <c r="S538" s="9">
        <v>0</v>
      </c>
      <c r="T538" s="9">
        <v>0</v>
      </c>
      <c r="U538" s="33">
        <v>0</v>
      </c>
      <c r="V538" s="9">
        <v>0</v>
      </c>
      <c r="W538" s="9">
        <v>0</v>
      </c>
      <c r="X538" s="9">
        <v>0</v>
      </c>
      <c r="Y538" s="9">
        <v>0</v>
      </c>
      <c r="Z538" s="9">
        <v>0</v>
      </c>
      <c r="AA538" s="9">
        <v>0</v>
      </c>
      <c r="AB538" s="9">
        <v>0</v>
      </c>
      <c r="AC538" s="9">
        <v>0</v>
      </c>
      <c r="AD538" s="53" t="e">
        <f>#REF!*D538</f>
        <v>#REF!</v>
      </c>
      <c r="AE538" s="53" t="e">
        <f>AD538-#REF!</f>
        <v>#REF!</v>
      </c>
      <c r="AF538" s="9"/>
      <c r="AG538" s="33" t="e">
        <f>#REF!-D538</f>
        <v>#REF!</v>
      </c>
      <c r="AH538" s="9"/>
      <c r="AI538" s="9"/>
      <c r="AJ538" s="9"/>
      <c r="AK538" s="9"/>
    </row>
    <row r="539" spans="1:37" s="12" customFormat="1" ht="10.199999999999999" outlineLevel="1" x14ac:dyDescent="0.2">
      <c r="A539" s="61" t="s">
        <v>3326</v>
      </c>
      <c r="B539" s="14" t="s">
        <v>3010</v>
      </c>
      <c r="C539" s="9" t="s">
        <v>47</v>
      </c>
      <c r="D539" s="25">
        <f t="shared" si="127"/>
        <v>1</v>
      </c>
      <c r="E539" s="54"/>
      <c r="F539" s="78"/>
      <c r="G539" s="33">
        <v>0</v>
      </c>
      <c r="H539" s="33">
        <v>0</v>
      </c>
      <c r="I539" s="9">
        <v>0</v>
      </c>
      <c r="J539" s="9">
        <v>0</v>
      </c>
      <c r="K539" s="9">
        <v>0</v>
      </c>
      <c r="L539" s="9">
        <v>0</v>
      </c>
      <c r="M539" s="9">
        <v>0</v>
      </c>
      <c r="N539" s="9">
        <v>0</v>
      </c>
      <c r="O539" s="9">
        <v>0</v>
      </c>
      <c r="P539" s="9">
        <v>0</v>
      </c>
      <c r="Q539" s="9">
        <v>0</v>
      </c>
      <c r="R539" s="9">
        <v>0</v>
      </c>
      <c r="S539" s="9">
        <v>0</v>
      </c>
      <c r="T539" s="9">
        <v>0</v>
      </c>
      <c r="U539" s="33">
        <v>0</v>
      </c>
      <c r="V539" s="9">
        <v>1</v>
      </c>
      <c r="W539" s="9">
        <v>0</v>
      </c>
      <c r="X539" s="9">
        <v>0</v>
      </c>
      <c r="Y539" s="9">
        <v>0</v>
      </c>
      <c r="Z539" s="9">
        <v>0</v>
      </c>
      <c r="AA539" s="9">
        <v>0</v>
      </c>
      <c r="AB539" s="9">
        <v>0</v>
      </c>
      <c r="AC539" s="9">
        <v>0</v>
      </c>
      <c r="AD539" s="53" t="e">
        <f>#REF!*D539</f>
        <v>#REF!</v>
      </c>
      <c r="AE539" s="53" t="e">
        <f>AD539-#REF!</f>
        <v>#REF!</v>
      </c>
      <c r="AF539" s="9"/>
      <c r="AG539" s="33" t="e">
        <f>#REF!-D539</f>
        <v>#REF!</v>
      </c>
      <c r="AH539" s="9"/>
      <c r="AI539" s="9"/>
      <c r="AJ539" s="9"/>
      <c r="AK539" s="9"/>
    </row>
    <row r="540" spans="1:37" s="12" customFormat="1" ht="10.199999999999999" outlineLevel="1" x14ac:dyDescent="0.2">
      <c r="A540" s="61" t="s">
        <v>3327</v>
      </c>
      <c r="B540" s="14" t="s">
        <v>3011</v>
      </c>
      <c r="C540" s="9" t="s">
        <v>47</v>
      </c>
      <c r="D540" s="25">
        <f t="shared" si="127"/>
        <v>1</v>
      </c>
      <c r="E540" s="54"/>
      <c r="F540" s="78"/>
      <c r="G540" s="33">
        <v>0</v>
      </c>
      <c r="H540" s="33">
        <v>0</v>
      </c>
      <c r="I540" s="9">
        <v>0</v>
      </c>
      <c r="J540" s="9">
        <v>0</v>
      </c>
      <c r="K540" s="9">
        <v>0</v>
      </c>
      <c r="L540" s="9">
        <v>0</v>
      </c>
      <c r="M540" s="9">
        <v>0</v>
      </c>
      <c r="N540" s="9">
        <v>0</v>
      </c>
      <c r="O540" s="9">
        <v>0</v>
      </c>
      <c r="P540" s="9">
        <v>0</v>
      </c>
      <c r="Q540" s="9">
        <v>0</v>
      </c>
      <c r="R540" s="9">
        <v>0</v>
      </c>
      <c r="S540" s="9">
        <v>0</v>
      </c>
      <c r="T540" s="9">
        <v>0</v>
      </c>
      <c r="U540" s="33">
        <v>0</v>
      </c>
      <c r="V540" s="9">
        <v>1</v>
      </c>
      <c r="W540" s="9">
        <v>0</v>
      </c>
      <c r="X540" s="9">
        <v>0</v>
      </c>
      <c r="Y540" s="9">
        <v>0</v>
      </c>
      <c r="Z540" s="9">
        <v>0</v>
      </c>
      <c r="AA540" s="9">
        <v>0</v>
      </c>
      <c r="AB540" s="9">
        <v>0</v>
      </c>
      <c r="AC540" s="9">
        <v>0</v>
      </c>
      <c r="AD540" s="53" t="e">
        <f>#REF!*D540</f>
        <v>#REF!</v>
      </c>
      <c r="AE540" s="53" t="e">
        <f>AD540-#REF!</f>
        <v>#REF!</v>
      </c>
      <c r="AF540" s="9"/>
      <c r="AG540" s="33" t="e">
        <f>#REF!-D540</f>
        <v>#REF!</v>
      </c>
      <c r="AH540" s="9"/>
      <c r="AI540" s="9"/>
      <c r="AJ540" s="9"/>
      <c r="AK540" s="9"/>
    </row>
    <row r="541" spans="1:37" s="12" customFormat="1" ht="10.199999999999999" outlineLevel="1" x14ac:dyDescent="0.2">
      <c r="A541" s="61" t="s">
        <v>3328</v>
      </c>
      <c r="B541" s="231" t="s">
        <v>533</v>
      </c>
      <c r="C541" s="9" t="s">
        <v>47</v>
      </c>
      <c r="D541" s="25">
        <f t="shared" si="127"/>
        <v>1</v>
      </c>
      <c r="E541" s="54"/>
      <c r="F541" s="78"/>
      <c r="G541" s="33">
        <v>0</v>
      </c>
      <c r="H541" s="33">
        <v>0</v>
      </c>
      <c r="I541" s="9">
        <v>0</v>
      </c>
      <c r="J541" s="9">
        <v>1</v>
      </c>
      <c r="K541" s="9">
        <v>0</v>
      </c>
      <c r="L541" s="9">
        <v>0</v>
      </c>
      <c r="M541" s="9">
        <v>0</v>
      </c>
      <c r="N541" s="9">
        <v>0</v>
      </c>
      <c r="O541" s="9">
        <v>0</v>
      </c>
      <c r="P541" s="9">
        <v>0</v>
      </c>
      <c r="Q541" s="9">
        <v>0</v>
      </c>
      <c r="R541" s="9">
        <v>0</v>
      </c>
      <c r="S541" s="9">
        <v>0</v>
      </c>
      <c r="T541" s="9">
        <v>0</v>
      </c>
      <c r="U541" s="33">
        <v>0</v>
      </c>
      <c r="V541" s="9">
        <v>0</v>
      </c>
      <c r="W541" s="9">
        <v>0</v>
      </c>
      <c r="X541" s="9">
        <v>0</v>
      </c>
      <c r="Y541" s="9">
        <v>0</v>
      </c>
      <c r="Z541" s="9">
        <v>0</v>
      </c>
      <c r="AA541" s="9">
        <v>0</v>
      </c>
      <c r="AB541" s="9">
        <v>0</v>
      </c>
      <c r="AC541" s="9">
        <v>0</v>
      </c>
      <c r="AD541" s="53" t="e">
        <f>#REF!*D541</f>
        <v>#REF!</v>
      </c>
      <c r="AE541" s="53" t="e">
        <f>AD541-#REF!</f>
        <v>#REF!</v>
      </c>
      <c r="AF541" s="9"/>
      <c r="AG541" s="33" t="e">
        <f>#REF!-D541</f>
        <v>#REF!</v>
      </c>
      <c r="AH541" s="9"/>
      <c r="AI541" s="9"/>
      <c r="AJ541" s="9"/>
      <c r="AK541" s="9"/>
    </row>
    <row r="542" spans="1:37" s="12" customFormat="1" ht="10.199999999999999" outlineLevel="1" x14ac:dyDescent="0.2">
      <c r="A542" s="61" t="s">
        <v>3329</v>
      </c>
      <c r="B542" s="14" t="s">
        <v>3142</v>
      </c>
      <c r="C542" s="9" t="s">
        <v>47</v>
      </c>
      <c r="D542" s="25">
        <f t="shared" si="127"/>
        <v>1</v>
      </c>
      <c r="E542" s="54"/>
      <c r="F542" s="78"/>
      <c r="G542" s="33">
        <v>0</v>
      </c>
      <c r="H542" s="33">
        <v>0</v>
      </c>
      <c r="I542" s="9">
        <v>0</v>
      </c>
      <c r="J542" s="9">
        <v>0</v>
      </c>
      <c r="K542" s="9">
        <v>0</v>
      </c>
      <c r="L542" s="9">
        <v>0</v>
      </c>
      <c r="M542" s="9">
        <v>0</v>
      </c>
      <c r="N542" s="9">
        <v>0</v>
      </c>
      <c r="O542" s="9">
        <v>0</v>
      </c>
      <c r="P542" s="9">
        <v>0</v>
      </c>
      <c r="Q542" s="9">
        <v>0</v>
      </c>
      <c r="R542" s="9">
        <v>0</v>
      </c>
      <c r="S542" s="9">
        <v>0</v>
      </c>
      <c r="T542" s="9">
        <v>0</v>
      </c>
      <c r="U542" s="33">
        <v>0</v>
      </c>
      <c r="V542" s="9">
        <v>0</v>
      </c>
      <c r="W542" s="9">
        <v>1</v>
      </c>
      <c r="X542" s="9">
        <v>0</v>
      </c>
      <c r="Y542" s="9">
        <v>0</v>
      </c>
      <c r="Z542" s="9">
        <v>0</v>
      </c>
      <c r="AA542" s="9">
        <v>0</v>
      </c>
      <c r="AB542" s="9">
        <v>0</v>
      </c>
      <c r="AC542" s="9">
        <v>0</v>
      </c>
      <c r="AD542" s="53" t="e">
        <f>#REF!*D542</f>
        <v>#REF!</v>
      </c>
      <c r="AE542" s="53" t="e">
        <f>AD542-#REF!</f>
        <v>#REF!</v>
      </c>
      <c r="AF542" s="9"/>
      <c r="AG542" s="33" t="e">
        <f>#REF!-D542</f>
        <v>#REF!</v>
      </c>
      <c r="AH542" s="9"/>
      <c r="AI542" s="9"/>
      <c r="AJ542" s="9"/>
      <c r="AK542" s="9"/>
    </row>
    <row r="543" spans="1:37" s="17" customFormat="1" ht="10.199999999999999" outlineLevel="1" x14ac:dyDescent="0.2">
      <c r="A543" s="61" t="s">
        <v>3330</v>
      </c>
      <c r="B543" s="231" t="s">
        <v>536</v>
      </c>
      <c r="C543" s="8" t="s">
        <v>47</v>
      </c>
      <c r="D543" s="25">
        <f t="shared" si="127"/>
        <v>1</v>
      </c>
      <c r="E543" s="54"/>
      <c r="F543" s="78"/>
      <c r="G543" s="33">
        <v>0</v>
      </c>
      <c r="H543" s="33">
        <v>0</v>
      </c>
      <c r="I543" s="9">
        <v>0</v>
      </c>
      <c r="J543" s="9">
        <v>0</v>
      </c>
      <c r="K543" s="9">
        <v>1</v>
      </c>
      <c r="L543" s="9">
        <v>0</v>
      </c>
      <c r="M543" s="9">
        <v>0</v>
      </c>
      <c r="N543" s="9">
        <v>0</v>
      </c>
      <c r="O543" s="9">
        <v>0</v>
      </c>
      <c r="P543" s="9">
        <v>0</v>
      </c>
      <c r="Q543" s="9">
        <v>0</v>
      </c>
      <c r="R543" s="9">
        <v>0</v>
      </c>
      <c r="S543" s="9">
        <v>0</v>
      </c>
      <c r="T543" s="9">
        <v>0</v>
      </c>
      <c r="U543" s="33">
        <v>0</v>
      </c>
      <c r="V543" s="9">
        <v>0</v>
      </c>
      <c r="W543" s="9">
        <v>0</v>
      </c>
      <c r="X543" s="9">
        <v>0</v>
      </c>
      <c r="Y543" s="9">
        <v>0</v>
      </c>
      <c r="Z543" s="9">
        <v>0</v>
      </c>
      <c r="AA543" s="9">
        <v>0</v>
      </c>
      <c r="AB543" s="9">
        <v>0</v>
      </c>
      <c r="AC543" s="9">
        <v>0</v>
      </c>
      <c r="AD543" s="53" t="e">
        <f>#REF!*D543</f>
        <v>#REF!</v>
      </c>
      <c r="AE543" s="53" t="e">
        <f>AD543-#REF!</f>
        <v>#REF!</v>
      </c>
      <c r="AF543" s="8"/>
      <c r="AG543" s="33" t="e">
        <f>#REF!-D543</f>
        <v>#REF!</v>
      </c>
      <c r="AH543" s="8"/>
      <c r="AI543" s="8"/>
      <c r="AJ543" s="8"/>
      <c r="AK543" s="8"/>
    </row>
    <row r="544" spans="1:37" s="12" customFormat="1" ht="10.199999999999999" outlineLevel="1" x14ac:dyDescent="0.2">
      <c r="A544" s="61" t="s">
        <v>3331</v>
      </c>
      <c r="B544" s="14" t="s">
        <v>3015</v>
      </c>
      <c r="C544" s="9" t="s">
        <v>47</v>
      </c>
      <c r="D544" s="25">
        <f t="shared" si="127"/>
        <v>1</v>
      </c>
      <c r="E544" s="54"/>
      <c r="F544" s="78"/>
      <c r="G544" s="33">
        <v>0</v>
      </c>
      <c r="H544" s="33">
        <v>0</v>
      </c>
      <c r="I544" s="9">
        <v>0</v>
      </c>
      <c r="J544" s="9">
        <v>0</v>
      </c>
      <c r="K544" s="9">
        <v>0</v>
      </c>
      <c r="L544" s="9">
        <v>0</v>
      </c>
      <c r="M544" s="9">
        <v>0</v>
      </c>
      <c r="N544" s="9">
        <v>0</v>
      </c>
      <c r="O544" s="9">
        <v>0</v>
      </c>
      <c r="P544" s="9">
        <v>0</v>
      </c>
      <c r="Q544" s="9">
        <v>0</v>
      </c>
      <c r="R544" s="9">
        <v>0</v>
      </c>
      <c r="S544" s="9">
        <v>0</v>
      </c>
      <c r="T544" s="9">
        <v>0</v>
      </c>
      <c r="U544" s="33">
        <v>0</v>
      </c>
      <c r="V544" s="9">
        <v>0</v>
      </c>
      <c r="W544" s="9">
        <v>0</v>
      </c>
      <c r="X544" s="9">
        <v>1</v>
      </c>
      <c r="Y544" s="9">
        <v>0</v>
      </c>
      <c r="Z544" s="9">
        <v>0</v>
      </c>
      <c r="AA544" s="9">
        <v>0</v>
      </c>
      <c r="AB544" s="9">
        <v>0</v>
      </c>
      <c r="AC544" s="9">
        <v>0</v>
      </c>
      <c r="AD544" s="53" t="e">
        <f>#REF!*D544</f>
        <v>#REF!</v>
      </c>
      <c r="AE544" s="53" t="e">
        <f>AD544-#REF!</f>
        <v>#REF!</v>
      </c>
      <c r="AF544" s="9"/>
      <c r="AG544" s="33" t="e">
        <f>#REF!-D544</f>
        <v>#REF!</v>
      </c>
      <c r="AH544" s="9"/>
      <c r="AI544" s="9"/>
      <c r="AJ544" s="9"/>
      <c r="AK544" s="9"/>
    </row>
    <row r="545" spans="1:37" s="12" customFormat="1" ht="10.199999999999999" outlineLevel="1" x14ac:dyDescent="0.2">
      <c r="A545" s="61" t="s">
        <v>3332</v>
      </c>
      <c r="B545" s="231" t="s">
        <v>539</v>
      </c>
      <c r="C545" s="9" t="s">
        <v>47</v>
      </c>
      <c r="D545" s="25">
        <f t="shared" si="127"/>
        <v>1</v>
      </c>
      <c r="E545" s="54"/>
      <c r="F545" s="78"/>
      <c r="G545" s="33">
        <v>0</v>
      </c>
      <c r="H545" s="33">
        <v>0</v>
      </c>
      <c r="I545" s="9">
        <v>0</v>
      </c>
      <c r="J545" s="9">
        <v>0</v>
      </c>
      <c r="K545" s="9">
        <v>0</v>
      </c>
      <c r="L545" s="9">
        <v>1</v>
      </c>
      <c r="M545" s="9">
        <v>0</v>
      </c>
      <c r="N545" s="9">
        <v>0</v>
      </c>
      <c r="O545" s="9">
        <v>0</v>
      </c>
      <c r="P545" s="9">
        <v>0</v>
      </c>
      <c r="Q545" s="9">
        <v>0</v>
      </c>
      <c r="R545" s="9">
        <v>0</v>
      </c>
      <c r="S545" s="9">
        <v>0</v>
      </c>
      <c r="T545" s="9">
        <v>0</v>
      </c>
      <c r="U545" s="33">
        <v>0</v>
      </c>
      <c r="V545" s="9">
        <v>0</v>
      </c>
      <c r="W545" s="9">
        <v>0</v>
      </c>
      <c r="X545" s="9">
        <v>0</v>
      </c>
      <c r="Y545" s="9">
        <v>0</v>
      </c>
      <c r="Z545" s="9">
        <v>0</v>
      </c>
      <c r="AA545" s="9">
        <v>0</v>
      </c>
      <c r="AB545" s="9">
        <v>0</v>
      </c>
      <c r="AC545" s="9">
        <v>0</v>
      </c>
      <c r="AD545" s="53" t="e">
        <f>#REF!*D545</f>
        <v>#REF!</v>
      </c>
      <c r="AE545" s="53" t="e">
        <f>AD545-#REF!</f>
        <v>#REF!</v>
      </c>
      <c r="AF545" s="9"/>
      <c r="AG545" s="33" t="e">
        <f>#REF!-D545</f>
        <v>#REF!</v>
      </c>
      <c r="AH545" s="9"/>
      <c r="AI545" s="9"/>
      <c r="AJ545" s="9"/>
      <c r="AK545" s="9"/>
    </row>
    <row r="546" spans="1:37" s="17" customFormat="1" ht="10.199999999999999" outlineLevel="1" x14ac:dyDescent="0.2">
      <c r="A546" s="61" t="s">
        <v>3333</v>
      </c>
      <c r="B546" s="14" t="s">
        <v>3026</v>
      </c>
      <c r="C546" s="8" t="s">
        <v>47</v>
      </c>
      <c r="D546" s="25">
        <f t="shared" si="127"/>
        <v>1</v>
      </c>
      <c r="E546" s="54"/>
      <c r="F546" s="78"/>
      <c r="G546" s="33">
        <v>0</v>
      </c>
      <c r="H546" s="33">
        <v>0</v>
      </c>
      <c r="I546" s="9">
        <v>0</v>
      </c>
      <c r="J546" s="9">
        <v>0</v>
      </c>
      <c r="K546" s="9">
        <v>0</v>
      </c>
      <c r="L546" s="9">
        <v>0</v>
      </c>
      <c r="M546" s="9">
        <v>0</v>
      </c>
      <c r="N546" s="9">
        <v>0</v>
      </c>
      <c r="O546" s="9">
        <v>0</v>
      </c>
      <c r="P546" s="9">
        <v>0</v>
      </c>
      <c r="Q546" s="9">
        <v>0</v>
      </c>
      <c r="R546" s="9">
        <v>0</v>
      </c>
      <c r="S546" s="9">
        <v>0</v>
      </c>
      <c r="T546" s="9">
        <v>0</v>
      </c>
      <c r="U546" s="33">
        <v>0</v>
      </c>
      <c r="V546" s="9">
        <v>0</v>
      </c>
      <c r="W546" s="9">
        <v>0</v>
      </c>
      <c r="X546" s="9">
        <v>0</v>
      </c>
      <c r="Y546" s="9">
        <v>1</v>
      </c>
      <c r="Z546" s="9">
        <v>0</v>
      </c>
      <c r="AA546" s="9">
        <v>0</v>
      </c>
      <c r="AB546" s="9">
        <v>0</v>
      </c>
      <c r="AC546" s="9">
        <v>0</v>
      </c>
      <c r="AD546" s="53" t="e">
        <f>#REF!*D546</f>
        <v>#REF!</v>
      </c>
      <c r="AE546" s="53" t="e">
        <f>AD546-#REF!</f>
        <v>#REF!</v>
      </c>
      <c r="AF546" s="8"/>
      <c r="AG546" s="33" t="e">
        <f>#REF!-D546</f>
        <v>#REF!</v>
      </c>
      <c r="AH546" s="8"/>
      <c r="AI546" s="8"/>
      <c r="AJ546" s="8"/>
      <c r="AK546" s="8"/>
    </row>
    <row r="547" spans="1:37" s="12" customFormat="1" ht="10.199999999999999" outlineLevel="1" x14ac:dyDescent="0.2">
      <c r="A547" s="61" t="s">
        <v>3334</v>
      </c>
      <c r="B547" s="231" t="s">
        <v>544</v>
      </c>
      <c r="C547" s="9" t="s">
        <v>47</v>
      </c>
      <c r="D547" s="25">
        <f t="shared" si="127"/>
        <v>1</v>
      </c>
      <c r="E547" s="54"/>
      <c r="F547" s="78"/>
      <c r="G547" s="33">
        <v>0</v>
      </c>
      <c r="H547" s="33">
        <v>0</v>
      </c>
      <c r="I547" s="9">
        <v>0</v>
      </c>
      <c r="J547" s="9">
        <v>0</v>
      </c>
      <c r="K547" s="9">
        <v>0</v>
      </c>
      <c r="L547" s="9">
        <v>0</v>
      </c>
      <c r="M547" s="9">
        <v>1</v>
      </c>
      <c r="N547" s="9">
        <v>0</v>
      </c>
      <c r="O547" s="9">
        <v>0</v>
      </c>
      <c r="P547" s="9">
        <v>0</v>
      </c>
      <c r="Q547" s="9">
        <v>0</v>
      </c>
      <c r="R547" s="9">
        <v>0</v>
      </c>
      <c r="S547" s="9">
        <v>0</v>
      </c>
      <c r="T547" s="9">
        <v>0</v>
      </c>
      <c r="U547" s="33">
        <v>0</v>
      </c>
      <c r="V547" s="9">
        <v>0</v>
      </c>
      <c r="W547" s="9">
        <v>0</v>
      </c>
      <c r="X547" s="9">
        <v>0</v>
      </c>
      <c r="Y547" s="9">
        <v>0</v>
      </c>
      <c r="Z547" s="9">
        <v>0</v>
      </c>
      <c r="AA547" s="9">
        <v>0</v>
      </c>
      <c r="AB547" s="9">
        <v>0</v>
      </c>
      <c r="AC547" s="9">
        <v>0</v>
      </c>
      <c r="AD547" s="53" t="e">
        <f>#REF!*D547</f>
        <v>#REF!</v>
      </c>
      <c r="AE547" s="53" t="e">
        <f>AD547-#REF!</f>
        <v>#REF!</v>
      </c>
      <c r="AF547" s="9"/>
      <c r="AG547" s="33" t="e">
        <f>#REF!-D547</f>
        <v>#REF!</v>
      </c>
      <c r="AH547" s="9"/>
      <c r="AI547" s="9"/>
      <c r="AJ547" s="9"/>
      <c r="AK547" s="9"/>
    </row>
    <row r="548" spans="1:37" s="17" customFormat="1" ht="10.199999999999999" outlineLevel="1" x14ac:dyDescent="0.2">
      <c r="A548" s="61" t="s">
        <v>3335</v>
      </c>
      <c r="B548" s="14" t="s">
        <v>3032</v>
      </c>
      <c r="C548" s="8" t="s">
        <v>47</v>
      </c>
      <c r="D548" s="25">
        <f t="shared" si="127"/>
        <v>1</v>
      </c>
      <c r="E548" s="54"/>
      <c r="F548" s="78"/>
      <c r="G548" s="33">
        <v>0</v>
      </c>
      <c r="H548" s="33">
        <v>0</v>
      </c>
      <c r="I548" s="9">
        <v>0</v>
      </c>
      <c r="J548" s="9">
        <v>0</v>
      </c>
      <c r="K548" s="9">
        <v>0</v>
      </c>
      <c r="L548" s="9">
        <v>0</v>
      </c>
      <c r="M548" s="9">
        <v>0</v>
      </c>
      <c r="N548" s="9">
        <v>0</v>
      </c>
      <c r="O548" s="9">
        <v>0</v>
      </c>
      <c r="P548" s="9">
        <v>0</v>
      </c>
      <c r="Q548" s="9">
        <v>0</v>
      </c>
      <c r="R548" s="9">
        <v>0</v>
      </c>
      <c r="S548" s="9">
        <v>0</v>
      </c>
      <c r="T548" s="9">
        <v>0</v>
      </c>
      <c r="U548" s="33">
        <v>0</v>
      </c>
      <c r="V548" s="9">
        <v>0</v>
      </c>
      <c r="W548" s="9">
        <v>0</v>
      </c>
      <c r="X548" s="9">
        <v>0</v>
      </c>
      <c r="Y548" s="9">
        <v>0</v>
      </c>
      <c r="Z548" s="9">
        <v>1</v>
      </c>
      <c r="AA548" s="9">
        <v>0</v>
      </c>
      <c r="AB548" s="9">
        <v>0</v>
      </c>
      <c r="AC548" s="9">
        <v>0</v>
      </c>
      <c r="AD548" s="53" t="e">
        <f>#REF!*D548</f>
        <v>#REF!</v>
      </c>
      <c r="AE548" s="53" t="e">
        <f>AD548-#REF!</f>
        <v>#REF!</v>
      </c>
      <c r="AF548" s="8"/>
      <c r="AG548" s="33" t="e">
        <f>#REF!-D548</f>
        <v>#REF!</v>
      </c>
      <c r="AH548" s="8"/>
      <c r="AI548" s="8"/>
      <c r="AJ548" s="8"/>
      <c r="AK548" s="8"/>
    </row>
    <row r="549" spans="1:37" s="12" customFormat="1" ht="10.199999999999999" outlineLevel="1" x14ac:dyDescent="0.2">
      <c r="A549" s="61" t="s">
        <v>3336</v>
      </c>
      <c r="B549" s="231" t="s">
        <v>554</v>
      </c>
      <c r="C549" s="9" t="s">
        <v>47</v>
      </c>
      <c r="D549" s="25">
        <f t="shared" si="127"/>
        <v>1</v>
      </c>
      <c r="E549" s="54"/>
      <c r="F549" s="78"/>
      <c r="G549" s="33">
        <v>0</v>
      </c>
      <c r="H549" s="33">
        <v>0</v>
      </c>
      <c r="I549" s="9">
        <v>0</v>
      </c>
      <c r="J549" s="9">
        <v>0</v>
      </c>
      <c r="K549" s="9">
        <v>0</v>
      </c>
      <c r="L549" s="9">
        <v>0</v>
      </c>
      <c r="M549" s="9">
        <v>0</v>
      </c>
      <c r="N549" s="9">
        <v>1</v>
      </c>
      <c r="O549" s="9">
        <v>0</v>
      </c>
      <c r="P549" s="9">
        <v>0</v>
      </c>
      <c r="Q549" s="9">
        <v>0</v>
      </c>
      <c r="R549" s="9">
        <v>0</v>
      </c>
      <c r="S549" s="9">
        <v>0</v>
      </c>
      <c r="T549" s="9">
        <v>0</v>
      </c>
      <c r="U549" s="33">
        <v>0</v>
      </c>
      <c r="V549" s="9">
        <v>0</v>
      </c>
      <c r="W549" s="9">
        <v>0</v>
      </c>
      <c r="X549" s="9">
        <v>0</v>
      </c>
      <c r="Y549" s="9">
        <v>0</v>
      </c>
      <c r="Z549" s="9">
        <v>0</v>
      </c>
      <c r="AA549" s="9">
        <v>0</v>
      </c>
      <c r="AB549" s="9">
        <v>0</v>
      </c>
      <c r="AC549" s="9">
        <v>0</v>
      </c>
      <c r="AD549" s="53" t="e">
        <f>#REF!*D549</f>
        <v>#REF!</v>
      </c>
      <c r="AE549" s="53" t="e">
        <f>AD549-#REF!</f>
        <v>#REF!</v>
      </c>
      <c r="AF549" s="9"/>
      <c r="AG549" s="33" t="e">
        <f>#REF!-D549</f>
        <v>#REF!</v>
      </c>
      <c r="AH549" s="9"/>
      <c r="AI549" s="9"/>
      <c r="AJ549" s="9"/>
      <c r="AK549" s="9"/>
    </row>
    <row r="550" spans="1:37" s="17" customFormat="1" ht="10.199999999999999" outlineLevel="1" x14ac:dyDescent="0.2">
      <c r="A550" s="61" t="s">
        <v>3337</v>
      </c>
      <c r="B550" s="14" t="s">
        <v>3040</v>
      </c>
      <c r="C550" s="8" t="s">
        <v>47</v>
      </c>
      <c r="D550" s="25">
        <f t="shared" si="127"/>
        <v>1</v>
      </c>
      <c r="E550" s="54"/>
      <c r="F550" s="78"/>
      <c r="G550" s="33">
        <v>0</v>
      </c>
      <c r="H550" s="33">
        <v>0</v>
      </c>
      <c r="I550" s="9">
        <v>0</v>
      </c>
      <c r="J550" s="9">
        <v>0</v>
      </c>
      <c r="K550" s="9">
        <v>0</v>
      </c>
      <c r="L550" s="9">
        <v>0</v>
      </c>
      <c r="M550" s="9">
        <v>0</v>
      </c>
      <c r="N550" s="9">
        <v>0</v>
      </c>
      <c r="O550" s="9">
        <v>0</v>
      </c>
      <c r="P550" s="9">
        <v>0</v>
      </c>
      <c r="Q550" s="9">
        <v>0</v>
      </c>
      <c r="R550" s="9">
        <v>0</v>
      </c>
      <c r="S550" s="9">
        <v>0</v>
      </c>
      <c r="T550" s="9">
        <v>0</v>
      </c>
      <c r="U550" s="33">
        <v>0</v>
      </c>
      <c r="V550" s="9">
        <v>0</v>
      </c>
      <c r="W550" s="9">
        <v>0</v>
      </c>
      <c r="X550" s="9">
        <v>0</v>
      </c>
      <c r="Y550" s="9">
        <v>0</v>
      </c>
      <c r="Z550" s="9">
        <v>0</v>
      </c>
      <c r="AA550" s="9">
        <v>1</v>
      </c>
      <c r="AB550" s="9">
        <v>0</v>
      </c>
      <c r="AC550" s="9">
        <v>0</v>
      </c>
      <c r="AD550" s="53" t="e">
        <f>#REF!*D550</f>
        <v>#REF!</v>
      </c>
      <c r="AE550" s="53" t="e">
        <f>AD550-#REF!</f>
        <v>#REF!</v>
      </c>
      <c r="AF550" s="8"/>
      <c r="AG550" s="33" t="e">
        <f>#REF!-D550</f>
        <v>#REF!</v>
      </c>
      <c r="AH550" s="8"/>
      <c r="AI550" s="8"/>
      <c r="AJ550" s="8"/>
      <c r="AK550" s="8"/>
    </row>
    <row r="551" spans="1:37" s="12" customFormat="1" ht="10.199999999999999" outlineLevel="1" x14ac:dyDescent="0.2">
      <c r="A551" s="61" t="s">
        <v>3338</v>
      </c>
      <c r="B551" s="231" t="s">
        <v>560</v>
      </c>
      <c r="C551" s="9" t="s">
        <v>47</v>
      </c>
      <c r="D551" s="25">
        <f t="shared" ref="D551:D582" si="128">SUM(G551:AC551)</f>
        <v>1</v>
      </c>
      <c r="E551" s="54"/>
      <c r="F551" s="78"/>
      <c r="G551" s="33">
        <v>0</v>
      </c>
      <c r="H551" s="33">
        <v>0</v>
      </c>
      <c r="I551" s="9">
        <v>0</v>
      </c>
      <c r="J551" s="9">
        <v>0</v>
      </c>
      <c r="K551" s="9">
        <v>0</v>
      </c>
      <c r="L551" s="9">
        <v>0</v>
      </c>
      <c r="M551" s="9">
        <v>0</v>
      </c>
      <c r="N551" s="9">
        <v>0</v>
      </c>
      <c r="O551" s="9">
        <v>1</v>
      </c>
      <c r="P551" s="9">
        <v>0</v>
      </c>
      <c r="Q551" s="9">
        <v>0</v>
      </c>
      <c r="R551" s="9">
        <v>0</v>
      </c>
      <c r="S551" s="9">
        <v>0</v>
      </c>
      <c r="T551" s="9">
        <v>0</v>
      </c>
      <c r="U551" s="33">
        <v>0</v>
      </c>
      <c r="V551" s="9">
        <v>0</v>
      </c>
      <c r="W551" s="9">
        <v>0</v>
      </c>
      <c r="X551" s="9">
        <v>0</v>
      </c>
      <c r="Y551" s="9">
        <v>0</v>
      </c>
      <c r="Z551" s="9">
        <v>0</v>
      </c>
      <c r="AA551" s="9">
        <v>0</v>
      </c>
      <c r="AB551" s="9">
        <v>0</v>
      </c>
      <c r="AC551" s="9">
        <v>0</v>
      </c>
      <c r="AD551" s="53" t="e">
        <f>#REF!*D551</f>
        <v>#REF!</v>
      </c>
      <c r="AE551" s="53" t="e">
        <f>AD551-#REF!</f>
        <v>#REF!</v>
      </c>
      <c r="AF551" s="9"/>
      <c r="AG551" s="33" t="e">
        <f>#REF!-D551</f>
        <v>#REF!</v>
      </c>
      <c r="AH551" s="9"/>
      <c r="AI551" s="9"/>
      <c r="AJ551" s="9"/>
      <c r="AK551" s="9"/>
    </row>
    <row r="552" spans="1:37" s="17" customFormat="1" ht="10.199999999999999" outlineLevel="1" x14ac:dyDescent="0.2">
      <c r="A552" s="61" t="s">
        <v>3339</v>
      </c>
      <c r="B552" s="231" t="s">
        <v>564</v>
      </c>
      <c r="C552" s="8" t="s">
        <v>47</v>
      </c>
      <c r="D552" s="25">
        <f t="shared" si="128"/>
        <v>1</v>
      </c>
      <c r="E552" s="54"/>
      <c r="F552" s="78"/>
      <c r="G552" s="33">
        <v>0</v>
      </c>
      <c r="H552" s="33">
        <v>0</v>
      </c>
      <c r="I552" s="9">
        <v>0</v>
      </c>
      <c r="J552" s="9">
        <v>0</v>
      </c>
      <c r="K552" s="9">
        <v>0</v>
      </c>
      <c r="L552" s="9">
        <v>0</v>
      </c>
      <c r="M552" s="9">
        <v>0</v>
      </c>
      <c r="N552" s="9">
        <v>0</v>
      </c>
      <c r="O552" s="9">
        <v>0</v>
      </c>
      <c r="P552" s="9">
        <v>1</v>
      </c>
      <c r="Q552" s="9">
        <v>0</v>
      </c>
      <c r="R552" s="9">
        <v>0</v>
      </c>
      <c r="S552" s="9">
        <v>0</v>
      </c>
      <c r="T552" s="9">
        <v>0</v>
      </c>
      <c r="U552" s="33">
        <v>0</v>
      </c>
      <c r="V552" s="9">
        <v>0</v>
      </c>
      <c r="W552" s="9">
        <v>0</v>
      </c>
      <c r="X552" s="9">
        <v>0</v>
      </c>
      <c r="Y552" s="9">
        <v>0</v>
      </c>
      <c r="Z552" s="9">
        <v>0</v>
      </c>
      <c r="AA552" s="9">
        <v>0</v>
      </c>
      <c r="AB552" s="9">
        <v>0</v>
      </c>
      <c r="AC552" s="9">
        <v>0</v>
      </c>
      <c r="AD552" s="53" t="e">
        <f>#REF!*D552</f>
        <v>#REF!</v>
      </c>
      <c r="AE552" s="53" t="e">
        <f>AD552-#REF!</f>
        <v>#REF!</v>
      </c>
      <c r="AF552" s="8"/>
      <c r="AG552" s="33" t="e">
        <f>#REF!-D552</f>
        <v>#REF!</v>
      </c>
      <c r="AH552" s="8"/>
      <c r="AI552" s="8"/>
      <c r="AJ552" s="8"/>
      <c r="AK552" s="8"/>
    </row>
    <row r="553" spans="1:37" s="17" customFormat="1" ht="10.199999999999999" outlineLevel="1" x14ac:dyDescent="0.2">
      <c r="A553" s="61" t="s">
        <v>3340</v>
      </c>
      <c r="B553" s="231" t="s">
        <v>565</v>
      </c>
      <c r="C553" s="8" t="s">
        <v>47</v>
      </c>
      <c r="D553" s="25">
        <f t="shared" si="128"/>
        <v>1</v>
      </c>
      <c r="E553" s="54"/>
      <c r="F553" s="78"/>
      <c r="G553" s="33">
        <v>0</v>
      </c>
      <c r="H553" s="33">
        <v>0</v>
      </c>
      <c r="I553" s="9">
        <v>0</v>
      </c>
      <c r="J553" s="9">
        <v>0</v>
      </c>
      <c r="K553" s="9">
        <v>0</v>
      </c>
      <c r="L553" s="9">
        <v>0</v>
      </c>
      <c r="M553" s="9">
        <v>0</v>
      </c>
      <c r="N553" s="9">
        <v>0</v>
      </c>
      <c r="O553" s="9">
        <v>0</v>
      </c>
      <c r="P553" s="9">
        <v>0</v>
      </c>
      <c r="Q553" s="9">
        <v>1</v>
      </c>
      <c r="R553" s="9">
        <v>0</v>
      </c>
      <c r="S553" s="9">
        <v>0</v>
      </c>
      <c r="T553" s="9">
        <v>0</v>
      </c>
      <c r="U553" s="33">
        <v>0</v>
      </c>
      <c r="V553" s="9">
        <v>0</v>
      </c>
      <c r="W553" s="9">
        <v>0</v>
      </c>
      <c r="X553" s="9">
        <v>0</v>
      </c>
      <c r="Y553" s="9">
        <v>0</v>
      </c>
      <c r="Z553" s="9">
        <v>0</v>
      </c>
      <c r="AA553" s="9">
        <v>0</v>
      </c>
      <c r="AB553" s="9">
        <v>0</v>
      </c>
      <c r="AC553" s="9">
        <v>0</v>
      </c>
      <c r="AD553" s="53" t="e">
        <f>#REF!*D553</f>
        <v>#REF!</v>
      </c>
      <c r="AE553" s="53" t="e">
        <f>AD553-#REF!</f>
        <v>#REF!</v>
      </c>
      <c r="AF553" s="8"/>
      <c r="AG553" s="33" t="e">
        <f>#REF!-D553</f>
        <v>#REF!</v>
      </c>
      <c r="AH553" s="8"/>
      <c r="AI553" s="8"/>
      <c r="AJ553" s="8"/>
      <c r="AK553" s="8"/>
    </row>
    <row r="554" spans="1:37" s="12" customFormat="1" ht="10.199999999999999" outlineLevel="1" x14ac:dyDescent="0.2">
      <c r="A554" s="61" t="s">
        <v>3341</v>
      </c>
      <c r="B554" s="231" t="s">
        <v>3143</v>
      </c>
      <c r="C554" s="9" t="s">
        <v>47</v>
      </c>
      <c r="D554" s="25">
        <f t="shared" si="128"/>
        <v>1</v>
      </c>
      <c r="E554" s="54"/>
      <c r="F554" s="78"/>
      <c r="G554" s="33">
        <v>0</v>
      </c>
      <c r="H554" s="33">
        <v>0</v>
      </c>
      <c r="I554" s="9">
        <v>0</v>
      </c>
      <c r="J554" s="9">
        <v>0</v>
      </c>
      <c r="K554" s="9">
        <v>0</v>
      </c>
      <c r="L554" s="9">
        <v>0</v>
      </c>
      <c r="M554" s="9">
        <v>0</v>
      </c>
      <c r="N554" s="9">
        <v>0</v>
      </c>
      <c r="O554" s="9">
        <v>0</v>
      </c>
      <c r="P554" s="9">
        <v>0</v>
      </c>
      <c r="Q554" s="9">
        <v>0</v>
      </c>
      <c r="R554" s="9">
        <v>1</v>
      </c>
      <c r="S554" s="9">
        <v>0</v>
      </c>
      <c r="T554" s="9">
        <v>0</v>
      </c>
      <c r="U554" s="33">
        <v>0</v>
      </c>
      <c r="V554" s="9">
        <v>0</v>
      </c>
      <c r="W554" s="9">
        <v>0</v>
      </c>
      <c r="X554" s="9">
        <v>0</v>
      </c>
      <c r="Y554" s="9">
        <v>0</v>
      </c>
      <c r="Z554" s="9">
        <v>0</v>
      </c>
      <c r="AA554" s="9">
        <v>0</v>
      </c>
      <c r="AB554" s="9">
        <v>0</v>
      </c>
      <c r="AC554" s="9">
        <v>0</v>
      </c>
      <c r="AD554" s="53" t="e">
        <f>#REF!*D554</f>
        <v>#REF!</v>
      </c>
      <c r="AE554" s="53" t="e">
        <f>AD554-#REF!</f>
        <v>#REF!</v>
      </c>
      <c r="AF554" s="9"/>
      <c r="AG554" s="33" t="e">
        <f>#REF!-D554</f>
        <v>#REF!</v>
      </c>
      <c r="AH554" s="9"/>
      <c r="AI554" s="9"/>
      <c r="AJ554" s="9"/>
      <c r="AK554" s="9"/>
    </row>
    <row r="555" spans="1:37" s="12" customFormat="1" ht="10.199999999999999" outlineLevel="1" x14ac:dyDescent="0.2">
      <c r="A555" s="61" t="s">
        <v>3342</v>
      </c>
      <c r="B555" s="14" t="s">
        <v>3019</v>
      </c>
      <c r="C555" s="9" t="s">
        <v>47</v>
      </c>
      <c r="D555" s="25">
        <f t="shared" si="128"/>
        <v>2</v>
      </c>
      <c r="E555" s="54"/>
      <c r="F555" s="78"/>
      <c r="G555" s="33">
        <v>0</v>
      </c>
      <c r="H555" s="33">
        <v>0</v>
      </c>
      <c r="I555" s="9">
        <v>0</v>
      </c>
      <c r="J555" s="9">
        <v>0</v>
      </c>
      <c r="K555" s="9">
        <v>0</v>
      </c>
      <c r="L555" s="9">
        <v>0</v>
      </c>
      <c r="M555" s="9">
        <v>0</v>
      </c>
      <c r="N555" s="9">
        <v>0</v>
      </c>
      <c r="O555" s="9">
        <v>0</v>
      </c>
      <c r="P555" s="9">
        <v>0</v>
      </c>
      <c r="Q555" s="9">
        <v>0</v>
      </c>
      <c r="R555" s="9">
        <v>0</v>
      </c>
      <c r="S555" s="9">
        <v>0</v>
      </c>
      <c r="T555" s="9">
        <v>0</v>
      </c>
      <c r="U555" s="33">
        <v>0</v>
      </c>
      <c r="V555" s="9">
        <v>0</v>
      </c>
      <c r="W555" s="9">
        <v>0</v>
      </c>
      <c r="X555" s="9">
        <v>2</v>
      </c>
      <c r="Y555" s="9">
        <v>0</v>
      </c>
      <c r="Z555" s="9">
        <v>0</v>
      </c>
      <c r="AA555" s="9">
        <v>0</v>
      </c>
      <c r="AB555" s="9">
        <v>0</v>
      </c>
      <c r="AC555" s="9">
        <v>0</v>
      </c>
      <c r="AD555" s="53" t="e">
        <f>#REF!*D555</f>
        <v>#REF!</v>
      </c>
      <c r="AE555" s="53" t="e">
        <f>AD555-#REF!</f>
        <v>#REF!</v>
      </c>
      <c r="AF555" s="9"/>
      <c r="AG555" s="33" t="e">
        <f>#REF!-D555</f>
        <v>#REF!</v>
      </c>
      <c r="AH555" s="9"/>
      <c r="AI555" s="9"/>
      <c r="AJ555" s="9"/>
      <c r="AK555" s="9"/>
    </row>
    <row r="556" spans="1:37" s="12" customFormat="1" ht="10.199999999999999" outlineLevel="1" x14ac:dyDescent="0.2">
      <c r="A556" s="61" t="s">
        <v>3343</v>
      </c>
      <c r="B556" s="14" t="s">
        <v>3020</v>
      </c>
      <c r="C556" s="9" t="s">
        <v>47</v>
      </c>
      <c r="D556" s="25">
        <f t="shared" si="128"/>
        <v>3</v>
      </c>
      <c r="E556" s="54"/>
      <c r="F556" s="78"/>
      <c r="G556" s="33">
        <v>0</v>
      </c>
      <c r="H556" s="33">
        <v>0</v>
      </c>
      <c r="I556" s="9">
        <v>0</v>
      </c>
      <c r="J556" s="9">
        <v>0</v>
      </c>
      <c r="K556" s="9">
        <v>0</v>
      </c>
      <c r="L556" s="9">
        <v>0</v>
      </c>
      <c r="M556" s="9">
        <v>0</v>
      </c>
      <c r="N556" s="9">
        <v>0</v>
      </c>
      <c r="O556" s="9">
        <v>0</v>
      </c>
      <c r="P556" s="9">
        <v>0</v>
      </c>
      <c r="Q556" s="9">
        <v>0</v>
      </c>
      <c r="R556" s="9">
        <v>0</v>
      </c>
      <c r="S556" s="9">
        <v>0</v>
      </c>
      <c r="T556" s="9">
        <v>0</v>
      </c>
      <c r="U556" s="33">
        <v>0</v>
      </c>
      <c r="V556" s="9">
        <v>0</v>
      </c>
      <c r="W556" s="9">
        <v>0</v>
      </c>
      <c r="X556" s="9">
        <v>3</v>
      </c>
      <c r="Y556" s="9">
        <v>0</v>
      </c>
      <c r="Z556" s="9">
        <v>0</v>
      </c>
      <c r="AA556" s="9">
        <v>0</v>
      </c>
      <c r="AB556" s="9">
        <v>0</v>
      </c>
      <c r="AC556" s="9">
        <v>0</v>
      </c>
      <c r="AD556" s="53" t="e">
        <f>#REF!*D556</f>
        <v>#REF!</v>
      </c>
      <c r="AE556" s="53" t="e">
        <f>AD556-#REF!</f>
        <v>#REF!</v>
      </c>
      <c r="AF556" s="9"/>
      <c r="AG556" s="33" t="e">
        <f>#REF!-D556</f>
        <v>#REF!</v>
      </c>
      <c r="AH556" s="9"/>
      <c r="AI556" s="9"/>
      <c r="AJ556" s="9"/>
      <c r="AK556" s="9"/>
    </row>
    <row r="557" spans="1:37" s="12" customFormat="1" ht="10.199999999999999" outlineLevel="1" x14ac:dyDescent="0.2">
      <c r="A557" s="61" t="s">
        <v>3344</v>
      </c>
      <c r="B557" s="14" t="s">
        <v>3021</v>
      </c>
      <c r="C557" s="9" t="s">
        <v>47</v>
      </c>
      <c r="D557" s="25">
        <f t="shared" si="128"/>
        <v>5</v>
      </c>
      <c r="E557" s="54"/>
      <c r="F557" s="78"/>
      <c r="G557" s="33">
        <v>0</v>
      </c>
      <c r="H557" s="33">
        <v>0</v>
      </c>
      <c r="I557" s="9">
        <v>0</v>
      </c>
      <c r="J557" s="9">
        <v>0</v>
      </c>
      <c r="K557" s="9">
        <v>0</v>
      </c>
      <c r="L557" s="9">
        <v>0</v>
      </c>
      <c r="M557" s="9">
        <v>0</v>
      </c>
      <c r="N557" s="9">
        <v>0</v>
      </c>
      <c r="O557" s="9">
        <v>0</v>
      </c>
      <c r="P557" s="9">
        <v>0</v>
      </c>
      <c r="Q557" s="9">
        <v>0</v>
      </c>
      <c r="R557" s="9">
        <v>0</v>
      </c>
      <c r="S557" s="9">
        <v>0</v>
      </c>
      <c r="T557" s="9">
        <v>0</v>
      </c>
      <c r="U557" s="33">
        <v>0</v>
      </c>
      <c r="V557" s="9">
        <v>0</v>
      </c>
      <c r="W557" s="9">
        <v>0</v>
      </c>
      <c r="X557" s="9">
        <v>5</v>
      </c>
      <c r="Y557" s="9">
        <v>0</v>
      </c>
      <c r="Z557" s="9">
        <v>0</v>
      </c>
      <c r="AA557" s="9">
        <v>0</v>
      </c>
      <c r="AB557" s="9">
        <v>0</v>
      </c>
      <c r="AC557" s="9">
        <v>0</v>
      </c>
      <c r="AD557" s="53" t="e">
        <f>#REF!*D557</f>
        <v>#REF!</v>
      </c>
      <c r="AE557" s="53" t="e">
        <f>AD557-#REF!</f>
        <v>#REF!</v>
      </c>
      <c r="AF557" s="9"/>
      <c r="AG557" s="33" t="e">
        <f>#REF!-D557</f>
        <v>#REF!</v>
      </c>
      <c r="AH557" s="9"/>
      <c r="AI557" s="9"/>
      <c r="AJ557" s="9"/>
      <c r="AK557" s="9"/>
    </row>
    <row r="558" spans="1:37" s="12" customFormat="1" ht="10.199999999999999" outlineLevel="1" x14ac:dyDescent="0.2">
      <c r="A558" s="61" t="s">
        <v>3345</v>
      </c>
      <c r="B558" s="14" t="s">
        <v>3022</v>
      </c>
      <c r="C558" s="9" t="s">
        <v>47</v>
      </c>
      <c r="D558" s="25">
        <f t="shared" si="128"/>
        <v>1</v>
      </c>
      <c r="E558" s="54"/>
      <c r="F558" s="78"/>
      <c r="G558" s="33">
        <v>0</v>
      </c>
      <c r="H558" s="33">
        <v>0</v>
      </c>
      <c r="I558" s="9">
        <v>0</v>
      </c>
      <c r="J558" s="9">
        <v>0</v>
      </c>
      <c r="K558" s="9">
        <v>0</v>
      </c>
      <c r="L558" s="9">
        <v>0</v>
      </c>
      <c r="M558" s="9">
        <v>0</v>
      </c>
      <c r="N558" s="9">
        <v>0</v>
      </c>
      <c r="O558" s="9">
        <v>0</v>
      </c>
      <c r="P558" s="9">
        <v>0</v>
      </c>
      <c r="Q558" s="9">
        <v>0</v>
      </c>
      <c r="R558" s="9">
        <v>0</v>
      </c>
      <c r="S558" s="9">
        <v>0</v>
      </c>
      <c r="T558" s="9">
        <v>0</v>
      </c>
      <c r="U558" s="33">
        <v>0</v>
      </c>
      <c r="V558" s="9">
        <v>0</v>
      </c>
      <c r="W558" s="9">
        <v>0</v>
      </c>
      <c r="X558" s="9">
        <v>1</v>
      </c>
      <c r="Y558" s="9">
        <v>0</v>
      </c>
      <c r="Z558" s="9">
        <v>0</v>
      </c>
      <c r="AA558" s="9">
        <v>0</v>
      </c>
      <c r="AB558" s="9">
        <v>0</v>
      </c>
      <c r="AC558" s="9">
        <v>0</v>
      </c>
      <c r="AD558" s="53" t="e">
        <f>#REF!*D558</f>
        <v>#REF!</v>
      </c>
      <c r="AE558" s="53" t="e">
        <f>AD558-#REF!</f>
        <v>#REF!</v>
      </c>
      <c r="AF558" s="9"/>
      <c r="AG558" s="33" t="e">
        <f>#REF!-D558</f>
        <v>#REF!</v>
      </c>
      <c r="AH558" s="9"/>
      <c r="AI558" s="9"/>
      <c r="AJ558" s="9"/>
      <c r="AK558" s="9"/>
    </row>
    <row r="559" spans="1:37" s="12" customFormat="1" ht="10.199999999999999" outlineLevel="1" x14ac:dyDescent="0.2">
      <c r="A559" s="61" t="s">
        <v>3346</v>
      </c>
      <c r="B559" s="231" t="s">
        <v>538</v>
      </c>
      <c r="C559" s="9" t="s">
        <v>47</v>
      </c>
      <c r="D559" s="25">
        <f t="shared" si="128"/>
        <v>20</v>
      </c>
      <c r="E559" s="54"/>
      <c r="F559" s="78"/>
      <c r="G559" s="33">
        <v>0</v>
      </c>
      <c r="H559" s="33">
        <v>0</v>
      </c>
      <c r="I559" s="9">
        <v>0</v>
      </c>
      <c r="J559" s="9">
        <v>0</v>
      </c>
      <c r="K559" s="9">
        <v>0</v>
      </c>
      <c r="L559" s="9">
        <v>20</v>
      </c>
      <c r="M559" s="9">
        <v>0</v>
      </c>
      <c r="N559" s="9">
        <v>0</v>
      </c>
      <c r="O559" s="9">
        <v>0</v>
      </c>
      <c r="P559" s="9">
        <v>0</v>
      </c>
      <c r="Q559" s="9">
        <v>0</v>
      </c>
      <c r="R559" s="9">
        <v>0</v>
      </c>
      <c r="S559" s="9">
        <v>0</v>
      </c>
      <c r="T559" s="9">
        <v>0</v>
      </c>
      <c r="U559" s="33">
        <v>0</v>
      </c>
      <c r="V559" s="9">
        <v>0</v>
      </c>
      <c r="W559" s="9">
        <v>0</v>
      </c>
      <c r="X559" s="9">
        <v>0</v>
      </c>
      <c r="Y559" s="9">
        <v>0</v>
      </c>
      <c r="Z559" s="9">
        <v>0</v>
      </c>
      <c r="AA559" s="9">
        <v>0</v>
      </c>
      <c r="AB559" s="9">
        <v>0</v>
      </c>
      <c r="AC559" s="9">
        <v>0</v>
      </c>
      <c r="AD559" s="53" t="e">
        <f>#REF!*D559</f>
        <v>#REF!</v>
      </c>
      <c r="AE559" s="53" t="e">
        <f>AD559-#REF!</f>
        <v>#REF!</v>
      </c>
      <c r="AF559" s="9"/>
      <c r="AG559" s="33" t="e">
        <f>#REF!-D559</f>
        <v>#REF!</v>
      </c>
      <c r="AH559" s="9"/>
      <c r="AI559" s="9"/>
      <c r="AJ559" s="9"/>
      <c r="AK559" s="9"/>
    </row>
    <row r="560" spans="1:37" s="12" customFormat="1" ht="10.199999999999999" outlineLevel="1" x14ac:dyDescent="0.2">
      <c r="A560" s="61" t="s">
        <v>3347</v>
      </c>
      <c r="B560" s="14" t="s">
        <v>3023</v>
      </c>
      <c r="C560" s="9" t="s">
        <v>47</v>
      </c>
      <c r="D560" s="25">
        <f t="shared" si="128"/>
        <v>7</v>
      </c>
      <c r="E560" s="54"/>
      <c r="F560" s="78"/>
      <c r="G560" s="33">
        <v>0</v>
      </c>
      <c r="H560" s="33">
        <v>0</v>
      </c>
      <c r="I560" s="9">
        <v>0</v>
      </c>
      <c r="J560" s="9">
        <v>0</v>
      </c>
      <c r="K560" s="9">
        <v>0</v>
      </c>
      <c r="L560" s="9">
        <v>0</v>
      </c>
      <c r="M560" s="9">
        <v>0</v>
      </c>
      <c r="N560" s="9">
        <v>0</v>
      </c>
      <c r="O560" s="9">
        <v>0</v>
      </c>
      <c r="P560" s="9">
        <v>0</v>
      </c>
      <c r="Q560" s="9">
        <v>0</v>
      </c>
      <c r="R560" s="9">
        <v>0</v>
      </c>
      <c r="S560" s="9">
        <v>0</v>
      </c>
      <c r="T560" s="9">
        <v>0</v>
      </c>
      <c r="U560" s="33">
        <v>0</v>
      </c>
      <c r="V560" s="9">
        <v>0</v>
      </c>
      <c r="W560" s="9">
        <v>0</v>
      </c>
      <c r="X560" s="9">
        <v>0</v>
      </c>
      <c r="Y560" s="9">
        <v>7</v>
      </c>
      <c r="Z560" s="9">
        <v>0</v>
      </c>
      <c r="AA560" s="9">
        <v>0</v>
      </c>
      <c r="AB560" s="9">
        <v>0</v>
      </c>
      <c r="AC560" s="9">
        <v>0</v>
      </c>
      <c r="AD560" s="53" t="e">
        <f>#REF!*D560</f>
        <v>#REF!</v>
      </c>
      <c r="AE560" s="53" t="e">
        <f>AD560-#REF!</f>
        <v>#REF!</v>
      </c>
      <c r="AF560" s="9"/>
      <c r="AG560" s="33" t="e">
        <f>#REF!-D560</f>
        <v>#REF!</v>
      </c>
      <c r="AH560" s="9"/>
      <c r="AI560" s="9"/>
      <c r="AJ560" s="9"/>
      <c r="AK560" s="9"/>
    </row>
    <row r="561" spans="1:37" s="12" customFormat="1" ht="10.199999999999999" outlineLevel="1" x14ac:dyDescent="0.2">
      <c r="A561" s="61" t="s">
        <v>3348</v>
      </c>
      <c r="B561" s="14" t="s">
        <v>3024</v>
      </c>
      <c r="C561" s="9" t="s">
        <v>47</v>
      </c>
      <c r="D561" s="25">
        <f t="shared" si="128"/>
        <v>4</v>
      </c>
      <c r="E561" s="54"/>
      <c r="F561" s="78"/>
      <c r="G561" s="33">
        <v>0</v>
      </c>
      <c r="H561" s="33">
        <v>0</v>
      </c>
      <c r="I561" s="9">
        <v>0</v>
      </c>
      <c r="J561" s="9">
        <v>0</v>
      </c>
      <c r="K561" s="9">
        <v>0</v>
      </c>
      <c r="L561" s="9">
        <v>0</v>
      </c>
      <c r="M561" s="9">
        <v>0</v>
      </c>
      <c r="N561" s="9">
        <v>0</v>
      </c>
      <c r="O561" s="9">
        <v>0</v>
      </c>
      <c r="P561" s="9">
        <v>0</v>
      </c>
      <c r="Q561" s="9">
        <v>0</v>
      </c>
      <c r="R561" s="9">
        <v>0</v>
      </c>
      <c r="S561" s="9">
        <v>0</v>
      </c>
      <c r="T561" s="9">
        <v>0</v>
      </c>
      <c r="U561" s="33">
        <v>0</v>
      </c>
      <c r="V561" s="9">
        <v>0</v>
      </c>
      <c r="W561" s="9">
        <v>0</v>
      </c>
      <c r="X561" s="9">
        <v>0</v>
      </c>
      <c r="Y561" s="9">
        <v>4</v>
      </c>
      <c r="Z561" s="9">
        <v>0</v>
      </c>
      <c r="AA561" s="9">
        <v>0</v>
      </c>
      <c r="AB561" s="9">
        <v>0</v>
      </c>
      <c r="AC561" s="9">
        <v>0</v>
      </c>
      <c r="AD561" s="53" t="e">
        <f>#REF!*D561</f>
        <v>#REF!</v>
      </c>
      <c r="AE561" s="53" t="e">
        <f>AD561-#REF!</f>
        <v>#REF!</v>
      </c>
      <c r="AF561" s="9"/>
      <c r="AG561" s="33" t="e">
        <f>#REF!-D561</f>
        <v>#REF!</v>
      </c>
      <c r="AH561" s="9"/>
      <c r="AI561" s="9"/>
      <c r="AJ561" s="9"/>
      <c r="AK561" s="9"/>
    </row>
    <row r="562" spans="1:37" s="12" customFormat="1" ht="10.199999999999999" outlineLevel="1" x14ac:dyDescent="0.2">
      <c r="A562" s="61" t="s">
        <v>3349</v>
      </c>
      <c r="B562" s="231" t="s">
        <v>555</v>
      </c>
      <c r="C562" s="9" t="s">
        <v>47</v>
      </c>
      <c r="D562" s="25">
        <f t="shared" si="128"/>
        <v>12</v>
      </c>
      <c r="E562" s="54"/>
      <c r="F562" s="78"/>
      <c r="G562" s="33">
        <v>0</v>
      </c>
      <c r="H562" s="33">
        <v>0</v>
      </c>
      <c r="I562" s="9">
        <v>0</v>
      </c>
      <c r="J562" s="9">
        <v>0</v>
      </c>
      <c r="K562" s="9">
        <v>0</v>
      </c>
      <c r="L562" s="9">
        <v>0</v>
      </c>
      <c r="M562" s="9">
        <v>12</v>
      </c>
      <c r="N562" s="9">
        <v>0</v>
      </c>
      <c r="O562" s="9">
        <v>0</v>
      </c>
      <c r="P562" s="9">
        <v>0</v>
      </c>
      <c r="Q562" s="9">
        <v>0</v>
      </c>
      <c r="R562" s="9">
        <v>0</v>
      </c>
      <c r="S562" s="9">
        <v>0</v>
      </c>
      <c r="T562" s="9">
        <v>0</v>
      </c>
      <c r="U562" s="33">
        <v>0</v>
      </c>
      <c r="V562" s="9">
        <v>0</v>
      </c>
      <c r="W562" s="9">
        <v>0</v>
      </c>
      <c r="X562" s="9">
        <v>0</v>
      </c>
      <c r="Y562" s="9">
        <v>0</v>
      </c>
      <c r="Z562" s="9">
        <v>0</v>
      </c>
      <c r="AA562" s="9">
        <v>0</v>
      </c>
      <c r="AB562" s="9">
        <v>0</v>
      </c>
      <c r="AC562" s="9">
        <v>0</v>
      </c>
      <c r="AD562" s="53" t="e">
        <f>#REF!*D562</f>
        <v>#REF!</v>
      </c>
      <c r="AE562" s="53" t="e">
        <f>AD562-#REF!</f>
        <v>#REF!</v>
      </c>
      <c r="AF562" s="9"/>
      <c r="AG562" s="33" t="e">
        <f>#REF!-D562</f>
        <v>#REF!</v>
      </c>
      <c r="AH562" s="9"/>
      <c r="AI562" s="9"/>
      <c r="AJ562" s="9"/>
      <c r="AK562" s="9"/>
    </row>
    <row r="563" spans="1:37" s="12" customFormat="1" ht="10.199999999999999" outlineLevel="1" x14ac:dyDescent="0.2">
      <c r="A563" s="61" t="s">
        <v>3350</v>
      </c>
      <c r="B563" s="231" t="s">
        <v>545</v>
      </c>
      <c r="C563" s="9" t="s">
        <v>47</v>
      </c>
      <c r="D563" s="25">
        <f t="shared" si="128"/>
        <v>1</v>
      </c>
      <c r="E563" s="54"/>
      <c r="F563" s="78"/>
      <c r="G563" s="33">
        <v>0</v>
      </c>
      <c r="H563" s="33">
        <v>0</v>
      </c>
      <c r="I563" s="9">
        <v>0</v>
      </c>
      <c r="J563" s="9">
        <v>0</v>
      </c>
      <c r="K563" s="9">
        <v>0</v>
      </c>
      <c r="L563" s="9">
        <v>0</v>
      </c>
      <c r="M563" s="9">
        <v>1</v>
      </c>
      <c r="N563" s="9">
        <v>0</v>
      </c>
      <c r="O563" s="9">
        <v>0</v>
      </c>
      <c r="P563" s="9">
        <v>0</v>
      </c>
      <c r="Q563" s="9">
        <v>0</v>
      </c>
      <c r="R563" s="9">
        <v>0</v>
      </c>
      <c r="S563" s="9">
        <v>0</v>
      </c>
      <c r="T563" s="9">
        <v>0</v>
      </c>
      <c r="U563" s="33">
        <v>0</v>
      </c>
      <c r="V563" s="9">
        <v>0</v>
      </c>
      <c r="W563" s="9">
        <v>0</v>
      </c>
      <c r="X563" s="9">
        <v>0</v>
      </c>
      <c r="Y563" s="9">
        <v>0</v>
      </c>
      <c r="Z563" s="9">
        <v>0</v>
      </c>
      <c r="AA563" s="9">
        <v>0</v>
      </c>
      <c r="AB563" s="9">
        <v>0</v>
      </c>
      <c r="AC563" s="9">
        <v>0</v>
      </c>
      <c r="AD563" s="53" t="e">
        <f>#REF!*D563</f>
        <v>#REF!</v>
      </c>
      <c r="AE563" s="53" t="e">
        <f>AD563-#REF!</f>
        <v>#REF!</v>
      </c>
      <c r="AF563" s="9"/>
      <c r="AG563" s="33" t="e">
        <f>#REF!-D563</f>
        <v>#REF!</v>
      </c>
      <c r="AH563" s="9"/>
      <c r="AI563" s="9"/>
      <c r="AJ563" s="9"/>
      <c r="AK563" s="9"/>
    </row>
    <row r="564" spans="1:37" s="12" customFormat="1" ht="10.199999999999999" outlineLevel="1" x14ac:dyDescent="0.2">
      <c r="A564" s="61" t="s">
        <v>3351</v>
      </c>
      <c r="B564" s="231" t="s">
        <v>546</v>
      </c>
      <c r="C564" s="9" t="s">
        <v>47</v>
      </c>
      <c r="D564" s="25">
        <f t="shared" si="128"/>
        <v>1</v>
      </c>
      <c r="E564" s="54"/>
      <c r="F564" s="78"/>
      <c r="G564" s="33">
        <v>0</v>
      </c>
      <c r="H564" s="33">
        <v>0</v>
      </c>
      <c r="I564" s="9">
        <v>0</v>
      </c>
      <c r="J564" s="9">
        <v>0</v>
      </c>
      <c r="K564" s="9">
        <v>0</v>
      </c>
      <c r="L564" s="9">
        <v>0</v>
      </c>
      <c r="M564" s="9">
        <v>1</v>
      </c>
      <c r="N564" s="9">
        <v>0</v>
      </c>
      <c r="O564" s="9">
        <v>0</v>
      </c>
      <c r="P564" s="9">
        <v>0</v>
      </c>
      <c r="Q564" s="9">
        <v>0</v>
      </c>
      <c r="R564" s="9">
        <v>0</v>
      </c>
      <c r="S564" s="9">
        <v>0</v>
      </c>
      <c r="T564" s="9">
        <v>0</v>
      </c>
      <c r="U564" s="33">
        <v>0</v>
      </c>
      <c r="V564" s="9">
        <v>0</v>
      </c>
      <c r="W564" s="9">
        <v>0</v>
      </c>
      <c r="X564" s="9">
        <v>0</v>
      </c>
      <c r="Y564" s="9">
        <v>0</v>
      </c>
      <c r="Z564" s="9">
        <v>0</v>
      </c>
      <c r="AA564" s="9">
        <v>0</v>
      </c>
      <c r="AB564" s="9">
        <v>0</v>
      </c>
      <c r="AC564" s="9">
        <v>0</v>
      </c>
      <c r="AD564" s="53" t="e">
        <f>#REF!*D564</f>
        <v>#REF!</v>
      </c>
      <c r="AE564" s="53" t="e">
        <f>AD564-#REF!</f>
        <v>#REF!</v>
      </c>
      <c r="AF564" s="9"/>
      <c r="AG564" s="33" t="e">
        <f>#REF!-D564</f>
        <v>#REF!</v>
      </c>
      <c r="AH564" s="9"/>
      <c r="AI564" s="9"/>
      <c r="AJ564" s="9"/>
      <c r="AK564" s="9"/>
    </row>
    <row r="565" spans="1:37" s="12" customFormat="1" ht="10.199999999999999" outlineLevel="1" x14ac:dyDescent="0.2">
      <c r="A565" s="61" t="s">
        <v>3352</v>
      </c>
      <c r="B565" s="231" t="s">
        <v>547</v>
      </c>
      <c r="C565" s="9" t="s">
        <v>47</v>
      </c>
      <c r="D565" s="25">
        <f t="shared" si="128"/>
        <v>3</v>
      </c>
      <c r="E565" s="54"/>
      <c r="F565" s="78"/>
      <c r="G565" s="33">
        <v>0</v>
      </c>
      <c r="H565" s="33">
        <v>0</v>
      </c>
      <c r="I565" s="9">
        <v>0</v>
      </c>
      <c r="J565" s="9">
        <v>0</v>
      </c>
      <c r="K565" s="9">
        <v>0</v>
      </c>
      <c r="L565" s="9">
        <v>0</v>
      </c>
      <c r="M565" s="9">
        <v>3</v>
      </c>
      <c r="N565" s="9">
        <v>0</v>
      </c>
      <c r="O565" s="9">
        <v>0</v>
      </c>
      <c r="P565" s="9">
        <v>0</v>
      </c>
      <c r="Q565" s="9">
        <v>0</v>
      </c>
      <c r="R565" s="9">
        <v>0</v>
      </c>
      <c r="S565" s="9">
        <v>0</v>
      </c>
      <c r="T565" s="9">
        <v>0</v>
      </c>
      <c r="U565" s="33">
        <v>0</v>
      </c>
      <c r="V565" s="9">
        <v>0</v>
      </c>
      <c r="W565" s="9">
        <v>0</v>
      </c>
      <c r="X565" s="9">
        <v>0</v>
      </c>
      <c r="Y565" s="9">
        <v>0</v>
      </c>
      <c r="Z565" s="9">
        <v>0</v>
      </c>
      <c r="AA565" s="9">
        <v>0</v>
      </c>
      <c r="AB565" s="9">
        <v>0</v>
      </c>
      <c r="AC565" s="9">
        <v>0</v>
      </c>
      <c r="AD565" s="53" t="e">
        <f>#REF!*D565</f>
        <v>#REF!</v>
      </c>
      <c r="AE565" s="53" t="e">
        <f>AD565-#REF!</f>
        <v>#REF!</v>
      </c>
      <c r="AF565" s="9"/>
      <c r="AG565" s="33" t="e">
        <f>#REF!-D565</f>
        <v>#REF!</v>
      </c>
      <c r="AH565" s="9"/>
      <c r="AI565" s="9"/>
      <c r="AJ565" s="9"/>
      <c r="AK565" s="9"/>
    </row>
    <row r="566" spans="1:37" s="17" customFormat="1" ht="10.199999999999999" outlineLevel="1" x14ac:dyDescent="0.2">
      <c r="A566" s="61" t="s">
        <v>3353</v>
      </c>
      <c r="B566" s="14" t="s">
        <v>3029</v>
      </c>
      <c r="C566" s="8" t="s">
        <v>47</v>
      </c>
      <c r="D566" s="25">
        <f t="shared" si="128"/>
        <v>8</v>
      </c>
      <c r="E566" s="54"/>
      <c r="F566" s="78"/>
      <c r="G566" s="33">
        <v>0</v>
      </c>
      <c r="H566" s="33">
        <v>0</v>
      </c>
      <c r="I566" s="9">
        <v>0</v>
      </c>
      <c r="J566" s="9">
        <v>0</v>
      </c>
      <c r="K566" s="9">
        <v>0</v>
      </c>
      <c r="L566" s="9">
        <v>0</v>
      </c>
      <c r="M566" s="9">
        <v>0</v>
      </c>
      <c r="N566" s="9">
        <v>0</v>
      </c>
      <c r="O566" s="9">
        <v>0</v>
      </c>
      <c r="P566" s="9">
        <v>0</v>
      </c>
      <c r="Q566" s="9">
        <v>0</v>
      </c>
      <c r="R566" s="9">
        <v>0</v>
      </c>
      <c r="S566" s="9">
        <v>0</v>
      </c>
      <c r="T566" s="9">
        <v>0</v>
      </c>
      <c r="U566" s="33">
        <v>0</v>
      </c>
      <c r="V566" s="9">
        <v>0</v>
      </c>
      <c r="W566" s="9">
        <v>0</v>
      </c>
      <c r="X566" s="9">
        <v>0</v>
      </c>
      <c r="Y566" s="9">
        <v>0</v>
      </c>
      <c r="Z566" s="9">
        <v>8</v>
      </c>
      <c r="AA566" s="9">
        <v>0</v>
      </c>
      <c r="AB566" s="9">
        <v>0</v>
      </c>
      <c r="AC566" s="9">
        <v>0</v>
      </c>
      <c r="AD566" s="53" t="e">
        <f>#REF!*D566</f>
        <v>#REF!</v>
      </c>
      <c r="AE566" s="53" t="e">
        <f>AD566-#REF!</f>
        <v>#REF!</v>
      </c>
      <c r="AF566" s="8"/>
      <c r="AG566" s="33" t="e">
        <f>#REF!-D566</f>
        <v>#REF!</v>
      </c>
      <c r="AH566" s="8"/>
      <c r="AI566" s="8"/>
      <c r="AJ566" s="8"/>
      <c r="AK566" s="8"/>
    </row>
    <row r="567" spans="1:37" s="17" customFormat="1" ht="10.199999999999999" outlineLevel="1" x14ac:dyDescent="0.2">
      <c r="A567" s="61" t="s">
        <v>3354</v>
      </c>
      <c r="B567" s="14" t="s">
        <v>3030</v>
      </c>
      <c r="C567" s="8" t="s">
        <v>47</v>
      </c>
      <c r="D567" s="25">
        <f t="shared" si="128"/>
        <v>2</v>
      </c>
      <c r="E567" s="54"/>
      <c r="F567" s="78"/>
      <c r="G567" s="33">
        <v>0</v>
      </c>
      <c r="H567" s="33">
        <v>0</v>
      </c>
      <c r="I567" s="9">
        <v>0</v>
      </c>
      <c r="J567" s="9">
        <v>0</v>
      </c>
      <c r="K567" s="9">
        <v>0</v>
      </c>
      <c r="L567" s="9">
        <v>0</v>
      </c>
      <c r="M567" s="9">
        <v>0</v>
      </c>
      <c r="N567" s="9">
        <v>0</v>
      </c>
      <c r="O567" s="9">
        <v>0</v>
      </c>
      <c r="P567" s="9">
        <v>0</v>
      </c>
      <c r="Q567" s="9">
        <v>0</v>
      </c>
      <c r="R567" s="9">
        <v>0</v>
      </c>
      <c r="S567" s="9">
        <v>0</v>
      </c>
      <c r="T567" s="9">
        <v>0</v>
      </c>
      <c r="U567" s="33">
        <v>0</v>
      </c>
      <c r="V567" s="9">
        <v>0</v>
      </c>
      <c r="W567" s="9">
        <v>0</v>
      </c>
      <c r="X567" s="9">
        <v>0</v>
      </c>
      <c r="Y567" s="9">
        <v>0</v>
      </c>
      <c r="Z567" s="9">
        <v>2</v>
      </c>
      <c r="AA567" s="9">
        <v>0</v>
      </c>
      <c r="AB567" s="9">
        <v>0</v>
      </c>
      <c r="AC567" s="9">
        <v>0</v>
      </c>
      <c r="AD567" s="53" t="e">
        <f>#REF!*D567</f>
        <v>#REF!</v>
      </c>
      <c r="AE567" s="53" t="e">
        <f>AD567-#REF!</f>
        <v>#REF!</v>
      </c>
      <c r="AF567" s="8"/>
      <c r="AG567" s="33" t="e">
        <f>#REF!-D567</f>
        <v>#REF!</v>
      </c>
      <c r="AH567" s="8"/>
      <c r="AI567" s="8"/>
      <c r="AJ567" s="8"/>
      <c r="AK567" s="8"/>
    </row>
    <row r="568" spans="1:37" s="12" customFormat="1" ht="10.199999999999999" outlineLevel="1" x14ac:dyDescent="0.2">
      <c r="A568" s="61" t="s">
        <v>3355</v>
      </c>
      <c r="B568" s="231" t="s">
        <v>549</v>
      </c>
      <c r="C568" s="9" t="s">
        <v>47</v>
      </c>
      <c r="D568" s="25">
        <f t="shared" si="128"/>
        <v>12</v>
      </c>
      <c r="E568" s="54"/>
      <c r="F568" s="78"/>
      <c r="G568" s="33">
        <v>0</v>
      </c>
      <c r="H568" s="33">
        <v>0</v>
      </c>
      <c r="I568" s="9">
        <v>0</v>
      </c>
      <c r="J568" s="9">
        <v>0</v>
      </c>
      <c r="K568" s="9">
        <v>0</v>
      </c>
      <c r="L568" s="9">
        <v>0</v>
      </c>
      <c r="M568" s="9">
        <v>0</v>
      </c>
      <c r="N568" s="9">
        <v>12</v>
      </c>
      <c r="O568" s="9">
        <v>0</v>
      </c>
      <c r="P568" s="9">
        <v>0</v>
      </c>
      <c r="Q568" s="9">
        <v>0</v>
      </c>
      <c r="R568" s="9">
        <v>0</v>
      </c>
      <c r="S568" s="9">
        <v>0</v>
      </c>
      <c r="T568" s="9">
        <v>0</v>
      </c>
      <c r="U568" s="33">
        <v>0</v>
      </c>
      <c r="V568" s="9">
        <v>0</v>
      </c>
      <c r="W568" s="9">
        <v>0</v>
      </c>
      <c r="X568" s="9">
        <v>0</v>
      </c>
      <c r="Y568" s="9">
        <v>0</v>
      </c>
      <c r="Z568" s="9">
        <v>0</v>
      </c>
      <c r="AA568" s="9">
        <v>0</v>
      </c>
      <c r="AB568" s="9">
        <v>0</v>
      </c>
      <c r="AC568" s="9">
        <v>0</v>
      </c>
      <c r="AD568" s="53" t="e">
        <f>#REF!*D568</f>
        <v>#REF!</v>
      </c>
      <c r="AE568" s="53" t="e">
        <f>AD568-#REF!</f>
        <v>#REF!</v>
      </c>
      <c r="AF568" s="9"/>
      <c r="AG568" s="33" t="e">
        <f>#REF!-D568</f>
        <v>#REF!</v>
      </c>
      <c r="AH568" s="9"/>
      <c r="AI568" s="9"/>
      <c r="AJ568" s="9"/>
      <c r="AK568" s="9"/>
    </row>
    <row r="569" spans="1:37" s="12" customFormat="1" ht="10.199999999999999" outlineLevel="1" x14ac:dyDescent="0.2">
      <c r="A569" s="61" t="s">
        <v>3356</v>
      </c>
      <c r="B569" s="231" t="s">
        <v>550</v>
      </c>
      <c r="C569" s="9" t="s">
        <v>47</v>
      </c>
      <c r="D569" s="25">
        <f t="shared" si="128"/>
        <v>1</v>
      </c>
      <c r="E569" s="54"/>
      <c r="F569" s="78"/>
      <c r="G569" s="33">
        <v>0</v>
      </c>
      <c r="H569" s="33">
        <v>0</v>
      </c>
      <c r="I569" s="9">
        <v>0</v>
      </c>
      <c r="J569" s="9">
        <v>0</v>
      </c>
      <c r="K569" s="9">
        <v>0</v>
      </c>
      <c r="L569" s="9">
        <v>0</v>
      </c>
      <c r="M569" s="9">
        <v>0</v>
      </c>
      <c r="N569" s="9">
        <v>1</v>
      </c>
      <c r="O569" s="9">
        <v>0</v>
      </c>
      <c r="P569" s="9">
        <v>0</v>
      </c>
      <c r="Q569" s="9">
        <v>0</v>
      </c>
      <c r="R569" s="9">
        <v>0</v>
      </c>
      <c r="S569" s="9">
        <v>0</v>
      </c>
      <c r="T569" s="9">
        <v>0</v>
      </c>
      <c r="U569" s="33">
        <v>0</v>
      </c>
      <c r="V569" s="9">
        <v>0</v>
      </c>
      <c r="W569" s="9">
        <v>0</v>
      </c>
      <c r="X569" s="9">
        <v>0</v>
      </c>
      <c r="Y569" s="9">
        <v>0</v>
      </c>
      <c r="Z569" s="9">
        <v>0</v>
      </c>
      <c r="AA569" s="9">
        <v>0</v>
      </c>
      <c r="AB569" s="9">
        <v>0</v>
      </c>
      <c r="AC569" s="9">
        <v>0</v>
      </c>
      <c r="AD569" s="53" t="e">
        <f>#REF!*D569</f>
        <v>#REF!</v>
      </c>
      <c r="AE569" s="53" t="e">
        <f>AD569-#REF!</f>
        <v>#REF!</v>
      </c>
      <c r="AF569" s="9"/>
      <c r="AG569" s="33" t="e">
        <f>#REF!-D569</f>
        <v>#REF!</v>
      </c>
      <c r="AH569" s="9"/>
      <c r="AI569" s="9"/>
      <c r="AJ569" s="9"/>
      <c r="AK569" s="9"/>
    </row>
    <row r="570" spans="1:37" s="12" customFormat="1" ht="10.199999999999999" outlineLevel="1" x14ac:dyDescent="0.2">
      <c r="A570" s="61" t="s">
        <v>3357</v>
      </c>
      <c r="B570" s="231" t="s">
        <v>551</v>
      </c>
      <c r="C570" s="9" t="s">
        <v>47</v>
      </c>
      <c r="D570" s="25">
        <f t="shared" si="128"/>
        <v>1</v>
      </c>
      <c r="E570" s="54"/>
      <c r="F570" s="78"/>
      <c r="G570" s="33">
        <v>0</v>
      </c>
      <c r="H570" s="33">
        <v>0</v>
      </c>
      <c r="I570" s="9">
        <v>0</v>
      </c>
      <c r="J570" s="9">
        <v>0</v>
      </c>
      <c r="K570" s="9">
        <v>0</v>
      </c>
      <c r="L570" s="9">
        <v>0</v>
      </c>
      <c r="M570" s="9">
        <v>0</v>
      </c>
      <c r="N570" s="9">
        <v>1</v>
      </c>
      <c r="O570" s="9">
        <v>0</v>
      </c>
      <c r="P570" s="9">
        <v>0</v>
      </c>
      <c r="Q570" s="9">
        <v>0</v>
      </c>
      <c r="R570" s="9">
        <v>0</v>
      </c>
      <c r="S570" s="9">
        <v>0</v>
      </c>
      <c r="T570" s="9">
        <v>0</v>
      </c>
      <c r="U570" s="33">
        <v>0</v>
      </c>
      <c r="V570" s="9">
        <v>0</v>
      </c>
      <c r="W570" s="9">
        <v>0</v>
      </c>
      <c r="X570" s="9">
        <v>0</v>
      </c>
      <c r="Y570" s="9">
        <v>0</v>
      </c>
      <c r="Z570" s="9">
        <v>0</v>
      </c>
      <c r="AA570" s="9">
        <v>0</v>
      </c>
      <c r="AB570" s="9">
        <v>0</v>
      </c>
      <c r="AC570" s="9">
        <v>0</v>
      </c>
      <c r="AD570" s="53" t="e">
        <f>#REF!*D570</f>
        <v>#REF!</v>
      </c>
      <c r="AE570" s="53" t="e">
        <f>AD570-#REF!</f>
        <v>#REF!</v>
      </c>
      <c r="AF570" s="9"/>
      <c r="AG570" s="33" t="e">
        <f>#REF!-D570</f>
        <v>#REF!</v>
      </c>
      <c r="AH570" s="9"/>
      <c r="AI570" s="9"/>
      <c r="AJ570" s="9"/>
      <c r="AK570" s="9"/>
    </row>
    <row r="571" spans="1:37" s="12" customFormat="1" ht="10.199999999999999" outlineLevel="1" x14ac:dyDescent="0.2">
      <c r="A571" s="61" t="s">
        <v>3358</v>
      </c>
      <c r="B571" s="231" t="s">
        <v>552</v>
      </c>
      <c r="C571" s="9" t="s">
        <v>47</v>
      </c>
      <c r="D571" s="25">
        <f t="shared" si="128"/>
        <v>3</v>
      </c>
      <c r="E571" s="54"/>
      <c r="F571" s="78"/>
      <c r="G571" s="33">
        <v>0</v>
      </c>
      <c r="H571" s="33">
        <v>0</v>
      </c>
      <c r="I571" s="9">
        <v>0</v>
      </c>
      <c r="J571" s="9">
        <v>0</v>
      </c>
      <c r="K571" s="9">
        <v>0</v>
      </c>
      <c r="L571" s="9">
        <v>0</v>
      </c>
      <c r="M571" s="9">
        <v>0</v>
      </c>
      <c r="N571" s="9">
        <v>3</v>
      </c>
      <c r="O571" s="9">
        <v>0</v>
      </c>
      <c r="P571" s="9">
        <v>0</v>
      </c>
      <c r="Q571" s="9">
        <v>0</v>
      </c>
      <c r="R571" s="9">
        <v>0</v>
      </c>
      <c r="S571" s="9">
        <v>0</v>
      </c>
      <c r="T571" s="9">
        <v>0</v>
      </c>
      <c r="U571" s="33">
        <v>0</v>
      </c>
      <c r="V571" s="9">
        <v>0</v>
      </c>
      <c r="W571" s="9">
        <v>0</v>
      </c>
      <c r="X571" s="9">
        <v>0</v>
      </c>
      <c r="Y571" s="9">
        <v>0</v>
      </c>
      <c r="Z571" s="9">
        <v>0</v>
      </c>
      <c r="AA571" s="9">
        <v>0</v>
      </c>
      <c r="AB571" s="9">
        <v>0</v>
      </c>
      <c r="AC571" s="9">
        <v>0</v>
      </c>
      <c r="AD571" s="53" t="e">
        <f>#REF!*D571</f>
        <v>#REF!</v>
      </c>
      <c r="AE571" s="53" t="e">
        <f>AD571-#REF!</f>
        <v>#REF!</v>
      </c>
      <c r="AF571" s="9"/>
      <c r="AG571" s="33" t="e">
        <f>#REF!-D571</f>
        <v>#REF!</v>
      </c>
      <c r="AH571" s="9"/>
      <c r="AI571" s="9"/>
      <c r="AJ571" s="9"/>
      <c r="AK571" s="9"/>
    </row>
    <row r="572" spans="1:37" s="17" customFormat="1" ht="10.199999999999999" outlineLevel="1" x14ac:dyDescent="0.2">
      <c r="A572" s="61" t="s">
        <v>3359</v>
      </c>
      <c r="B572" s="14" t="s">
        <v>3035</v>
      </c>
      <c r="C572" s="8" t="s">
        <v>47</v>
      </c>
      <c r="D572" s="25">
        <f t="shared" si="128"/>
        <v>2</v>
      </c>
      <c r="E572" s="54"/>
      <c r="F572" s="78"/>
      <c r="G572" s="33">
        <v>0</v>
      </c>
      <c r="H572" s="33">
        <v>0</v>
      </c>
      <c r="I572" s="9">
        <v>0</v>
      </c>
      <c r="J572" s="9">
        <v>0</v>
      </c>
      <c r="K572" s="9">
        <v>0</v>
      </c>
      <c r="L572" s="9">
        <v>0</v>
      </c>
      <c r="M572" s="9">
        <v>0</v>
      </c>
      <c r="N572" s="9">
        <v>0</v>
      </c>
      <c r="O572" s="9">
        <v>0</v>
      </c>
      <c r="P572" s="9">
        <v>0</v>
      </c>
      <c r="Q572" s="9">
        <v>0</v>
      </c>
      <c r="R572" s="9">
        <v>0</v>
      </c>
      <c r="S572" s="9">
        <v>0</v>
      </c>
      <c r="T572" s="9">
        <v>0</v>
      </c>
      <c r="U572" s="33">
        <v>0</v>
      </c>
      <c r="V572" s="9">
        <v>0</v>
      </c>
      <c r="W572" s="9">
        <v>0</v>
      </c>
      <c r="X572" s="9">
        <v>0</v>
      </c>
      <c r="Y572" s="9">
        <v>0</v>
      </c>
      <c r="Z572" s="9">
        <v>0</v>
      </c>
      <c r="AA572" s="9">
        <v>2</v>
      </c>
      <c r="AB572" s="9">
        <v>0</v>
      </c>
      <c r="AC572" s="9">
        <v>0</v>
      </c>
      <c r="AD572" s="53" t="e">
        <f>#REF!*D572</f>
        <v>#REF!</v>
      </c>
      <c r="AE572" s="53" t="e">
        <f>AD572-#REF!</f>
        <v>#REF!</v>
      </c>
      <c r="AF572" s="8"/>
      <c r="AG572" s="33" t="e">
        <f>#REF!-D572</f>
        <v>#REF!</v>
      </c>
      <c r="AH572" s="8"/>
      <c r="AI572" s="8"/>
      <c r="AJ572" s="8"/>
      <c r="AK572" s="8"/>
    </row>
    <row r="573" spans="1:37" s="17" customFormat="1" ht="10.199999999999999" outlineLevel="1" x14ac:dyDescent="0.2">
      <c r="A573" s="61" t="s">
        <v>3360</v>
      </c>
      <c r="B573" s="14" t="s">
        <v>3036</v>
      </c>
      <c r="C573" s="8" t="s">
        <v>47</v>
      </c>
      <c r="D573" s="25">
        <f t="shared" si="128"/>
        <v>3</v>
      </c>
      <c r="E573" s="54"/>
      <c r="F573" s="78"/>
      <c r="G573" s="33">
        <v>0</v>
      </c>
      <c r="H573" s="33">
        <v>0</v>
      </c>
      <c r="I573" s="9">
        <v>0</v>
      </c>
      <c r="J573" s="9">
        <v>0</v>
      </c>
      <c r="K573" s="9">
        <v>0</v>
      </c>
      <c r="L573" s="9">
        <v>0</v>
      </c>
      <c r="M573" s="9">
        <v>0</v>
      </c>
      <c r="N573" s="9">
        <v>0</v>
      </c>
      <c r="O573" s="9">
        <v>0</v>
      </c>
      <c r="P573" s="9">
        <v>0</v>
      </c>
      <c r="Q573" s="9">
        <v>0</v>
      </c>
      <c r="R573" s="9">
        <v>0</v>
      </c>
      <c r="S573" s="9">
        <v>0</v>
      </c>
      <c r="T573" s="9">
        <v>0</v>
      </c>
      <c r="U573" s="33">
        <v>0</v>
      </c>
      <c r="V573" s="9">
        <v>0</v>
      </c>
      <c r="W573" s="9">
        <v>0</v>
      </c>
      <c r="X573" s="9">
        <v>0</v>
      </c>
      <c r="Y573" s="9">
        <v>0</v>
      </c>
      <c r="Z573" s="9">
        <v>0</v>
      </c>
      <c r="AA573" s="9">
        <v>3</v>
      </c>
      <c r="AB573" s="9">
        <v>0</v>
      </c>
      <c r="AC573" s="9">
        <v>0</v>
      </c>
      <c r="AD573" s="53" t="e">
        <f>#REF!*D573</f>
        <v>#REF!</v>
      </c>
      <c r="AE573" s="53" t="e">
        <f>AD573-#REF!</f>
        <v>#REF!</v>
      </c>
      <c r="AF573" s="8"/>
      <c r="AG573" s="33" t="e">
        <f>#REF!-D573</f>
        <v>#REF!</v>
      </c>
      <c r="AH573" s="8"/>
      <c r="AI573" s="8"/>
      <c r="AJ573" s="8"/>
      <c r="AK573" s="8"/>
    </row>
    <row r="574" spans="1:37" s="17" customFormat="1" ht="10.199999999999999" outlineLevel="1" x14ac:dyDescent="0.2">
      <c r="A574" s="61" t="s">
        <v>3361</v>
      </c>
      <c r="B574" s="14" t="s">
        <v>3037</v>
      </c>
      <c r="C574" s="8" t="s">
        <v>47</v>
      </c>
      <c r="D574" s="25">
        <f t="shared" si="128"/>
        <v>5</v>
      </c>
      <c r="E574" s="54"/>
      <c r="F574" s="78"/>
      <c r="G574" s="33">
        <v>0</v>
      </c>
      <c r="H574" s="33">
        <v>0</v>
      </c>
      <c r="I574" s="9">
        <v>0</v>
      </c>
      <c r="J574" s="9">
        <v>0</v>
      </c>
      <c r="K574" s="9">
        <v>0</v>
      </c>
      <c r="L574" s="9">
        <v>0</v>
      </c>
      <c r="M574" s="9">
        <v>0</v>
      </c>
      <c r="N574" s="9">
        <v>0</v>
      </c>
      <c r="O574" s="9">
        <v>0</v>
      </c>
      <c r="P574" s="9">
        <v>0</v>
      </c>
      <c r="Q574" s="9">
        <v>0</v>
      </c>
      <c r="R574" s="9">
        <v>0</v>
      </c>
      <c r="S574" s="9">
        <v>0</v>
      </c>
      <c r="T574" s="9">
        <v>0</v>
      </c>
      <c r="U574" s="33">
        <v>0</v>
      </c>
      <c r="V574" s="9">
        <v>0</v>
      </c>
      <c r="W574" s="9">
        <v>0</v>
      </c>
      <c r="X574" s="9">
        <v>0</v>
      </c>
      <c r="Y574" s="9">
        <v>0</v>
      </c>
      <c r="Z574" s="9">
        <v>0</v>
      </c>
      <c r="AA574" s="9">
        <v>5</v>
      </c>
      <c r="AB574" s="9">
        <v>0</v>
      </c>
      <c r="AC574" s="9">
        <v>0</v>
      </c>
      <c r="AD574" s="53" t="e">
        <f>#REF!*D574</f>
        <v>#REF!</v>
      </c>
      <c r="AE574" s="53" t="e">
        <f>AD574-#REF!</f>
        <v>#REF!</v>
      </c>
      <c r="AF574" s="8"/>
      <c r="AG574" s="33" t="e">
        <f>#REF!-D574</f>
        <v>#REF!</v>
      </c>
      <c r="AH574" s="8"/>
      <c r="AI574" s="8"/>
      <c r="AJ574" s="8"/>
      <c r="AK574" s="8"/>
    </row>
    <row r="575" spans="1:37" s="17" customFormat="1" ht="10.199999999999999" outlineLevel="1" x14ac:dyDescent="0.2">
      <c r="A575" s="61" t="s">
        <v>3362</v>
      </c>
      <c r="B575" s="14" t="s">
        <v>3038</v>
      </c>
      <c r="C575" s="8" t="s">
        <v>47</v>
      </c>
      <c r="D575" s="25">
        <f t="shared" si="128"/>
        <v>1</v>
      </c>
      <c r="E575" s="54"/>
      <c r="F575" s="78"/>
      <c r="G575" s="33">
        <v>0</v>
      </c>
      <c r="H575" s="33">
        <v>0</v>
      </c>
      <c r="I575" s="9">
        <v>0</v>
      </c>
      <c r="J575" s="9">
        <v>0</v>
      </c>
      <c r="K575" s="9">
        <v>0</v>
      </c>
      <c r="L575" s="9">
        <v>0</v>
      </c>
      <c r="M575" s="9">
        <v>0</v>
      </c>
      <c r="N575" s="9">
        <v>0</v>
      </c>
      <c r="O575" s="9">
        <v>0</v>
      </c>
      <c r="P575" s="9">
        <v>0</v>
      </c>
      <c r="Q575" s="9">
        <v>0</v>
      </c>
      <c r="R575" s="9">
        <v>0</v>
      </c>
      <c r="S575" s="9">
        <v>0</v>
      </c>
      <c r="T575" s="9">
        <v>0</v>
      </c>
      <c r="U575" s="33">
        <v>0</v>
      </c>
      <c r="V575" s="9">
        <v>0</v>
      </c>
      <c r="W575" s="9">
        <v>0</v>
      </c>
      <c r="X575" s="9">
        <v>0</v>
      </c>
      <c r="Y575" s="9">
        <v>0</v>
      </c>
      <c r="Z575" s="9">
        <v>0</v>
      </c>
      <c r="AA575" s="9">
        <v>1</v>
      </c>
      <c r="AB575" s="9">
        <v>0</v>
      </c>
      <c r="AC575" s="9">
        <v>0</v>
      </c>
      <c r="AD575" s="53" t="e">
        <f>#REF!*D575</f>
        <v>#REF!</v>
      </c>
      <c r="AE575" s="53" t="e">
        <f>AD575-#REF!</f>
        <v>#REF!</v>
      </c>
      <c r="AF575" s="8"/>
      <c r="AG575" s="33" t="e">
        <f>#REF!-D575</f>
        <v>#REF!</v>
      </c>
      <c r="AH575" s="8"/>
      <c r="AI575" s="8"/>
      <c r="AJ575" s="8"/>
      <c r="AK575" s="8"/>
    </row>
    <row r="576" spans="1:37" s="12" customFormat="1" ht="10.199999999999999" outlineLevel="1" x14ac:dyDescent="0.2">
      <c r="A576" s="61" t="s">
        <v>3363</v>
      </c>
      <c r="B576" s="231" t="s">
        <v>556</v>
      </c>
      <c r="C576" s="9" t="s">
        <v>47</v>
      </c>
      <c r="D576" s="25">
        <f t="shared" si="128"/>
        <v>11</v>
      </c>
      <c r="E576" s="54"/>
      <c r="F576" s="78"/>
      <c r="G576" s="33">
        <v>0</v>
      </c>
      <c r="H576" s="33">
        <v>0</v>
      </c>
      <c r="I576" s="9">
        <v>0</v>
      </c>
      <c r="J576" s="9">
        <v>0</v>
      </c>
      <c r="K576" s="9">
        <v>0</v>
      </c>
      <c r="L576" s="9">
        <v>0</v>
      </c>
      <c r="M576" s="9">
        <v>0</v>
      </c>
      <c r="N576" s="9">
        <v>0</v>
      </c>
      <c r="O576" s="9">
        <v>11</v>
      </c>
      <c r="P576" s="9">
        <v>0</v>
      </c>
      <c r="Q576" s="9">
        <v>0</v>
      </c>
      <c r="R576" s="9">
        <v>0</v>
      </c>
      <c r="S576" s="9">
        <v>0</v>
      </c>
      <c r="T576" s="9">
        <v>0</v>
      </c>
      <c r="U576" s="33">
        <v>0</v>
      </c>
      <c r="V576" s="9">
        <v>0</v>
      </c>
      <c r="W576" s="9">
        <v>0</v>
      </c>
      <c r="X576" s="9">
        <v>0</v>
      </c>
      <c r="Y576" s="9">
        <v>0</v>
      </c>
      <c r="Z576" s="9">
        <v>0</v>
      </c>
      <c r="AA576" s="9">
        <v>0</v>
      </c>
      <c r="AB576" s="9">
        <v>0</v>
      </c>
      <c r="AC576" s="9">
        <v>0</v>
      </c>
      <c r="AD576" s="53" t="e">
        <f>#REF!*D576</f>
        <v>#REF!</v>
      </c>
      <c r="AE576" s="53" t="e">
        <f>AD576-#REF!</f>
        <v>#REF!</v>
      </c>
      <c r="AF576" s="9"/>
      <c r="AG576" s="33" t="e">
        <f>#REF!-D576</f>
        <v>#REF!</v>
      </c>
      <c r="AH576" s="9"/>
      <c r="AI576" s="9"/>
      <c r="AJ576" s="9"/>
      <c r="AK576" s="9"/>
    </row>
    <row r="577" spans="1:37" s="17" customFormat="1" ht="10.199999999999999" outlineLevel="1" x14ac:dyDescent="0.2">
      <c r="A577" s="61" t="s">
        <v>3364</v>
      </c>
      <c r="B577" s="231" t="s">
        <v>557</v>
      </c>
      <c r="C577" s="8" t="s">
        <v>47</v>
      </c>
      <c r="D577" s="25">
        <f t="shared" si="128"/>
        <v>1</v>
      </c>
      <c r="E577" s="54"/>
      <c r="F577" s="78"/>
      <c r="G577" s="33">
        <v>0</v>
      </c>
      <c r="H577" s="33">
        <v>0</v>
      </c>
      <c r="I577" s="9">
        <v>0</v>
      </c>
      <c r="J577" s="9">
        <v>0</v>
      </c>
      <c r="K577" s="9">
        <v>0</v>
      </c>
      <c r="L577" s="9">
        <v>0</v>
      </c>
      <c r="M577" s="9">
        <v>0</v>
      </c>
      <c r="N577" s="9">
        <v>0</v>
      </c>
      <c r="O577" s="9">
        <v>1</v>
      </c>
      <c r="P577" s="9">
        <v>0</v>
      </c>
      <c r="Q577" s="9">
        <v>0</v>
      </c>
      <c r="R577" s="9">
        <v>0</v>
      </c>
      <c r="S577" s="9">
        <v>0</v>
      </c>
      <c r="T577" s="9">
        <v>0</v>
      </c>
      <c r="U577" s="33">
        <v>0</v>
      </c>
      <c r="V577" s="9">
        <v>0</v>
      </c>
      <c r="W577" s="9">
        <v>0</v>
      </c>
      <c r="X577" s="9">
        <v>0</v>
      </c>
      <c r="Y577" s="9">
        <v>0</v>
      </c>
      <c r="Z577" s="9">
        <v>0</v>
      </c>
      <c r="AA577" s="9">
        <v>0</v>
      </c>
      <c r="AB577" s="9">
        <v>0</v>
      </c>
      <c r="AC577" s="9">
        <v>0</v>
      </c>
      <c r="AD577" s="53" t="e">
        <f>#REF!*D577</f>
        <v>#REF!</v>
      </c>
      <c r="AE577" s="53" t="e">
        <f>AD577-#REF!</f>
        <v>#REF!</v>
      </c>
      <c r="AF577" s="8"/>
      <c r="AG577" s="33" t="e">
        <f>#REF!-D577</f>
        <v>#REF!</v>
      </c>
      <c r="AH577" s="8"/>
      <c r="AI577" s="8"/>
      <c r="AJ577" s="8"/>
      <c r="AK577" s="8"/>
    </row>
    <row r="578" spans="1:37" s="12" customFormat="1" ht="10.199999999999999" outlineLevel="1" x14ac:dyDescent="0.2">
      <c r="A578" s="61" t="s">
        <v>3365</v>
      </c>
      <c r="B578" s="231" t="s">
        <v>558</v>
      </c>
      <c r="C578" s="9" t="s">
        <v>47</v>
      </c>
      <c r="D578" s="25">
        <f t="shared" si="128"/>
        <v>1</v>
      </c>
      <c r="E578" s="54"/>
      <c r="F578" s="78"/>
      <c r="G578" s="33">
        <v>0</v>
      </c>
      <c r="H578" s="33">
        <v>0</v>
      </c>
      <c r="I578" s="9">
        <v>0</v>
      </c>
      <c r="J578" s="9">
        <v>0</v>
      </c>
      <c r="K578" s="9">
        <v>0</v>
      </c>
      <c r="L578" s="9">
        <v>0</v>
      </c>
      <c r="M578" s="9">
        <v>0</v>
      </c>
      <c r="N578" s="9">
        <v>0</v>
      </c>
      <c r="O578" s="9">
        <v>1</v>
      </c>
      <c r="P578" s="9">
        <v>0</v>
      </c>
      <c r="Q578" s="9">
        <v>0</v>
      </c>
      <c r="R578" s="9">
        <v>0</v>
      </c>
      <c r="S578" s="9">
        <v>0</v>
      </c>
      <c r="T578" s="9">
        <v>0</v>
      </c>
      <c r="U578" s="33">
        <v>0</v>
      </c>
      <c r="V578" s="9">
        <v>0</v>
      </c>
      <c r="W578" s="9">
        <v>0</v>
      </c>
      <c r="X578" s="9">
        <v>0</v>
      </c>
      <c r="Y578" s="9">
        <v>0</v>
      </c>
      <c r="Z578" s="9">
        <v>0</v>
      </c>
      <c r="AA578" s="9">
        <v>0</v>
      </c>
      <c r="AB578" s="9">
        <v>0</v>
      </c>
      <c r="AC578" s="9">
        <v>0</v>
      </c>
      <c r="AD578" s="53" t="e">
        <f>#REF!*D578</f>
        <v>#REF!</v>
      </c>
      <c r="AE578" s="53" t="e">
        <f>AD578-#REF!</f>
        <v>#REF!</v>
      </c>
      <c r="AF578" s="9"/>
      <c r="AG578" s="33" t="e">
        <f>#REF!-D578</f>
        <v>#REF!</v>
      </c>
      <c r="AH578" s="9"/>
      <c r="AI578" s="9"/>
      <c r="AJ578" s="9"/>
      <c r="AK578" s="9"/>
    </row>
    <row r="579" spans="1:37" s="12" customFormat="1" ht="10.199999999999999" outlineLevel="1" x14ac:dyDescent="0.2">
      <c r="A579" s="61" t="s">
        <v>3366</v>
      </c>
      <c r="B579" s="231" t="s">
        <v>561</v>
      </c>
      <c r="C579" s="9" t="s">
        <v>47</v>
      </c>
      <c r="D579" s="25">
        <f t="shared" si="128"/>
        <v>1</v>
      </c>
      <c r="E579" s="54"/>
      <c r="F579" s="78"/>
      <c r="G579" s="33">
        <v>0</v>
      </c>
      <c r="H579" s="33">
        <v>0</v>
      </c>
      <c r="I579" s="9">
        <v>0</v>
      </c>
      <c r="J579" s="9">
        <v>0</v>
      </c>
      <c r="K579" s="9">
        <v>0</v>
      </c>
      <c r="L579" s="9">
        <v>0</v>
      </c>
      <c r="M579" s="9">
        <v>0</v>
      </c>
      <c r="N579" s="9">
        <v>0</v>
      </c>
      <c r="O579" s="9">
        <v>1</v>
      </c>
      <c r="P579" s="9">
        <v>0</v>
      </c>
      <c r="Q579" s="9">
        <v>0</v>
      </c>
      <c r="R579" s="9">
        <v>0</v>
      </c>
      <c r="S579" s="9">
        <v>0</v>
      </c>
      <c r="T579" s="9">
        <v>0</v>
      </c>
      <c r="U579" s="33">
        <v>0</v>
      </c>
      <c r="V579" s="9">
        <v>0</v>
      </c>
      <c r="W579" s="9">
        <v>0</v>
      </c>
      <c r="X579" s="9">
        <v>0</v>
      </c>
      <c r="Y579" s="9">
        <v>0</v>
      </c>
      <c r="Z579" s="9">
        <v>0</v>
      </c>
      <c r="AA579" s="9">
        <v>0</v>
      </c>
      <c r="AB579" s="9">
        <v>0</v>
      </c>
      <c r="AC579" s="9">
        <v>0</v>
      </c>
      <c r="AD579" s="53" t="e">
        <f>#REF!*D579</f>
        <v>#REF!</v>
      </c>
      <c r="AE579" s="53" t="e">
        <f>AD579-#REF!</f>
        <v>#REF!</v>
      </c>
      <c r="AF579" s="9"/>
      <c r="AG579" s="33" t="e">
        <f>#REF!-D579</f>
        <v>#REF!</v>
      </c>
      <c r="AH579" s="9"/>
      <c r="AI579" s="9"/>
      <c r="AJ579" s="9"/>
      <c r="AK579" s="9"/>
    </row>
    <row r="580" spans="1:37" s="12" customFormat="1" ht="10.199999999999999" outlineLevel="1" x14ac:dyDescent="0.2">
      <c r="A580" s="61" t="s">
        <v>3367</v>
      </c>
      <c r="B580" s="231" t="s">
        <v>562</v>
      </c>
      <c r="C580" s="9" t="s">
        <v>47</v>
      </c>
      <c r="D580" s="25">
        <f t="shared" si="128"/>
        <v>2</v>
      </c>
      <c r="E580" s="54"/>
      <c r="F580" s="78"/>
      <c r="G580" s="33">
        <v>0</v>
      </c>
      <c r="H580" s="33">
        <v>0</v>
      </c>
      <c r="I580" s="9">
        <v>0</v>
      </c>
      <c r="J580" s="9">
        <v>0</v>
      </c>
      <c r="K580" s="9">
        <v>0</v>
      </c>
      <c r="L580" s="9">
        <v>0</v>
      </c>
      <c r="M580" s="9">
        <v>0</v>
      </c>
      <c r="N580" s="9">
        <v>0</v>
      </c>
      <c r="O580" s="9">
        <v>2</v>
      </c>
      <c r="P580" s="9">
        <v>0</v>
      </c>
      <c r="Q580" s="9">
        <v>0</v>
      </c>
      <c r="R580" s="9">
        <v>0</v>
      </c>
      <c r="S580" s="9">
        <v>0</v>
      </c>
      <c r="T580" s="9">
        <v>0</v>
      </c>
      <c r="U580" s="33">
        <v>0</v>
      </c>
      <c r="V580" s="9">
        <v>0</v>
      </c>
      <c r="W580" s="9">
        <v>0</v>
      </c>
      <c r="X580" s="9">
        <v>0</v>
      </c>
      <c r="Y580" s="9">
        <v>0</v>
      </c>
      <c r="Z580" s="9">
        <v>0</v>
      </c>
      <c r="AA580" s="9">
        <v>0</v>
      </c>
      <c r="AB580" s="9">
        <v>0</v>
      </c>
      <c r="AC580" s="9">
        <v>0</v>
      </c>
      <c r="AD580" s="53" t="e">
        <f>#REF!*D580</f>
        <v>#REF!</v>
      </c>
      <c r="AE580" s="53" t="e">
        <f>AD580-#REF!</f>
        <v>#REF!</v>
      </c>
      <c r="AF580" s="9"/>
      <c r="AG580" s="33" t="e">
        <f>#REF!-D580</f>
        <v>#REF!</v>
      </c>
      <c r="AH580" s="9"/>
      <c r="AI580" s="9"/>
      <c r="AJ580" s="9"/>
      <c r="AK580" s="9"/>
    </row>
    <row r="581" spans="1:37" s="12" customFormat="1" ht="10.199999999999999" outlineLevel="1" x14ac:dyDescent="0.2">
      <c r="A581" s="61" t="s">
        <v>3368</v>
      </c>
      <c r="B581" s="231" t="s">
        <v>520</v>
      </c>
      <c r="C581" s="9" t="s">
        <v>47</v>
      </c>
      <c r="D581" s="25">
        <f t="shared" si="128"/>
        <v>1</v>
      </c>
      <c r="E581" s="54"/>
      <c r="F581" s="78"/>
      <c r="G581" s="33">
        <v>0</v>
      </c>
      <c r="H581" s="33">
        <v>0</v>
      </c>
      <c r="I581" s="9">
        <v>0</v>
      </c>
      <c r="J581" s="9">
        <v>0</v>
      </c>
      <c r="K581" s="9">
        <v>0</v>
      </c>
      <c r="L581" s="9">
        <v>0</v>
      </c>
      <c r="M581" s="9">
        <v>0</v>
      </c>
      <c r="N581" s="9">
        <v>0</v>
      </c>
      <c r="O581" s="9">
        <v>0</v>
      </c>
      <c r="P581" s="9">
        <v>0</v>
      </c>
      <c r="Q581" s="9">
        <v>0</v>
      </c>
      <c r="R581" s="9">
        <v>0</v>
      </c>
      <c r="S581" s="9">
        <v>0</v>
      </c>
      <c r="T581" s="9">
        <v>0</v>
      </c>
      <c r="U581" s="33">
        <v>1</v>
      </c>
      <c r="V581" s="9">
        <v>0</v>
      </c>
      <c r="W581" s="9">
        <v>0</v>
      </c>
      <c r="X581" s="9">
        <v>0</v>
      </c>
      <c r="Y581" s="9">
        <v>0</v>
      </c>
      <c r="Z581" s="9">
        <v>0</v>
      </c>
      <c r="AA581" s="9">
        <v>0</v>
      </c>
      <c r="AB581" s="9">
        <v>0</v>
      </c>
      <c r="AC581" s="9">
        <v>0</v>
      </c>
      <c r="AD581" s="53" t="e">
        <f>#REF!*D581</f>
        <v>#REF!</v>
      </c>
      <c r="AE581" s="53" t="e">
        <f>AD581-#REF!</f>
        <v>#REF!</v>
      </c>
      <c r="AF581" s="9"/>
      <c r="AG581" s="33" t="e">
        <f>#REF!-D581</f>
        <v>#REF!</v>
      </c>
      <c r="AH581" s="9"/>
      <c r="AI581" s="9"/>
      <c r="AJ581" s="9"/>
      <c r="AK581" s="9"/>
    </row>
    <row r="582" spans="1:37" s="17" customFormat="1" ht="10.199999999999999" outlineLevel="1" x14ac:dyDescent="0.2">
      <c r="A582" s="61" t="s">
        <v>3369</v>
      </c>
      <c r="B582" s="231" t="s">
        <v>523</v>
      </c>
      <c r="C582" s="8" t="s">
        <v>47</v>
      </c>
      <c r="D582" s="25">
        <f t="shared" si="128"/>
        <v>1</v>
      </c>
      <c r="E582" s="54"/>
      <c r="F582" s="78"/>
      <c r="G582" s="33">
        <v>0</v>
      </c>
      <c r="H582" s="33">
        <v>1</v>
      </c>
      <c r="I582" s="9">
        <v>0</v>
      </c>
      <c r="J582" s="9">
        <v>0</v>
      </c>
      <c r="K582" s="9">
        <v>0</v>
      </c>
      <c r="L582" s="9">
        <v>0</v>
      </c>
      <c r="M582" s="9">
        <v>0</v>
      </c>
      <c r="N582" s="9">
        <v>0</v>
      </c>
      <c r="O582" s="9">
        <v>0</v>
      </c>
      <c r="P582" s="9">
        <v>0</v>
      </c>
      <c r="Q582" s="9">
        <v>0</v>
      </c>
      <c r="R582" s="9">
        <v>0</v>
      </c>
      <c r="S582" s="9">
        <v>0</v>
      </c>
      <c r="T582" s="9">
        <v>0</v>
      </c>
      <c r="U582" s="33">
        <v>0</v>
      </c>
      <c r="V582" s="9">
        <v>0</v>
      </c>
      <c r="W582" s="9">
        <v>0</v>
      </c>
      <c r="X582" s="9">
        <v>0</v>
      </c>
      <c r="Y582" s="9">
        <v>0</v>
      </c>
      <c r="Z582" s="9">
        <v>0</v>
      </c>
      <c r="AA582" s="9">
        <v>0</v>
      </c>
      <c r="AB582" s="9">
        <v>0</v>
      </c>
      <c r="AC582" s="9">
        <v>0</v>
      </c>
      <c r="AD582" s="53" t="e">
        <f>#REF!*D582</f>
        <v>#REF!</v>
      </c>
      <c r="AE582" s="53" t="e">
        <f>AD582-#REF!</f>
        <v>#REF!</v>
      </c>
      <c r="AF582" s="8"/>
      <c r="AG582" s="33" t="e">
        <f>#REF!-D582</f>
        <v>#REF!</v>
      </c>
      <c r="AH582" s="8"/>
      <c r="AI582" s="8"/>
      <c r="AJ582" s="8"/>
      <c r="AK582" s="8"/>
    </row>
    <row r="583" spans="1:37" s="12" customFormat="1" ht="10.199999999999999" outlineLevel="1" x14ac:dyDescent="0.2">
      <c r="A583" s="61" t="s">
        <v>3370</v>
      </c>
      <c r="B583" s="14" t="s">
        <v>526</v>
      </c>
      <c r="C583" s="9" t="s">
        <v>47</v>
      </c>
      <c r="D583" s="25">
        <f t="shared" ref="D583:D591" si="129">SUM(G583:AC583)</f>
        <v>1</v>
      </c>
      <c r="E583" s="54"/>
      <c r="F583" s="78"/>
      <c r="G583" s="33">
        <v>0</v>
      </c>
      <c r="H583" s="33">
        <v>0</v>
      </c>
      <c r="I583" s="9">
        <v>0</v>
      </c>
      <c r="J583" s="9">
        <v>0</v>
      </c>
      <c r="K583" s="9">
        <v>0</v>
      </c>
      <c r="L583" s="9">
        <v>0</v>
      </c>
      <c r="M583" s="9">
        <v>0</v>
      </c>
      <c r="N583" s="9">
        <v>0</v>
      </c>
      <c r="O583" s="9">
        <v>0</v>
      </c>
      <c r="P583" s="9">
        <v>0</v>
      </c>
      <c r="Q583" s="9">
        <v>0</v>
      </c>
      <c r="R583" s="9">
        <v>0</v>
      </c>
      <c r="S583" s="9">
        <v>0</v>
      </c>
      <c r="T583" s="9">
        <v>0</v>
      </c>
      <c r="U583" s="33">
        <v>1</v>
      </c>
      <c r="V583" s="9">
        <v>0</v>
      </c>
      <c r="W583" s="9">
        <v>0</v>
      </c>
      <c r="X583" s="9">
        <v>0</v>
      </c>
      <c r="Y583" s="9">
        <v>0</v>
      </c>
      <c r="Z583" s="9">
        <v>0</v>
      </c>
      <c r="AA583" s="9">
        <v>0</v>
      </c>
      <c r="AB583" s="9">
        <v>0</v>
      </c>
      <c r="AC583" s="9">
        <v>0</v>
      </c>
      <c r="AD583" s="53" t="e">
        <f>#REF!*D583</f>
        <v>#REF!</v>
      </c>
      <c r="AE583" s="53" t="e">
        <f>AD583-#REF!</f>
        <v>#REF!</v>
      </c>
      <c r="AF583" s="9"/>
      <c r="AG583" s="33" t="e">
        <f>#REF!-D583</f>
        <v>#REF!</v>
      </c>
      <c r="AH583" s="9"/>
      <c r="AI583" s="9"/>
      <c r="AJ583" s="9"/>
      <c r="AK583" s="9"/>
    </row>
    <row r="584" spans="1:37" s="12" customFormat="1" ht="10.199999999999999" outlineLevel="1" x14ac:dyDescent="0.2">
      <c r="A584" s="61" t="s">
        <v>3371</v>
      </c>
      <c r="B584" s="14" t="s">
        <v>525</v>
      </c>
      <c r="C584" s="9" t="s">
        <v>47</v>
      </c>
      <c r="D584" s="25">
        <f t="shared" si="129"/>
        <v>1</v>
      </c>
      <c r="E584" s="54"/>
      <c r="F584" s="78"/>
      <c r="G584" s="33">
        <v>0</v>
      </c>
      <c r="H584" s="33">
        <v>0</v>
      </c>
      <c r="I584" s="9">
        <v>0</v>
      </c>
      <c r="J584" s="9">
        <v>0</v>
      </c>
      <c r="K584" s="9">
        <v>0</v>
      </c>
      <c r="L584" s="9">
        <v>0</v>
      </c>
      <c r="M584" s="9">
        <v>0</v>
      </c>
      <c r="N584" s="9">
        <v>0</v>
      </c>
      <c r="O584" s="9">
        <v>0</v>
      </c>
      <c r="P584" s="9">
        <v>0</v>
      </c>
      <c r="Q584" s="9">
        <v>0</v>
      </c>
      <c r="R584" s="9">
        <v>0</v>
      </c>
      <c r="S584" s="9">
        <v>0</v>
      </c>
      <c r="T584" s="9">
        <v>0</v>
      </c>
      <c r="U584" s="33">
        <v>1</v>
      </c>
      <c r="V584" s="9">
        <v>0</v>
      </c>
      <c r="W584" s="9">
        <v>0</v>
      </c>
      <c r="X584" s="9">
        <v>0</v>
      </c>
      <c r="Y584" s="9">
        <v>0</v>
      </c>
      <c r="Z584" s="9">
        <v>0</v>
      </c>
      <c r="AA584" s="9">
        <v>0</v>
      </c>
      <c r="AB584" s="9">
        <v>0</v>
      </c>
      <c r="AC584" s="9">
        <v>0</v>
      </c>
      <c r="AD584" s="53" t="e">
        <f>#REF!*D584</f>
        <v>#REF!</v>
      </c>
      <c r="AE584" s="53" t="e">
        <f>AD584-#REF!</f>
        <v>#REF!</v>
      </c>
      <c r="AF584" s="9"/>
      <c r="AG584" s="33" t="e">
        <f>#REF!-D584</f>
        <v>#REF!</v>
      </c>
      <c r="AH584" s="9"/>
      <c r="AI584" s="9"/>
      <c r="AJ584" s="9"/>
      <c r="AK584" s="9"/>
    </row>
    <row r="585" spans="1:37" s="12" customFormat="1" ht="10.199999999999999" outlineLevel="1" x14ac:dyDescent="0.2">
      <c r="A585" s="61" t="s">
        <v>3372</v>
      </c>
      <c r="B585" s="231" t="s">
        <v>524</v>
      </c>
      <c r="C585" s="9" t="s">
        <v>47</v>
      </c>
      <c r="D585" s="25">
        <f t="shared" si="129"/>
        <v>1</v>
      </c>
      <c r="E585" s="54"/>
      <c r="F585" s="78"/>
      <c r="G585" s="33">
        <v>0</v>
      </c>
      <c r="H585" s="33">
        <v>1</v>
      </c>
      <c r="I585" s="9">
        <v>0</v>
      </c>
      <c r="J585" s="9">
        <v>0</v>
      </c>
      <c r="K585" s="9">
        <v>0</v>
      </c>
      <c r="L585" s="9">
        <v>0</v>
      </c>
      <c r="M585" s="9">
        <v>0</v>
      </c>
      <c r="N585" s="9">
        <v>0</v>
      </c>
      <c r="O585" s="9">
        <v>0</v>
      </c>
      <c r="P585" s="9">
        <v>0</v>
      </c>
      <c r="Q585" s="9">
        <v>0</v>
      </c>
      <c r="R585" s="9">
        <v>0</v>
      </c>
      <c r="S585" s="9">
        <v>0</v>
      </c>
      <c r="T585" s="9">
        <v>0</v>
      </c>
      <c r="U585" s="33">
        <v>0</v>
      </c>
      <c r="V585" s="9">
        <v>0</v>
      </c>
      <c r="W585" s="9">
        <v>0</v>
      </c>
      <c r="X585" s="9">
        <v>0</v>
      </c>
      <c r="Y585" s="9">
        <v>0</v>
      </c>
      <c r="Z585" s="9">
        <v>0</v>
      </c>
      <c r="AA585" s="9">
        <v>0</v>
      </c>
      <c r="AB585" s="9">
        <v>0</v>
      </c>
      <c r="AC585" s="9">
        <v>0</v>
      </c>
      <c r="AD585" s="53" t="e">
        <f>#REF!*D585</f>
        <v>#REF!</v>
      </c>
      <c r="AE585" s="53" t="e">
        <f>AD585-#REF!</f>
        <v>#REF!</v>
      </c>
      <c r="AF585" s="9"/>
      <c r="AG585" s="33" t="e">
        <f>#REF!-D585</f>
        <v>#REF!</v>
      </c>
      <c r="AH585" s="9"/>
      <c r="AI585" s="9"/>
      <c r="AJ585" s="9"/>
      <c r="AK585" s="9"/>
    </row>
    <row r="586" spans="1:37" s="17" customFormat="1" ht="10.199999999999999" outlineLevel="1" x14ac:dyDescent="0.2">
      <c r="A586" s="61" t="s">
        <v>3373</v>
      </c>
      <c r="B586" s="231" t="s">
        <v>540</v>
      </c>
      <c r="C586" s="8" t="s">
        <v>47</v>
      </c>
      <c r="D586" s="25">
        <f t="shared" si="129"/>
        <v>1</v>
      </c>
      <c r="E586" s="54"/>
      <c r="F586" s="78"/>
      <c r="G586" s="33">
        <v>0</v>
      </c>
      <c r="H586" s="33">
        <v>0</v>
      </c>
      <c r="I586" s="9">
        <v>0</v>
      </c>
      <c r="J586" s="9">
        <v>0</v>
      </c>
      <c r="K586" s="9">
        <v>0</v>
      </c>
      <c r="L586" s="9">
        <v>1</v>
      </c>
      <c r="M586" s="9">
        <v>0</v>
      </c>
      <c r="N586" s="9">
        <v>0</v>
      </c>
      <c r="O586" s="9">
        <v>0</v>
      </c>
      <c r="P586" s="9">
        <v>0</v>
      </c>
      <c r="Q586" s="9">
        <v>0</v>
      </c>
      <c r="R586" s="9">
        <v>0</v>
      </c>
      <c r="S586" s="9">
        <v>0</v>
      </c>
      <c r="T586" s="9">
        <v>0</v>
      </c>
      <c r="U586" s="33">
        <v>0</v>
      </c>
      <c r="V586" s="9">
        <v>0</v>
      </c>
      <c r="W586" s="9">
        <v>0</v>
      </c>
      <c r="X586" s="9">
        <v>0</v>
      </c>
      <c r="Y586" s="9">
        <v>0</v>
      </c>
      <c r="Z586" s="9">
        <v>0</v>
      </c>
      <c r="AA586" s="9">
        <v>0</v>
      </c>
      <c r="AB586" s="9">
        <v>0</v>
      </c>
      <c r="AC586" s="9">
        <v>0</v>
      </c>
      <c r="AD586" s="53" t="e">
        <f>#REF!*D586</f>
        <v>#REF!</v>
      </c>
      <c r="AE586" s="53" t="e">
        <f>AD586-#REF!</f>
        <v>#REF!</v>
      </c>
      <c r="AF586" s="8"/>
      <c r="AG586" s="33" t="e">
        <f>#REF!-D586</f>
        <v>#REF!</v>
      </c>
      <c r="AH586" s="8"/>
      <c r="AI586" s="8"/>
      <c r="AJ586" s="8"/>
      <c r="AK586" s="8"/>
    </row>
    <row r="587" spans="1:37" s="17" customFormat="1" ht="10.199999999999999" outlineLevel="1" x14ac:dyDescent="0.2">
      <c r="A587" s="61" t="s">
        <v>3374</v>
      </c>
      <c r="B587" s="231" t="s">
        <v>567</v>
      </c>
      <c r="C587" s="8" t="s">
        <v>47</v>
      </c>
      <c r="D587" s="25">
        <f t="shared" si="129"/>
        <v>1</v>
      </c>
      <c r="E587" s="54"/>
      <c r="F587" s="78"/>
      <c r="G587" s="33">
        <v>0</v>
      </c>
      <c r="H587" s="33">
        <v>0</v>
      </c>
      <c r="I587" s="9">
        <v>0</v>
      </c>
      <c r="J587" s="9">
        <v>0</v>
      </c>
      <c r="K587" s="9">
        <v>0</v>
      </c>
      <c r="L587" s="9">
        <v>0</v>
      </c>
      <c r="M587" s="9">
        <v>0</v>
      </c>
      <c r="N587" s="9">
        <v>0</v>
      </c>
      <c r="O587" s="9">
        <v>0</v>
      </c>
      <c r="P587" s="9">
        <v>0</v>
      </c>
      <c r="Q587" s="9">
        <v>0</v>
      </c>
      <c r="R587" s="9">
        <v>1</v>
      </c>
      <c r="S587" s="9">
        <v>0</v>
      </c>
      <c r="T587" s="9">
        <v>0</v>
      </c>
      <c r="U587" s="33">
        <v>0</v>
      </c>
      <c r="V587" s="9">
        <v>0</v>
      </c>
      <c r="W587" s="9">
        <v>0</v>
      </c>
      <c r="X587" s="9">
        <v>0</v>
      </c>
      <c r="Y587" s="9">
        <v>0</v>
      </c>
      <c r="Z587" s="9">
        <v>0</v>
      </c>
      <c r="AA587" s="9">
        <v>0</v>
      </c>
      <c r="AB587" s="9">
        <v>0</v>
      </c>
      <c r="AC587" s="9">
        <v>0</v>
      </c>
      <c r="AD587" s="53" t="e">
        <f>#REF!*D587</f>
        <v>#REF!</v>
      </c>
      <c r="AE587" s="53" t="e">
        <f>AD587-#REF!</f>
        <v>#REF!</v>
      </c>
      <c r="AF587" s="8"/>
      <c r="AG587" s="33" t="e">
        <f>#REF!-D587</f>
        <v>#REF!</v>
      </c>
      <c r="AH587" s="8"/>
      <c r="AI587" s="8"/>
      <c r="AJ587" s="8"/>
      <c r="AK587" s="8"/>
    </row>
    <row r="588" spans="1:37" s="12" customFormat="1" ht="10.199999999999999" outlineLevel="1" x14ac:dyDescent="0.2">
      <c r="A588" s="61" t="s">
        <v>3375</v>
      </c>
      <c r="B588" s="231" t="s">
        <v>3144</v>
      </c>
      <c r="C588" s="9" t="s">
        <v>47</v>
      </c>
      <c r="D588" s="25">
        <f t="shared" si="129"/>
        <v>1</v>
      </c>
      <c r="E588" s="54"/>
      <c r="F588" s="78"/>
      <c r="G588" s="33">
        <v>0</v>
      </c>
      <c r="H588" s="33">
        <v>1</v>
      </c>
      <c r="I588" s="9">
        <v>0</v>
      </c>
      <c r="J588" s="9">
        <v>0</v>
      </c>
      <c r="K588" s="9">
        <v>0</v>
      </c>
      <c r="L588" s="9">
        <v>0</v>
      </c>
      <c r="M588" s="9">
        <v>0</v>
      </c>
      <c r="N588" s="9">
        <v>0</v>
      </c>
      <c r="O588" s="9">
        <v>0</v>
      </c>
      <c r="P588" s="9">
        <v>0</v>
      </c>
      <c r="Q588" s="9">
        <v>0</v>
      </c>
      <c r="R588" s="9">
        <v>0</v>
      </c>
      <c r="S588" s="9">
        <v>0</v>
      </c>
      <c r="T588" s="9">
        <v>0</v>
      </c>
      <c r="U588" s="33">
        <v>0</v>
      </c>
      <c r="V588" s="9">
        <v>0</v>
      </c>
      <c r="W588" s="9">
        <v>0</v>
      </c>
      <c r="X588" s="9">
        <v>0</v>
      </c>
      <c r="Y588" s="9">
        <v>0</v>
      </c>
      <c r="Z588" s="9">
        <v>0</v>
      </c>
      <c r="AA588" s="9">
        <v>0</v>
      </c>
      <c r="AB588" s="9">
        <v>0</v>
      </c>
      <c r="AC588" s="9">
        <v>0</v>
      </c>
      <c r="AD588" s="53" t="e">
        <f>#REF!*D588</f>
        <v>#REF!</v>
      </c>
      <c r="AE588" s="53" t="e">
        <f>AD588-#REF!</f>
        <v>#REF!</v>
      </c>
      <c r="AF588" s="9"/>
      <c r="AG588" s="33" t="e">
        <f>#REF!-D588</f>
        <v>#REF!</v>
      </c>
      <c r="AH588" s="9"/>
      <c r="AI588" s="9"/>
      <c r="AJ588" s="9"/>
      <c r="AK588" s="9"/>
    </row>
    <row r="589" spans="1:37" s="12" customFormat="1" ht="10.199999999999999" outlineLevel="1" x14ac:dyDescent="0.2">
      <c r="A589" s="61" t="s">
        <v>3376</v>
      </c>
      <c r="B589" s="231" t="s">
        <v>3145</v>
      </c>
      <c r="C589" s="9" t="s">
        <v>47</v>
      </c>
      <c r="D589" s="25">
        <f t="shared" si="129"/>
        <v>1</v>
      </c>
      <c r="E589" s="54"/>
      <c r="F589" s="78"/>
      <c r="G589" s="33">
        <v>0</v>
      </c>
      <c r="H589" s="33">
        <v>1</v>
      </c>
      <c r="I589" s="9">
        <v>0</v>
      </c>
      <c r="J589" s="9">
        <v>0</v>
      </c>
      <c r="K589" s="9">
        <v>0</v>
      </c>
      <c r="L589" s="9">
        <v>0</v>
      </c>
      <c r="M589" s="9">
        <v>0</v>
      </c>
      <c r="N589" s="9">
        <v>0</v>
      </c>
      <c r="O589" s="9">
        <v>0</v>
      </c>
      <c r="P589" s="9">
        <v>0</v>
      </c>
      <c r="Q589" s="9">
        <v>0</v>
      </c>
      <c r="R589" s="9">
        <v>0</v>
      </c>
      <c r="S589" s="9">
        <v>0</v>
      </c>
      <c r="T589" s="9">
        <v>0</v>
      </c>
      <c r="U589" s="33">
        <v>0</v>
      </c>
      <c r="V589" s="9">
        <v>0</v>
      </c>
      <c r="W589" s="9">
        <v>0</v>
      </c>
      <c r="X589" s="9">
        <v>0</v>
      </c>
      <c r="Y589" s="9">
        <v>0</v>
      </c>
      <c r="Z589" s="9">
        <v>0</v>
      </c>
      <c r="AA589" s="9">
        <v>0</v>
      </c>
      <c r="AB589" s="9">
        <v>0</v>
      </c>
      <c r="AC589" s="9">
        <v>0</v>
      </c>
      <c r="AD589" s="53" t="e">
        <f>#REF!*D589</f>
        <v>#REF!</v>
      </c>
      <c r="AE589" s="53" t="e">
        <f>AD589-#REF!</f>
        <v>#REF!</v>
      </c>
      <c r="AF589" s="9"/>
      <c r="AG589" s="33" t="e">
        <f>#REF!-D589</f>
        <v>#REF!</v>
      </c>
      <c r="AH589" s="9"/>
      <c r="AI589" s="9"/>
      <c r="AJ589" s="9"/>
      <c r="AK589" s="9"/>
    </row>
    <row r="590" spans="1:37" s="17" customFormat="1" ht="10.199999999999999" outlineLevel="1" x14ac:dyDescent="0.2">
      <c r="A590" s="61" t="s">
        <v>3377</v>
      </c>
      <c r="B590" s="231" t="s">
        <v>3146</v>
      </c>
      <c r="C590" s="8" t="s">
        <v>47</v>
      </c>
      <c r="D590" s="25">
        <f t="shared" si="129"/>
        <v>1</v>
      </c>
      <c r="E590" s="54"/>
      <c r="F590" s="78"/>
      <c r="G590" s="33">
        <v>0</v>
      </c>
      <c r="H590" s="33">
        <v>0</v>
      </c>
      <c r="I590" s="9">
        <v>0</v>
      </c>
      <c r="J590" s="9">
        <v>0</v>
      </c>
      <c r="K590" s="9">
        <v>0</v>
      </c>
      <c r="L590" s="9">
        <v>0</v>
      </c>
      <c r="M590" s="9">
        <v>0</v>
      </c>
      <c r="N590" s="9">
        <v>0</v>
      </c>
      <c r="O590" s="9">
        <v>0</v>
      </c>
      <c r="P590" s="9">
        <v>0</v>
      </c>
      <c r="Q590" s="9">
        <v>0</v>
      </c>
      <c r="R590" s="9">
        <v>1</v>
      </c>
      <c r="S590" s="9">
        <v>0</v>
      </c>
      <c r="T590" s="9">
        <v>0</v>
      </c>
      <c r="U590" s="33">
        <v>0</v>
      </c>
      <c r="V590" s="9">
        <v>0</v>
      </c>
      <c r="W590" s="9">
        <v>0</v>
      </c>
      <c r="X590" s="9">
        <v>0</v>
      </c>
      <c r="Y590" s="9">
        <v>0</v>
      </c>
      <c r="Z590" s="9">
        <v>0</v>
      </c>
      <c r="AA590" s="9">
        <v>0</v>
      </c>
      <c r="AB590" s="9">
        <v>0</v>
      </c>
      <c r="AC590" s="9">
        <v>0</v>
      </c>
      <c r="AD590" s="53" t="e">
        <f>#REF!*D590</f>
        <v>#REF!</v>
      </c>
      <c r="AE590" s="53" t="e">
        <f>AD590-#REF!</f>
        <v>#REF!</v>
      </c>
      <c r="AF590" s="8"/>
      <c r="AG590" s="33" t="e">
        <f>#REF!-D590</f>
        <v>#REF!</v>
      </c>
      <c r="AH590" s="8"/>
      <c r="AI590" s="8"/>
      <c r="AJ590" s="8"/>
      <c r="AK590" s="8"/>
    </row>
    <row r="591" spans="1:37" s="17" customFormat="1" ht="10.199999999999999" outlineLevel="1" x14ac:dyDescent="0.2">
      <c r="A591" s="61" t="s">
        <v>3378</v>
      </c>
      <c r="B591" s="231" t="s">
        <v>3147</v>
      </c>
      <c r="C591" s="8" t="s">
        <v>47</v>
      </c>
      <c r="D591" s="25">
        <f t="shared" si="129"/>
        <v>1</v>
      </c>
      <c r="E591" s="54"/>
      <c r="F591" s="78"/>
      <c r="G591" s="33">
        <v>0</v>
      </c>
      <c r="H591" s="33">
        <v>0</v>
      </c>
      <c r="I591" s="9">
        <v>0</v>
      </c>
      <c r="J591" s="9">
        <v>0</v>
      </c>
      <c r="K591" s="9">
        <v>0</v>
      </c>
      <c r="L591" s="9">
        <v>0</v>
      </c>
      <c r="M591" s="9">
        <v>0</v>
      </c>
      <c r="N591" s="9">
        <v>0</v>
      </c>
      <c r="O591" s="9">
        <v>0</v>
      </c>
      <c r="P591" s="9">
        <v>0</v>
      </c>
      <c r="Q591" s="9">
        <v>0</v>
      </c>
      <c r="R591" s="9">
        <v>1</v>
      </c>
      <c r="S591" s="9">
        <v>0</v>
      </c>
      <c r="T591" s="9">
        <v>0</v>
      </c>
      <c r="U591" s="33">
        <v>0</v>
      </c>
      <c r="V591" s="9">
        <v>0</v>
      </c>
      <c r="W591" s="9">
        <v>0</v>
      </c>
      <c r="X591" s="9">
        <v>0</v>
      </c>
      <c r="Y591" s="9">
        <v>0</v>
      </c>
      <c r="Z591" s="9">
        <v>0</v>
      </c>
      <c r="AA591" s="9">
        <v>0</v>
      </c>
      <c r="AB591" s="9">
        <v>0</v>
      </c>
      <c r="AC591" s="9">
        <v>0</v>
      </c>
      <c r="AD591" s="53" t="e">
        <f>#REF!*D591</f>
        <v>#REF!</v>
      </c>
      <c r="AE591" s="53" t="e">
        <f>AD591-#REF!</f>
        <v>#REF!</v>
      </c>
      <c r="AF591" s="8"/>
      <c r="AG591" s="33" t="e">
        <f>#REF!-D591</f>
        <v>#REF!</v>
      </c>
      <c r="AH591" s="8"/>
      <c r="AI591" s="8"/>
      <c r="AJ591" s="8"/>
      <c r="AK591" s="8"/>
    </row>
    <row r="592" spans="1:37" s="17" customFormat="1" ht="21.75" customHeight="1" outlineLevel="1" x14ac:dyDescent="0.2">
      <c r="A592" s="61"/>
      <c r="B592" s="234" t="s">
        <v>3571</v>
      </c>
      <c r="C592" s="8"/>
      <c r="D592" s="25"/>
      <c r="E592" s="54"/>
      <c r="F592" s="78"/>
      <c r="G592" s="33"/>
      <c r="H592" s="33"/>
      <c r="I592" s="9"/>
      <c r="J592" s="9"/>
      <c r="K592" s="9"/>
      <c r="L592" s="9"/>
      <c r="M592" s="9"/>
      <c r="N592" s="9"/>
      <c r="O592" s="9"/>
      <c r="P592" s="9"/>
      <c r="Q592" s="9"/>
      <c r="R592" s="9"/>
      <c r="S592" s="9"/>
      <c r="T592" s="9"/>
      <c r="U592" s="33"/>
      <c r="V592" s="9"/>
      <c r="W592" s="9"/>
      <c r="X592" s="9"/>
      <c r="Y592" s="9"/>
      <c r="Z592" s="9"/>
      <c r="AA592" s="9"/>
      <c r="AB592" s="9"/>
      <c r="AC592" s="9"/>
      <c r="AD592" s="53"/>
      <c r="AE592" s="53"/>
      <c r="AF592" s="8"/>
      <c r="AG592" s="33"/>
      <c r="AH592" s="8"/>
      <c r="AI592" s="8"/>
      <c r="AJ592" s="8"/>
      <c r="AK592" s="8"/>
    </row>
    <row r="593" spans="1:37" s="17" customFormat="1" ht="10.199999999999999" outlineLevel="1" x14ac:dyDescent="0.2">
      <c r="A593" s="102" t="s">
        <v>1103</v>
      </c>
      <c r="B593" s="229" t="s">
        <v>3133</v>
      </c>
      <c r="C593" s="8"/>
      <c r="D593" s="25"/>
      <c r="E593" s="54"/>
      <c r="F593" s="78"/>
      <c r="G593" s="33"/>
      <c r="H593" s="33"/>
      <c r="I593" s="9"/>
      <c r="J593" s="9"/>
      <c r="K593" s="9"/>
      <c r="L593" s="9"/>
      <c r="M593" s="9"/>
      <c r="N593" s="9"/>
      <c r="O593" s="9"/>
      <c r="P593" s="9"/>
      <c r="Q593" s="9"/>
      <c r="R593" s="9"/>
      <c r="S593" s="9"/>
      <c r="T593" s="9"/>
      <c r="U593" s="33"/>
      <c r="V593" s="9"/>
      <c r="W593" s="9"/>
      <c r="X593" s="9"/>
      <c r="Y593" s="9"/>
      <c r="Z593" s="9"/>
      <c r="AA593" s="9"/>
      <c r="AB593" s="9"/>
      <c r="AC593" s="9"/>
      <c r="AD593" s="53"/>
      <c r="AE593" s="53" t="e">
        <f>AD593-#REF!</f>
        <v>#REF!</v>
      </c>
      <c r="AF593" s="8"/>
      <c r="AG593" s="33"/>
      <c r="AH593" s="8"/>
      <c r="AI593" s="8"/>
      <c r="AJ593" s="8"/>
      <c r="AK593" s="8"/>
    </row>
    <row r="594" spans="1:37" s="17" customFormat="1" ht="10.199999999999999" outlineLevel="1" x14ac:dyDescent="0.2">
      <c r="A594" s="61"/>
      <c r="B594" s="14"/>
      <c r="C594" s="8"/>
      <c r="D594" s="25"/>
      <c r="E594" s="54"/>
      <c r="F594" s="9"/>
      <c r="G594" s="9"/>
      <c r="H594" s="9"/>
      <c r="I594" s="9"/>
      <c r="J594" s="9"/>
      <c r="K594" s="9"/>
      <c r="L594" s="9"/>
      <c r="M594" s="9"/>
      <c r="N594" s="9"/>
      <c r="O594" s="9"/>
      <c r="P594" s="9"/>
      <c r="Q594" s="9"/>
      <c r="R594" s="9"/>
      <c r="S594" s="9"/>
      <c r="T594" s="9"/>
      <c r="U594" s="9"/>
      <c r="V594" s="9"/>
      <c r="W594" s="9"/>
      <c r="X594" s="9"/>
      <c r="Y594" s="9"/>
      <c r="Z594" s="9"/>
      <c r="AA594" s="9"/>
      <c r="AB594" s="9"/>
      <c r="AC594" s="9"/>
      <c r="AD594" s="53" t="e">
        <f>#REF!*D594</f>
        <v>#REF!</v>
      </c>
      <c r="AE594" s="53" t="e">
        <f>AD594-#REF!</f>
        <v>#REF!</v>
      </c>
      <c r="AF594" s="8"/>
      <c r="AG594" s="33" t="e">
        <f>#REF!-D594</f>
        <v>#REF!</v>
      </c>
      <c r="AH594" s="8"/>
      <c r="AI594" s="8"/>
      <c r="AJ594" s="8"/>
      <c r="AK594" s="8"/>
    </row>
    <row r="595" spans="1:37" s="17" customFormat="1" ht="12" x14ac:dyDescent="0.25">
      <c r="A595" s="18" t="s">
        <v>58</v>
      </c>
      <c r="B595" s="227" t="s">
        <v>3379</v>
      </c>
      <c r="C595" s="18" t="s">
        <v>41</v>
      </c>
      <c r="D595" s="52" t="e">
        <f>#REF!/#REF!*100</f>
        <v>#REF!</v>
      </c>
      <c r="E595" s="54"/>
      <c r="F595" s="9"/>
      <c r="G595" s="9"/>
      <c r="H595" s="9"/>
      <c r="I595" s="9"/>
      <c r="J595" s="9"/>
      <c r="K595" s="9"/>
      <c r="L595" s="9"/>
      <c r="M595" s="9"/>
      <c r="N595" s="9"/>
      <c r="O595" s="9"/>
      <c r="P595" s="9"/>
      <c r="Q595" s="9"/>
      <c r="R595" s="9"/>
      <c r="S595" s="9"/>
      <c r="T595" s="9"/>
      <c r="U595" s="9"/>
      <c r="V595" s="9"/>
      <c r="W595" s="9"/>
      <c r="X595" s="9"/>
      <c r="Y595" s="9"/>
      <c r="Z595" s="9"/>
      <c r="AA595" s="9"/>
      <c r="AB595" s="9"/>
      <c r="AC595" s="9"/>
      <c r="AD595" s="53" t="e">
        <f>#REF!*D595</f>
        <v>#REF!</v>
      </c>
      <c r="AE595" s="53" t="e">
        <f>AD595-#REF!</f>
        <v>#REF!</v>
      </c>
      <c r="AF595" s="8"/>
      <c r="AG595" s="33" t="e">
        <f>#REF!-D595</f>
        <v>#REF!</v>
      </c>
      <c r="AH595" s="8"/>
      <c r="AI595" s="8"/>
      <c r="AJ595" s="8"/>
      <c r="AK595" s="8"/>
    </row>
    <row r="596" spans="1:37" x14ac:dyDescent="0.25">
      <c r="A596" s="18" t="s">
        <v>3380</v>
      </c>
      <c r="B596" s="35" t="s">
        <v>3101</v>
      </c>
      <c r="C596" s="18" t="s">
        <v>41</v>
      </c>
      <c r="D596" s="228" t="e">
        <f>#REF!/#REF!*100</f>
        <v>#REF!</v>
      </c>
      <c r="E596" s="54"/>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53" t="e">
        <f>#REF!*D596</f>
        <v>#REF!</v>
      </c>
      <c r="AE596" s="53" t="e">
        <f>AD596-#REF!</f>
        <v>#REF!</v>
      </c>
      <c r="AG596" s="33" t="e">
        <f>#REF!-D596</f>
        <v>#REF!</v>
      </c>
    </row>
    <row r="597" spans="1:37" s="12" customFormat="1" ht="20.399999999999999" outlineLevel="1" x14ac:dyDescent="0.2">
      <c r="A597" s="61" t="s">
        <v>1001</v>
      </c>
      <c r="B597" s="14" t="s">
        <v>296</v>
      </c>
      <c r="C597" s="9" t="s">
        <v>47</v>
      </c>
      <c r="D597" s="25">
        <f t="shared" ref="D597:D606" si="130">SUM(G597:AC597)</f>
        <v>1</v>
      </c>
      <c r="E597" s="54"/>
      <c r="F597" s="9"/>
      <c r="G597" s="9">
        <v>1</v>
      </c>
      <c r="H597" s="9">
        <v>0</v>
      </c>
      <c r="I597" s="9">
        <v>0</v>
      </c>
      <c r="J597" s="9">
        <v>0</v>
      </c>
      <c r="K597" s="9">
        <v>0</v>
      </c>
      <c r="L597" s="9">
        <v>0</v>
      </c>
      <c r="M597" s="9">
        <v>0</v>
      </c>
      <c r="N597" s="9">
        <v>0</v>
      </c>
      <c r="O597" s="9">
        <v>0</v>
      </c>
      <c r="P597" s="9">
        <v>0</v>
      </c>
      <c r="Q597" s="9">
        <v>0</v>
      </c>
      <c r="R597" s="9">
        <v>0</v>
      </c>
      <c r="S597" s="9">
        <v>0</v>
      </c>
      <c r="T597" s="9">
        <v>0</v>
      </c>
      <c r="U597" s="9">
        <v>0</v>
      </c>
      <c r="V597" s="9">
        <v>0</v>
      </c>
      <c r="W597" s="9">
        <v>0</v>
      </c>
      <c r="X597" s="9">
        <v>0</v>
      </c>
      <c r="Y597" s="9">
        <v>0</v>
      </c>
      <c r="Z597" s="9">
        <v>0</v>
      </c>
      <c r="AA597" s="9">
        <v>0</v>
      </c>
      <c r="AB597" s="9">
        <v>0</v>
      </c>
      <c r="AC597" s="9">
        <v>0</v>
      </c>
      <c r="AD597" s="53" t="e">
        <f>#REF!*D597</f>
        <v>#REF!</v>
      </c>
      <c r="AE597" s="53" t="e">
        <f>AD597-#REF!</f>
        <v>#REF!</v>
      </c>
      <c r="AF597" s="9"/>
      <c r="AG597" s="33" t="e">
        <f>#REF!-D597</f>
        <v>#REF!</v>
      </c>
      <c r="AH597" s="9"/>
      <c r="AI597" s="9"/>
      <c r="AJ597" s="9"/>
      <c r="AK597" s="9"/>
    </row>
    <row r="598" spans="1:37" s="12" customFormat="1" ht="10.199999999999999" outlineLevel="1" x14ac:dyDescent="0.2">
      <c r="A598" s="61" t="s">
        <v>1002</v>
      </c>
      <c r="B598" s="14" t="s">
        <v>297</v>
      </c>
      <c r="C598" s="9" t="s">
        <v>47</v>
      </c>
      <c r="D598" s="25">
        <f t="shared" si="130"/>
        <v>4</v>
      </c>
      <c r="E598" s="54"/>
      <c r="F598" s="9"/>
      <c r="G598" s="9">
        <v>4</v>
      </c>
      <c r="H598" s="9">
        <v>0</v>
      </c>
      <c r="I598" s="9">
        <v>0</v>
      </c>
      <c r="J598" s="9">
        <v>0</v>
      </c>
      <c r="K598" s="9">
        <v>0</v>
      </c>
      <c r="L598" s="9">
        <v>0</v>
      </c>
      <c r="M598" s="9">
        <v>0</v>
      </c>
      <c r="N598" s="9">
        <v>0</v>
      </c>
      <c r="O598" s="9">
        <v>0</v>
      </c>
      <c r="P598" s="9">
        <v>0</v>
      </c>
      <c r="Q598" s="9">
        <v>0</v>
      </c>
      <c r="R598" s="9">
        <v>0</v>
      </c>
      <c r="S598" s="9">
        <v>0</v>
      </c>
      <c r="T598" s="9">
        <v>0</v>
      </c>
      <c r="U598" s="9">
        <v>0</v>
      </c>
      <c r="V598" s="9">
        <v>0</v>
      </c>
      <c r="W598" s="9">
        <v>0</v>
      </c>
      <c r="X598" s="9">
        <v>0</v>
      </c>
      <c r="Y598" s="9">
        <v>0</v>
      </c>
      <c r="Z598" s="9">
        <v>0</v>
      </c>
      <c r="AA598" s="9">
        <v>0</v>
      </c>
      <c r="AB598" s="9">
        <v>0</v>
      </c>
      <c r="AC598" s="9">
        <v>0</v>
      </c>
      <c r="AD598" s="53" t="e">
        <f>#REF!*D598</f>
        <v>#REF!</v>
      </c>
      <c r="AE598" s="53" t="e">
        <f>AD598-#REF!</f>
        <v>#REF!</v>
      </c>
      <c r="AF598" s="9"/>
      <c r="AG598" s="33" t="e">
        <f>#REF!-D598</f>
        <v>#REF!</v>
      </c>
      <c r="AH598" s="9"/>
      <c r="AI598" s="9"/>
      <c r="AJ598" s="9"/>
      <c r="AK598" s="9"/>
    </row>
    <row r="599" spans="1:37" s="12" customFormat="1" ht="20.399999999999999" outlineLevel="1" x14ac:dyDescent="0.2">
      <c r="A599" s="61" t="s">
        <v>1003</v>
      </c>
      <c r="B599" s="14" t="s">
        <v>405</v>
      </c>
      <c r="C599" s="9" t="s">
        <v>47</v>
      </c>
      <c r="D599" s="25">
        <f t="shared" si="130"/>
        <v>9</v>
      </c>
      <c r="E599" s="54"/>
      <c r="F599" s="9"/>
      <c r="G599" s="9">
        <v>9</v>
      </c>
      <c r="H599" s="9">
        <v>0</v>
      </c>
      <c r="I599" s="9">
        <v>0</v>
      </c>
      <c r="J599" s="9">
        <v>0</v>
      </c>
      <c r="K599" s="9">
        <v>0</v>
      </c>
      <c r="L599" s="9">
        <v>0</v>
      </c>
      <c r="M599" s="9">
        <v>0</v>
      </c>
      <c r="N599" s="9">
        <v>0</v>
      </c>
      <c r="O599" s="9">
        <v>0</v>
      </c>
      <c r="P599" s="9">
        <v>0</v>
      </c>
      <c r="Q599" s="9">
        <v>0</v>
      </c>
      <c r="R599" s="9">
        <v>0</v>
      </c>
      <c r="S599" s="9">
        <v>0</v>
      </c>
      <c r="T599" s="9">
        <v>0</v>
      </c>
      <c r="U599" s="9">
        <v>0</v>
      </c>
      <c r="V599" s="9">
        <v>0</v>
      </c>
      <c r="W599" s="9">
        <v>0</v>
      </c>
      <c r="X599" s="9">
        <v>0</v>
      </c>
      <c r="Y599" s="9">
        <v>0</v>
      </c>
      <c r="Z599" s="9">
        <v>0</v>
      </c>
      <c r="AA599" s="9">
        <v>0</v>
      </c>
      <c r="AB599" s="9">
        <v>0</v>
      </c>
      <c r="AC599" s="9">
        <v>0</v>
      </c>
      <c r="AD599" s="53" t="e">
        <f>#REF!*D599</f>
        <v>#REF!</v>
      </c>
      <c r="AE599" s="53" t="e">
        <f>AD599-#REF!</f>
        <v>#REF!</v>
      </c>
      <c r="AF599" s="9"/>
      <c r="AG599" s="33" t="e">
        <f>#REF!-D599</f>
        <v>#REF!</v>
      </c>
      <c r="AH599" s="9"/>
      <c r="AI599" s="9"/>
      <c r="AJ599" s="9"/>
      <c r="AK599" s="9"/>
    </row>
    <row r="600" spans="1:37" s="12" customFormat="1" ht="20.399999999999999" outlineLevel="1" x14ac:dyDescent="0.2">
      <c r="A600" s="61" t="s">
        <v>1004</v>
      </c>
      <c r="B600" s="14" t="s">
        <v>404</v>
      </c>
      <c r="C600" s="9" t="s">
        <v>47</v>
      </c>
      <c r="D600" s="25">
        <f t="shared" si="130"/>
        <v>6</v>
      </c>
      <c r="E600" s="54"/>
      <c r="F600" s="9"/>
      <c r="G600" s="9">
        <v>6</v>
      </c>
      <c r="H600" s="9">
        <v>0</v>
      </c>
      <c r="I600" s="9">
        <v>0</v>
      </c>
      <c r="J600" s="9">
        <v>0</v>
      </c>
      <c r="K600" s="9">
        <v>0</v>
      </c>
      <c r="L600" s="9">
        <v>0</v>
      </c>
      <c r="M600" s="9">
        <v>0</v>
      </c>
      <c r="N600" s="9">
        <v>0</v>
      </c>
      <c r="O600" s="9">
        <v>0</v>
      </c>
      <c r="P600" s="9">
        <v>0</v>
      </c>
      <c r="Q600" s="9">
        <v>0</v>
      </c>
      <c r="R600" s="9">
        <v>0</v>
      </c>
      <c r="S600" s="9">
        <v>0</v>
      </c>
      <c r="T600" s="9">
        <v>0</v>
      </c>
      <c r="U600" s="9">
        <v>0</v>
      </c>
      <c r="V600" s="9">
        <v>0</v>
      </c>
      <c r="W600" s="9">
        <v>0</v>
      </c>
      <c r="X600" s="9">
        <v>0</v>
      </c>
      <c r="Y600" s="9">
        <v>0</v>
      </c>
      <c r="Z600" s="9">
        <v>0</v>
      </c>
      <c r="AA600" s="9">
        <v>0</v>
      </c>
      <c r="AB600" s="9">
        <v>0</v>
      </c>
      <c r="AC600" s="9">
        <v>0</v>
      </c>
      <c r="AD600" s="53" t="e">
        <f>#REF!*D600</f>
        <v>#REF!</v>
      </c>
      <c r="AE600" s="53" t="e">
        <f>AD600-#REF!</f>
        <v>#REF!</v>
      </c>
      <c r="AF600" s="9"/>
      <c r="AG600" s="33" t="e">
        <f>#REF!-D600</f>
        <v>#REF!</v>
      </c>
      <c r="AH600" s="9"/>
      <c r="AI600" s="9"/>
      <c r="AJ600" s="9"/>
      <c r="AK600" s="9"/>
    </row>
    <row r="601" spans="1:37" s="12" customFormat="1" ht="20.399999999999999" outlineLevel="1" x14ac:dyDescent="0.2">
      <c r="A601" s="61" t="s">
        <v>1005</v>
      </c>
      <c r="B601" s="14" t="s">
        <v>290</v>
      </c>
      <c r="C601" s="9" t="s">
        <v>47</v>
      </c>
      <c r="D601" s="25">
        <f t="shared" si="130"/>
        <v>3</v>
      </c>
      <c r="E601" s="54"/>
      <c r="F601" s="9"/>
      <c r="G601" s="9">
        <v>3</v>
      </c>
      <c r="H601" s="9">
        <v>0</v>
      </c>
      <c r="I601" s="9">
        <v>0</v>
      </c>
      <c r="J601" s="9">
        <v>0</v>
      </c>
      <c r="K601" s="9">
        <v>0</v>
      </c>
      <c r="L601" s="9">
        <v>0</v>
      </c>
      <c r="M601" s="9">
        <v>0</v>
      </c>
      <c r="N601" s="9">
        <v>0</v>
      </c>
      <c r="O601" s="9">
        <v>0</v>
      </c>
      <c r="P601" s="9">
        <v>0</v>
      </c>
      <c r="Q601" s="9">
        <v>0</v>
      </c>
      <c r="R601" s="9">
        <v>0</v>
      </c>
      <c r="S601" s="9">
        <v>0</v>
      </c>
      <c r="T601" s="9">
        <v>0</v>
      </c>
      <c r="U601" s="9">
        <v>0</v>
      </c>
      <c r="V601" s="9">
        <v>0</v>
      </c>
      <c r="W601" s="9">
        <v>0</v>
      </c>
      <c r="X601" s="9">
        <v>0</v>
      </c>
      <c r="Y601" s="9">
        <v>0</v>
      </c>
      <c r="Z601" s="9">
        <v>0</v>
      </c>
      <c r="AA601" s="9">
        <v>0</v>
      </c>
      <c r="AB601" s="9">
        <v>0</v>
      </c>
      <c r="AC601" s="9">
        <v>0</v>
      </c>
      <c r="AD601" s="53" t="e">
        <f>#REF!*D601</f>
        <v>#REF!</v>
      </c>
      <c r="AE601" s="53" t="e">
        <f>AD601-#REF!</f>
        <v>#REF!</v>
      </c>
      <c r="AF601" s="9"/>
      <c r="AG601" s="33" t="e">
        <f>#REF!-D601</f>
        <v>#REF!</v>
      </c>
      <c r="AH601" s="9"/>
      <c r="AI601" s="9"/>
      <c r="AJ601" s="9"/>
      <c r="AK601" s="9"/>
    </row>
    <row r="602" spans="1:37" s="12" customFormat="1" ht="20.399999999999999" outlineLevel="1" x14ac:dyDescent="0.2">
      <c r="A602" s="61" t="s">
        <v>1006</v>
      </c>
      <c r="B602" s="14" t="s">
        <v>3097</v>
      </c>
      <c r="C602" s="9" t="s">
        <v>47</v>
      </c>
      <c r="D602" s="25">
        <f t="shared" si="130"/>
        <v>4</v>
      </c>
      <c r="E602" s="54"/>
      <c r="F602" s="9"/>
      <c r="G602" s="9">
        <v>4</v>
      </c>
      <c r="H602" s="9">
        <v>0</v>
      </c>
      <c r="I602" s="9">
        <v>0</v>
      </c>
      <c r="J602" s="9">
        <v>0</v>
      </c>
      <c r="K602" s="9">
        <v>0</v>
      </c>
      <c r="L602" s="9">
        <v>0</v>
      </c>
      <c r="M602" s="9">
        <v>0</v>
      </c>
      <c r="N602" s="9">
        <v>0</v>
      </c>
      <c r="O602" s="9">
        <v>0</v>
      </c>
      <c r="P602" s="9">
        <v>0</v>
      </c>
      <c r="Q602" s="9">
        <v>0</v>
      </c>
      <c r="R602" s="9">
        <v>0</v>
      </c>
      <c r="S602" s="9">
        <v>0</v>
      </c>
      <c r="T602" s="9">
        <v>0</v>
      </c>
      <c r="U602" s="9">
        <v>0</v>
      </c>
      <c r="V602" s="9">
        <v>0</v>
      </c>
      <c r="W602" s="9">
        <v>0</v>
      </c>
      <c r="X602" s="9">
        <v>0</v>
      </c>
      <c r="Y602" s="9">
        <v>0</v>
      </c>
      <c r="Z602" s="9">
        <v>0</v>
      </c>
      <c r="AA602" s="9">
        <v>0</v>
      </c>
      <c r="AB602" s="9">
        <v>0</v>
      </c>
      <c r="AC602" s="9">
        <v>0</v>
      </c>
      <c r="AD602" s="53" t="e">
        <f>#REF!*D602</f>
        <v>#REF!</v>
      </c>
      <c r="AE602" s="53" t="e">
        <f>AD602-#REF!</f>
        <v>#REF!</v>
      </c>
      <c r="AF602" s="9"/>
      <c r="AG602" s="33" t="e">
        <f>#REF!-D602</f>
        <v>#REF!</v>
      </c>
      <c r="AH602" s="9"/>
      <c r="AI602" s="9"/>
      <c r="AJ602" s="9"/>
      <c r="AK602" s="9"/>
    </row>
    <row r="603" spans="1:37" s="12" customFormat="1" ht="21.6" outlineLevel="1" x14ac:dyDescent="0.2">
      <c r="A603" s="61" t="s">
        <v>1007</v>
      </c>
      <c r="B603" s="14" t="s">
        <v>402</v>
      </c>
      <c r="C603" s="9" t="s">
        <v>47</v>
      </c>
      <c r="D603" s="25">
        <f t="shared" si="130"/>
        <v>3</v>
      </c>
      <c r="E603" s="54"/>
      <c r="F603" s="9"/>
      <c r="G603" s="9">
        <v>3</v>
      </c>
      <c r="H603" s="9">
        <v>0</v>
      </c>
      <c r="I603" s="9">
        <v>0</v>
      </c>
      <c r="J603" s="9">
        <v>0</v>
      </c>
      <c r="K603" s="9">
        <v>0</v>
      </c>
      <c r="L603" s="9">
        <v>0</v>
      </c>
      <c r="M603" s="9">
        <v>0</v>
      </c>
      <c r="N603" s="9">
        <v>0</v>
      </c>
      <c r="O603" s="9">
        <v>0</v>
      </c>
      <c r="P603" s="9">
        <v>0</v>
      </c>
      <c r="Q603" s="9">
        <v>0</v>
      </c>
      <c r="R603" s="9">
        <v>0</v>
      </c>
      <c r="S603" s="9">
        <v>0</v>
      </c>
      <c r="T603" s="9">
        <v>0</v>
      </c>
      <c r="U603" s="9">
        <v>0</v>
      </c>
      <c r="V603" s="9">
        <v>0</v>
      </c>
      <c r="W603" s="9">
        <v>0</v>
      </c>
      <c r="X603" s="9">
        <v>0</v>
      </c>
      <c r="Y603" s="9">
        <v>0</v>
      </c>
      <c r="Z603" s="9">
        <v>0</v>
      </c>
      <c r="AA603" s="9">
        <v>0</v>
      </c>
      <c r="AB603" s="9">
        <v>0</v>
      </c>
      <c r="AC603" s="9">
        <v>0</v>
      </c>
      <c r="AD603" s="53" t="e">
        <f>#REF!*D603</f>
        <v>#REF!</v>
      </c>
      <c r="AE603" s="53" t="e">
        <f>AD603-#REF!</f>
        <v>#REF!</v>
      </c>
      <c r="AF603" s="9"/>
      <c r="AG603" s="33" t="e">
        <f>#REF!-D603</f>
        <v>#REF!</v>
      </c>
      <c r="AH603" s="9"/>
      <c r="AI603" s="9"/>
      <c r="AJ603" s="9"/>
      <c r="AK603" s="9"/>
    </row>
    <row r="604" spans="1:37" s="12" customFormat="1" ht="20.399999999999999" outlineLevel="1" x14ac:dyDescent="0.2">
      <c r="A604" s="61" t="s">
        <v>1008</v>
      </c>
      <c r="B604" s="14" t="s">
        <v>291</v>
      </c>
      <c r="C604" s="9" t="s">
        <v>47</v>
      </c>
      <c r="D604" s="25">
        <f t="shared" si="130"/>
        <v>3</v>
      </c>
      <c r="E604" s="54"/>
      <c r="F604" s="9"/>
      <c r="G604" s="9">
        <v>3</v>
      </c>
      <c r="H604" s="9">
        <v>0</v>
      </c>
      <c r="I604" s="9">
        <v>0</v>
      </c>
      <c r="J604" s="9">
        <v>0</v>
      </c>
      <c r="K604" s="9">
        <v>0</v>
      </c>
      <c r="L604" s="9">
        <v>0</v>
      </c>
      <c r="M604" s="9">
        <v>0</v>
      </c>
      <c r="N604" s="9">
        <v>0</v>
      </c>
      <c r="O604" s="9">
        <v>0</v>
      </c>
      <c r="P604" s="9">
        <v>0</v>
      </c>
      <c r="Q604" s="9">
        <v>0</v>
      </c>
      <c r="R604" s="9">
        <v>0</v>
      </c>
      <c r="S604" s="9">
        <v>0</v>
      </c>
      <c r="T604" s="9">
        <v>0</v>
      </c>
      <c r="U604" s="9">
        <v>0</v>
      </c>
      <c r="V604" s="9">
        <v>0</v>
      </c>
      <c r="W604" s="9">
        <v>0</v>
      </c>
      <c r="X604" s="9">
        <v>0</v>
      </c>
      <c r="Y604" s="9">
        <v>0</v>
      </c>
      <c r="Z604" s="9">
        <v>0</v>
      </c>
      <c r="AA604" s="9">
        <v>0</v>
      </c>
      <c r="AB604" s="9">
        <v>0</v>
      </c>
      <c r="AC604" s="9">
        <v>0</v>
      </c>
      <c r="AD604" s="53" t="e">
        <f>#REF!*D604</f>
        <v>#REF!</v>
      </c>
      <c r="AE604" s="53" t="e">
        <f>AD604-#REF!</f>
        <v>#REF!</v>
      </c>
      <c r="AF604" s="9"/>
      <c r="AG604" s="33" t="e">
        <f>#REF!-D604</f>
        <v>#REF!</v>
      </c>
      <c r="AH604" s="9"/>
      <c r="AI604" s="9"/>
      <c r="AJ604" s="9"/>
      <c r="AK604" s="9"/>
    </row>
    <row r="605" spans="1:37" s="12" customFormat="1" ht="20.399999999999999" outlineLevel="1" x14ac:dyDescent="0.2">
      <c r="A605" s="61" t="s">
        <v>1009</v>
      </c>
      <c r="B605" s="14" t="s">
        <v>408</v>
      </c>
      <c r="C605" s="9" t="s">
        <v>47</v>
      </c>
      <c r="D605" s="25">
        <f t="shared" si="130"/>
        <v>1</v>
      </c>
      <c r="E605" s="54"/>
      <c r="F605" s="9"/>
      <c r="G605" s="9">
        <v>1</v>
      </c>
      <c r="H605" s="9">
        <v>0</v>
      </c>
      <c r="I605" s="9">
        <v>0</v>
      </c>
      <c r="J605" s="9">
        <v>0</v>
      </c>
      <c r="K605" s="9">
        <v>0</v>
      </c>
      <c r="L605" s="9">
        <v>0</v>
      </c>
      <c r="M605" s="9">
        <v>0</v>
      </c>
      <c r="N605" s="9">
        <v>0</v>
      </c>
      <c r="O605" s="9">
        <v>0</v>
      </c>
      <c r="P605" s="9">
        <v>0</v>
      </c>
      <c r="Q605" s="9">
        <v>0</v>
      </c>
      <c r="R605" s="9">
        <v>0</v>
      </c>
      <c r="S605" s="9">
        <v>0</v>
      </c>
      <c r="T605" s="9">
        <v>0</v>
      </c>
      <c r="U605" s="9">
        <v>0</v>
      </c>
      <c r="V605" s="9">
        <v>0</v>
      </c>
      <c r="W605" s="9">
        <v>0</v>
      </c>
      <c r="X605" s="9">
        <v>0</v>
      </c>
      <c r="Y605" s="9">
        <v>0</v>
      </c>
      <c r="Z605" s="9">
        <v>0</v>
      </c>
      <c r="AA605" s="9">
        <v>0</v>
      </c>
      <c r="AB605" s="9">
        <v>0</v>
      </c>
      <c r="AC605" s="9">
        <v>0</v>
      </c>
      <c r="AD605" s="53" t="e">
        <f>#REF!*D605</f>
        <v>#REF!</v>
      </c>
      <c r="AE605" s="53" t="e">
        <f>AD605-#REF!</f>
        <v>#REF!</v>
      </c>
      <c r="AF605" s="9"/>
      <c r="AG605" s="33" t="e">
        <f>#REF!-D605</f>
        <v>#REF!</v>
      </c>
      <c r="AH605" s="9"/>
      <c r="AI605" s="9"/>
      <c r="AJ605" s="9"/>
      <c r="AK605" s="9"/>
    </row>
    <row r="606" spans="1:37" s="12" customFormat="1" ht="20.399999999999999" outlineLevel="1" x14ac:dyDescent="0.2">
      <c r="A606" s="61" t="s">
        <v>1010</v>
      </c>
      <c r="B606" s="14" t="s">
        <v>403</v>
      </c>
      <c r="C606" s="9" t="s">
        <v>47</v>
      </c>
      <c r="D606" s="25">
        <f t="shared" si="130"/>
        <v>1</v>
      </c>
      <c r="E606" s="54"/>
      <c r="F606" s="9"/>
      <c r="G606" s="9">
        <v>1</v>
      </c>
      <c r="H606" s="9">
        <v>0</v>
      </c>
      <c r="I606" s="9">
        <v>0</v>
      </c>
      <c r="J606" s="9">
        <v>0</v>
      </c>
      <c r="K606" s="9">
        <v>0</v>
      </c>
      <c r="L606" s="9">
        <v>0</v>
      </c>
      <c r="M606" s="9">
        <v>0</v>
      </c>
      <c r="N606" s="9">
        <v>0</v>
      </c>
      <c r="O606" s="9">
        <v>0</v>
      </c>
      <c r="P606" s="9">
        <v>0</v>
      </c>
      <c r="Q606" s="9">
        <v>0</v>
      </c>
      <c r="R606" s="9">
        <v>0</v>
      </c>
      <c r="S606" s="9">
        <v>0</v>
      </c>
      <c r="T606" s="9">
        <v>0</v>
      </c>
      <c r="U606" s="9">
        <v>0</v>
      </c>
      <c r="V606" s="9">
        <v>0</v>
      </c>
      <c r="W606" s="9">
        <v>0</v>
      </c>
      <c r="X606" s="9">
        <v>0</v>
      </c>
      <c r="Y606" s="9">
        <v>0</v>
      </c>
      <c r="Z606" s="9">
        <v>0</v>
      </c>
      <c r="AA606" s="9">
        <v>0</v>
      </c>
      <c r="AB606" s="9">
        <v>0</v>
      </c>
      <c r="AC606" s="9">
        <v>0</v>
      </c>
      <c r="AD606" s="53" t="e">
        <f>#REF!*D606</f>
        <v>#REF!</v>
      </c>
      <c r="AE606" s="53" t="e">
        <f>AD606-#REF!</f>
        <v>#REF!</v>
      </c>
      <c r="AF606" s="9"/>
      <c r="AG606" s="33" t="e">
        <f>#REF!-D606</f>
        <v>#REF!</v>
      </c>
      <c r="AH606" s="9"/>
      <c r="AI606" s="9"/>
      <c r="AJ606" s="9"/>
      <c r="AK606" s="9"/>
    </row>
    <row r="607" spans="1:37" s="12" customFormat="1" ht="20.399999999999999" outlineLevel="1" x14ac:dyDescent="0.2">
      <c r="A607" s="61" t="s">
        <v>1011</v>
      </c>
      <c r="B607" s="47" t="s">
        <v>407</v>
      </c>
      <c r="C607" s="9" t="s">
        <v>48</v>
      </c>
      <c r="D607" s="25">
        <f>SUM(G607:AC607)*3</f>
        <v>6</v>
      </c>
      <c r="E607" s="54"/>
      <c r="F607" s="9"/>
      <c r="G607" s="9">
        <v>2</v>
      </c>
      <c r="H607" s="9">
        <v>0</v>
      </c>
      <c r="I607" s="9">
        <v>0</v>
      </c>
      <c r="J607" s="9">
        <v>0</v>
      </c>
      <c r="K607" s="9">
        <v>0</v>
      </c>
      <c r="L607" s="9">
        <v>0</v>
      </c>
      <c r="M607" s="9">
        <v>0</v>
      </c>
      <c r="N607" s="9">
        <v>0</v>
      </c>
      <c r="O607" s="9">
        <v>0</v>
      </c>
      <c r="P607" s="9">
        <v>0</v>
      </c>
      <c r="Q607" s="9">
        <v>0</v>
      </c>
      <c r="R607" s="9">
        <v>0</v>
      </c>
      <c r="S607" s="9">
        <v>0</v>
      </c>
      <c r="T607" s="9">
        <v>0</v>
      </c>
      <c r="U607" s="9">
        <v>0</v>
      </c>
      <c r="V607" s="9">
        <v>0</v>
      </c>
      <c r="W607" s="9">
        <v>0</v>
      </c>
      <c r="X607" s="9">
        <v>0</v>
      </c>
      <c r="Y607" s="9">
        <v>0</v>
      </c>
      <c r="Z607" s="9">
        <v>0</v>
      </c>
      <c r="AA607" s="9">
        <v>0</v>
      </c>
      <c r="AB607" s="9">
        <v>0</v>
      </c>
      <c r="AC607" s="9">
        <v>0</v>
      </c>
      <c r="AD607" s="53" t="e">
        <f>#REF!*D607</f>
        <v>#REF!</v>
      </c>
      <c r="AE607" s="53" t="e">
        <f>AD607-#REF!</f>
        <v>#REF!</v>
      </c>
      <c r="AF607" s="9"/>
      <c r="AG607" s="33" t="e">
        <f>#REF!-D607</f>
        <v>#REF!</v>
      </c>
      <c r="AH607" s="9"/>
      <c r="AI607" s="9"/>
      <c r="AJ607" s="9"/>
      <c r="AK607" s="9"/>
    </row>
    <row r="608" spans="1:37" s="12" customFormat="1" ht="20.399999999999999" outlineLevel="1" x14ac:dyDescent="0.2">
      <c r="A608" s="61" t="s">
        <v>1012</v>
      </c>
      <c r="B608" s="14" t="s">
        <v>61</v>
      </c>
      <c r="C608" s="9" t="s">
        <v>47</v>
      </c>
      <c r="D608" s="25">
        <f>SUM(G608:AC608)</f>
        <v>2</v>
      </c>
      <c r="E608" s="54"/>
      <c r="F608" s="9"/>
      <c r="G608" s="9">
        <v>2</v>
      </c>
      <c r="H608" s="9">
        <v>0</v>
      </c>
      <c r="I608" s="9">
        <v>0</v>
      </c>
      <c r="J608" s="9">
        <v>0</v>
      </c>
      <c r="K608" s="9">
        <v>0</v>
      </c>
      <c r="L608" s="9">
        <v>0</v>
      </c>
      <c r="M608" s="9">
        <v>0</v>
      </c>
      <c r="N608" s="9">
        <v>0</v>
      </c>
      <c r="O608" s="9">
        <v>0</v>
      </c>
      <c r="P608" s="9">
        <v>0</v>
      </c>
      <c r="Q608" s="9">
        <v>0</v>
      </c>
      <c r="R608" s="9">
        <v>0</v>
      </c>
      <c r="S608" s="9">
        <v>0</v>
      </c>
      <c r="T608" s="9">
        <v>0</v>
      </c>
      <c r="U608" s="9">
        <v>0</v>
      </c>
      <c r="V608" s="9">
        <v>0</v>
      </c>
      <c r="W608" s="9">
        <v>0</v>
      </c>
      <c r="X608" s="9">
        <v>0</v>
      </c>
      <c r="Y608" s="9">
        <v>0</v>
      </c>
      <c r="Z608" s="9">
        <v>0</v>
      </c>
      <c r="AA608" s="9">
        <v>0</v>
      </c>
      <c r="AB608" s="9">
        <v>0</v>
      </c>
      <c r="AC608" s="9">
        <v>0</v>
      </c>
      <c r="AD608" s="53" t="e">
        <f>#REF!*D608</f>
        <v>#REF!</v>
      </c>
      <c r="AE608" s="53" t="e">
        <f>AD608-#REF!</f>
        <v>#REF!</v>
      </c>
      <c r="AF608" s="9"/>
      <c r="AG608" s="33" t="e">
        <f>#REF!-D608</f>
        <v>#REF!</v>
      </c>
      <c r="AH608" s="9"/>
      <c r="AI608" s="9"/>
      <c r="AJ608" s="9"/>
      <c r="AK608" s="9"/>
    </row>
    <row r="609" spans="1:37" s="12" customFormat="1" ht="20.399999999999999" outlineLevel="1" x14ac:dyDescent="0.2">
      <c r="A609" s="61" t="s">
        <v>1013</v>
      </c>
      <c r="B609" s="14" t="s">
        <v>65</v>
      </c>
      <c r="C609" s="9" t="s">
        <v>47</v>
      </c>
      <c r="D609" s="25">
        <f>SUM(G609:AC609)</f>
        <v>4</v>
      </c>
      <c r="E609" s="54"/>
      <c r="F609" s="9"/>
      <c r="G609" s="9">
        <v>4</v>
      </c>
      <c r="H609" s="9">
        <v>0</v>
      </c>
      <c r="I609" s="9">
        <v>0</v>
      </c>
      <c r="J609" s="9">
        <v>0</v>
      </c>
      <c r="K609" s="9">
        <v>0</v>
      </c>
      <c r="L609" s="9">
        <v>0</v>
      </c>
      <c r="M609" s="9">
        <v>0</v>
      </c>
      <c r="N609" s="9">
        <v>0</v>
      </c>
      <c r="O609" s="9">
        <v>0</v>
      </c>
      <c r="P609" s="9">
        <v>0</v>
      </c>
      <c r="Q609" s="9">
        <v>0</v>
      </c>
      <c r="R609" s="9">
        <v>0</v>
      </c>
      <c r="S609" s="9">
        <v>0</v>
      </c>
      <c r="T609" s="9">
        <v>0</v>
      </c>
      <c r="U609" s="9">
        <v>0</v>
      </c>
      <c r="V609" s="9">
        <v>0</v>
      </c>
      <c r="W609" s="9">
        <v>0</v>
      </c>
      <c r="X609" s="9">
        <v>0</v>
      </c>
      <c r="Y609" s="9">
        <v>0</v>
      </c>
      <c r="Z609" s="9">
        <v>0</v>
      </c>
      <c r="AA609" s="9">
        <v>0</v>
      </c>
      <c r="AB609" s="9">
        <v>0</v>
      </c>
      <c r="AC609" s="9">
        <v>0</v>
      </c>
      <c r="AD609" s="53" t="e">
        <f>#REF!*D609</f>
        <v>#REF!</v>
      </c>
      <c r="AE609" s="53" t="e">
        <f>AD609-#REF!</f>
        <v>#REF!</v>
      </c>
      <c r="AF609" s="9"/>
      <c r="AG609" s="33" t="e">
        <f>#REF!-D609</f>
        <v>#REF!</v>
      </c>
      <c r="AH609" s="9"/>
      <c r="AI609" s="9"/>
      <c r="AJ609" s="9"/>
      <c r="AK609" s="9"/>
    </row>
    <row r="610" spans="1:37" s="12" customFormat="1" ht="30.6" outlineLevel="1" x14ac:dyDescent="0.2">
      <c r="A610" s="61" t="s">
        <v>2974</v>
      </c>
      <c r="B610" s="95" t="s">
        <v>3102</v>
      </c>
      <c r="C610" s="9" t="s">
        <v>48</v>
      </c>
      <c r="D610" s="25">
        <f>SUM(G610:AC610)</f>
        <v>190</v>
      </c>
      <c r="E610" s="54"/>
      <c r="F610" s="9"/>
      <c r="G610" s="9">
        <v>190</v>
      </c>
      <c r="H610" s="9">
        <v>0</v>
      </c>
      <c r="I610" s="9">
        <v>0</v>
      </c>
      <c r="J610" s="9">
        <v>0</v>
      </c>
      <c r="K610" s="9">
        <v>0</v>
      </c>
      <c r="L610" s="9">
        <v>0</v>
      </c>
      <c r="M610" s="9">
        <v>0</v>
      </c>
      <c r="N610" s="9">
        <v>0</v>
      </c>
      <c r="O610" s="9">
        <v>0</v>
      </c>
      <c r="P610" s="9">
        <v>0</v>
      </c>
      <c r="Q610" s="9">
        <v>0</v>
      </c>
      <c r="R610" s="9">
        <v>0</v>
      </c>
      <c r="S610" s="9">
        <v>0</v>
      </c>
      <c r="T610" s="9">
        <v>0</v>
      </c>
      <c r="U610" s="9">
        <v>0</v>
      </c>
      <c r="V610" s="9">
        <v>0</v>
      </c>
      <c r="W610" s="9">
        <v>0</v>
      </c>
      <c r="X610" s="9">
        <v>0</v>
      </c>
      <c r="Y610" s="9">
        <v>0</v>
      </c>
      <c r="Z610" s="9">
        <v>0</v>
      </c>
      <c r="AA610" s="9">
        <v>0</v>
      </c>
      <c r="AB610" s="9">
        <v>0</v>
      </c>
      <c r="AC610" s="9">
        <v>0</v>
      </c>
      <c r="AD610" s="53" t="e">
        <f>#REF!*D610</f>
        <v>#REF!</v>
      </c>
      <c r="AE610" s="53" t="e">
        <f>AD610-#REF!</f>
        <v>#REF!</v>
      </c>
      <c r="AF610" s="9"/>
      <c r="AG610" s="33" t="e">
        <f>#REF!-D610</f>
        <v>#REF!</v>
      </c>
      <c r="AH610" s="9"/>
      <c r="AI610" s="9"/>
      <c r="AJ610" s="9"/>
      <c r="AK610" s="9"/>
    </row>
    <row r="611" spans="1:37" s="12" customFormat="1" ht="27" customHeight="1" outlineLevel="1" x14ac:dyDescent="0.2">
      <c r="A611" s="61" t="s">
        <v>1014</v>
      </c>
      <c r="B611" s="47" t="s">
        <v>3159</v>
      </c>
      <c r="C611" s="9" t="s">
        <v>48</v>
      </c>
      <c r="D611" s="25">
        <f>SUM(G611:AC611)*3</f>
        <v>9</v>
      </c>
      <c r="E611" s="54"/>
      <c r="F611" s="9"/>
      <c r="G611" s="9">
        <v>3</v>
      </c>
      <c r="H611" s="9">
        <v>0</v>
      </c>
      <c r="I611" s="9">
        <v>0</v>
      </c>
      <c r="J611" s="9">
        <v>0</v>
      </c>
      <c r="K611" s="9">
        <v>0</v>
      </c>
      <c r="L611" s="9">
        <v>0</v>
      </c>
      <c r="M611" s="9">
        <v>0</v>
      </c>
      <c r="N611" s="9">
        <v>0</v>
      </c>
      <c r="O611" s="9">
        <v>0</v>
      </c>
      <c r="P611" s="9">
        <v>0</v>
      </c>
      <c r="Q611" s="9">
        <v>0</v>
      </c>
      <c r="R611" s="9">
        <v>0</v>
      </c>
      <c r="S611" s="9">
        <v>0</v>
      </c>
      <c r="T611" s="9">
        <v>0</v>
      </c>
      <c r="U611" s="9">
        <v>0</v>
      </c>
      <c r="V611" s="9">
        <v>0</v>
      </c>
      <c r="W611" s="9">
        <v>0</v>
      </c>
      <c r="X611" s="9">
        <v>0</v>
      </c>
      <c r="Y611" s="9">
        <v>0</v>
      </c>
      <c r="Z611" s="9">
        <v>0</v>
      </c>
      <c r="AA611" s="9">
        <v>0</v>
      </c>
      <c r="AB611" s="9">
        <v>0</v>
      </c>
      <c r="AC611" s="9">
        <v>0</v>
      </c>
      <c r="AD611" s="53" t="e">
        <f>#REF!*D611</f>
        <v>#REF!</v>
      </c>
      <c r="AE611" s="53" t="e">
        <f>AD611-#REF!</f>
        <v>#REF!</v>
      </c>
      <c r="AF611" s="9"/>
      <c r="AG611" s="33" t="e">
        <f>#REF!-D611</f>
        <v>#REF!</v>
      </c>
      <c r="AH611" s="9"/>
      <c r="AI611" s="9"/>
      <c r="AJ611" s="9"/>
      <c r="AK611" s="9"/>
    </row>
    <row r="612" spans="1:37" s="12" customFormat="1" ht="21.6" outlineLevel="1" x14ac:dyDescent="0.2">
      <c r="A612" s="61" t="s">
        <v>1015</v>
      </c>
      <c r="B612" s="14" t="s">
        <v>3157</v>
      </c>
      <c r="C612" s="9" t="s">
        <v>47</v>
      </c>
      <c r="D612" s="25">
        <f t="shared" ref="D612:D618" si="131">SUM(G612:AC612)</f>
        <v>2</v>
      </c>
      <c r="E612" s="54"/>
      <c r="F612" s="9"/>
      <c r="G612" s="9">
        <v>2</v>
      </c>
      <c r="H612" s="9">
        <v>0</v>
      </c>
      <c r="I612" s="9">
        <v>0</v>
      </c>
      <c r="J612" s="9">
        <v>0</v>
      </c>
      <c r="K612" s="9">
        <v>0</v>
      </c>
      <c r="L612" s="9">
        <v>0</v>
      </c>
      <c r="M612" s="9">
        <v>0</v>
      </c>
      <c r="N612" s="9">
        <v>0</v>
      </c>
      <c r="O612" s="9">
        <v>0</v>
      </c>
      <c r="P612" s="9">
        <v>0</v>
      </c>
      <c r="Q612" s="9">
        <v>0</v>
      </c>
      <c r="R612" s="9">
        <v>0</v>
      </c>
      <c r="S612" s="9">
        <v>0</v>
      </c>
      <c r="T612" s="9">
        <v>0</v>
      </c>
      <c r="U612" s="9">
        <v>0</v>
      </c>
      <c r="V612" s="9">
        <v>0</v>
      </c>
      <c r="W612" s="9">
        <v>0</v>
      </c>
      <c r="X612" s="9">
        <v>0</v>
      </c>
      <c r="Y612" s="9">
        <v>0</v>
      </c>
      <c r="Z612" s="9">
        <v>0</v>
      </c>
      <c r="AA612" s="9">
        <v>0</v>
      </c>
      <c r="AB612" s="9">
        <v>0</v>
      </c>
      <c r="AC612" s="9">
        <v>0</v>
      </c>
      <c r="AD612" s="53" t="e">
        <f>#REF!*D612</f>
        <v>#REF!</v>
      </c>
      <c r="AE612" s="53" t="e">
        <f>AD612-#REF!</f>
        <v>#REF!</v>
      </c>
      <c r="AF612" s="9"/>
      <c r="AG612" s="33" t="e">
        <f>#REF!-D612</f>
        <v>#REF!</v>
      </c>
      <c r="AH612" s="9"/>
      <c r="AI612" s="9"/>
      <c r="AJ612" s="9"/>
      <c r="AK612" s="9"/>
    </row>
    <row r="613" spans="1:37" s="12" customFormat="1" ht="20.399999999999999" outlineLevel="1" x14ac:dyDescent="0.2">
      <c r="A613" s="61" t="s">
        <v>1016</v>
      </c>
      <c r="B613" s="14" t="s">
        <v>3158</v>
      </c>
      <c r="C613" s="9" t="s">
        <v>47</v>
      </c>
      <c r="D613" s="25">
        <f t="shared" si="131"/>
        <v>2</v>
      </c>
      <c r="E613" s="54"/>
      <c r="F613" s="9"/>
      <c r="G613" s="9">
        <v>2</v>
      </c>
      <c r="H613" s="9">
        <v>0</v>
      </c>
      <c r="I613" s="9">
        <v>0</v>
      </c>
      <c r="J613" s="9">
        <v>0</v>
      </c>
      <c r="K613" s="9">
        <v>0</v>
      </c>
      <c r="L613" s="9">
        <v>0</v>
      </c>
      <c r="M613" s="9">
        <v>0</v>
      </c>
      <c r="N613" s="9">
        <v>0</v>
      </c>
      <c r="O613" s="9">
        <v>0</v>
      </c>
      <c r="P613" s="9">
        <v>0</v>
      </c>
      <c r="Q613" s="9">
        <v>0</v>
      </c>
      <c r="R613" s="9">
        <v>0</v>
      </c>
      <c r="S613" s="9">
        <v>0</v>
      </c>
      <c r="T613" s="9">
        <v>0</v>
      </c>
      <c r="U613" s="9">
        <v>0</v>
      </c>
      <c r="V613" s="9">
        <v>0</v>
      </c>
      <c r="W613" s="9">
        <v>0</v>
      </c>
      <c r="X613" s="9">
        <v>0</v>
      </c>
      <c r="Y613" s="9">
        <v>0</v>
      </c>
      <c r="Z613" s="9">
        <v>0</v>
      </c>
      <c r="AA613" s="9">
        <v>0</v>
      </c>
      <c r="AB613" s="9">
        <v>0</v>
      </c>
      <c r="AC613" s="9">
        <v>0</v>
      </c>
      <c r="AD613" s="53" t="e">
        <f>#REF!*D613</f>
        <v>#REF!</v>
      </c>
      <c r="AE613" s="53" t="e">
        <f>AD613-#REF!</f>
        <v>#REF!</v>
      </c>
      <c r="AF613" s="9"/>
      <c r="AG613" s="33" t="e">
        <f>#REF!-D613</f>
        <v>#REF!</v>
      </c>
      <c r="AH613" s="9"/>
      <c r="AI613" s="9"/>
      <c r="AJ613" s="9"/>
      <c r="AK613" s="9"/>
    </row>
    <row r="614" spans="1:37" s="12" customFormat="1" ht="22.8" outlineLevel="1" x14ac:dyDescent="0.2">
      <c r="A614" s="61" t="s">
        <v>1017</v>
      </c>
      <c r="B614" s="14" t="s">
        <v>3165</v>
      </c>
      <c r="C614" s="9" t="s">
        <v>48</v>
      </c>
      <c r="D614" s="25">
        <f t="shared" si="131"/>
        <v>885</v>
      </c>
      <c r="E614" s="54"/>
      <c r="F614" s="9"/>
      <c r="G614" s="9">
        <v>885</v>
      </c>
      <c r="H614" s="9">
        <v>0</v>
      </c>
      <c r="I614" s="9">
        <v>0</v>
      </c>
      <c r="J614" s="9">
        <v>0</v>
      </c>
      <c r="K614" s="9">
        <v>0</v>
      </c>
      <c r="L614" s="9">
        <v>0</v>
      </c>
      <c r="M614" s="9">
        <v>0</v>
      </c>
      <c r="N614" s="9">
        <v>0</v>
      </c>
      <c r="O614" s="9">
        <v>0</v>
      </c>
      <c r="P614" s="9">
        <v>0</v>
      </c>
      <c r="Q614" s="9">
        <v>0</v>
      </c>
      <c r="R614" s="9">
        <v>0</v>
      </c>
      <c r="S614" s="9">
        <v>0</v>
      </c>
      <c r="T614" s="9">
        <v>0</v>
      </c>
      <c r="U614" s="9">
        <v>0</v>
      </c>
      <c r="V614" s="9">
        <v>0</v>
      </c>
      <c r="W614" s="9">
        <v>0</v>
      </c>
      <c r="X614" s="9">
        <v>0</v>
      </c>
      <c r="Y614" s="9">
        <v>0</v>
      </c>
      <c r="Z614" s="9">
        <v>0</v>
      </c>
      <c r="AA614" s="9">
        <v>0</v>
      </c>
      <c r="AB614" s="9">
        <v>0</v>
      </c>
      <c r="AC614" s="9">
        <v>0</v>
      </c>
      <c r="AD614" s="53" t="e">
        <f>#REF!*D614</f>
        <v>#REF!</v>
      </c>
      <c r="AE614" s="53" t="e">
        <f>AD614-#REF!</f>
        <v>#REF!</v>
      </c>
      <c r="AF614" s="9"/>
      <c r="AG614" s="33" t="e">
        <f>#REF!-D614</f>
        <v>#REF!</v>
      </c>
      <c r="AH614" s="9"/>
      <c r="AI614" s="9"/>
      <c r="AJ614" s="9"/>
      <c r="AK614" s="9"/>
    </row>
    <row r="615" spans="1:37" s="12" customFormat="1" ht="27" customHeight="1" outlineLevel="1" x14ac:dyDescent="0.2">
      <c r="A615" s="61" t="s">
        <v>1018</v>
      </c>
      <c r="B615" s="47" t="s">
        <v>413</v>
      </c>
      <c r="C615" s="9" t="s">
        <v>48</v>
      </c>
      <c r="D615" s="25">
        <f t="shared" si="131"/>
        <v>40</v>
      </c>
      <c r="E615" s="54"/>
      <c r="F615" s="9"/>
      <c r="G615" s="9">
        <v>40</v>
      </c>
      <c r="H615" s="9">
        <v>0</v>
      </c>
      <c r="I615" s="9">
        <v>0</v>
      </c>
      <c r="J615" s="9">
        <v>0</v>
      </c>
      <c r="K615" s="9">
        <v>0</v>
      </c>
      <c r="L615" s="9">
        <v>0</v>
      </c>
      <c r="M615" s="9">
        <v>0</v>
      </c>
      <c r="N615" s="9">
        <v>0</v>
      </c>
      <c r="O615" s="9">
        <v>0</v>
      </c>
      <c r="P615" s="9">
        <v>0</v>
      </c>
      <c r="Q615" s="9">
        <v>0</v>
      </c>
      <c r="R615" s="9">
        <v>0</v>
      </c>
      <c r="S615" s="9">
        <v>0</v>
      </c>
      <c r="T615" s="9">
        <v>0</v>
      </c>
      <c r="U615" s="9">
        <v>0</v>
      </c>
      <c r="V615" s="9">
        <v>0</v>
      </c>
      <c r="W615" s="9">
        <v>0</v>
      </c>
      <c r="X615" s="9">
        <v>0</v>
      </c>
      <c r="Y615" s="9">
        <v>0</v>
      </c>
      <c r="Z615" s="9">
        <v>0</v>
      </c>
      <c r="AA615" s="9">
        <v>0</v>
      </c>
      <c r="AB615" s="9">
        <v>0</v>
      </c>
      <c r="AC615" s="9">
        <v>0</v>
      </c>
      <c r="AD615" s="53" t="e">
        <f>#REF!*D615</f>
        <v>#REF!</v>
      </c>
      <c r="AE615" s="53" t="e">
        <f>AD615-#REF!</f>
        <v>#REF!</v>
      </c>
      <c r="AF615" s="9"/>
      <c r="AG615" s="33" t="e">
        <f>#REF!-D615</f>
        <v>#REF!</v>
      </c>
      <c r="AH615" s="9"/>
      <c r="AI615" s="9"/>
      <c r="AJ615" s="9"/>
      <c r="AK615" s="9"/>
    </row>
    <row r="616" spans="1:37" s="12" customFormat="1" ht="40.799999999999997" outlineLevel="1" x14ac:dyDescent="0.2">
      <c r="A616" s="61" t="s">
        <v>1019</v>
      </c>
      <c r="B616" s="14" t="s">
        <v>409</v>
      </c>
      <c r="C616" s="9" t="s">
        <v>47</v>
      </c>
      <c r="D616" s="25">
        <f t="shared" si="131"/>
        <v>6</v>
      </c>
      <c r="E616" s="54"/>
      <c r="F616" s="9"/>
      <c r="G616" s="9">
        <v>6</v>
      </c>
      <c r="H616" s="9">
        <v>0</v>
      </c>
      <c r="I616" s="9">
        <v>0</v>
      </c>
      <c r="J616" s="9">
        <v>0</v>
      </c>
      <c r="K616" s="9">
        <v>0</v>
      </c>
      <c r="L616" s="9">
        <v>0</v>
      </c>
      <c r="M616" s="9">
        <v>0</v>
      </c>
      <c r="N616" s="9">
        <v>0</v>
      </c>
      <c r="O616" s="9">
        <v>0</v>
      </c>
      <c r="P616" s="9">
        <v>0</v>
      </c>
      <c r="Q616" s="9">
        <v>0</v>
      </c>
      <c r="R616" s="9">
        <v>0</v>
      </c>
      <c r="S616" s="9">
        <v>0</v>
      </c>
      <c r="T616" s="9">
        <v>0</v>
      </c>
      <c r="U616" s="9">
        <v>0</v>
      </c>
      <c r="V616" s="9">
        <v>0</v>
      </c>
      <c r="W616" s="9">
        <v>0</v>
      </c>
      <c r="X616" s="9">
        <v>0</v>
      </c>
      <c r="Y616" s="9">
        <v>0</v>
      </c>
      <c r="Z616" s="9">
        <v>0</v>
      </c>
      <c r="AA616" s="9">
        <v>0</v>
      </c>
      <c r="AB616" s="9">
        <v>0</v>
      </c>
      <c r="AC616" s="9">
        <v>0</v>
      </c>
      <c r="AD616" s="53" t="e">
        <f>#REF!*D616</f>
        <v>#REF!</v>
      </c>
      <c r="AE616" s="53" t="e">
        <f>AD616-#REF!</f>
        <v>#REF!</v>
      </c>
      <c r="AF616" s="9"/>
      <c r="AG616" s="33" t="e">
        <f>#REF!-D616</f>
        <v>#REF!</v>
      </c>
      <c r="AH616" s="9"/>
      <c r="AI616" s="9"/>
      <c r="AJ616" s="9"/>
      <c r="AK616" s="9"/>
    </row>
    <row r="617" spans="1:37" s="12" customFormat="1" ht="11.4" outlineLevel="1" x14ac:dyDescent="0.2">
      <c r="A617" s="61" t="s">
        <v>1020</v>
      </c>
      <c r="B617" s="14" t="s">
        <v>410</v>
      </c>
      <c r="C617" s="9" t="s">
        <v>47</v>
      </c>
      <c r="D617" s="25">
        <f t="shared" si="131"/>
        <v>6</v>
      </c>
      <c r="E617" s="54"/>
      <c r="F617" s="9"/>
      <c r="G617" s="9">
        <v>6</v>
      </c>
      <c r="H617" s="9">
        <v>0</v>
      </c>
      <c r="I617" s="9">
        <v>0</v>
      </c>
      <c r="J617" s="9">
        <v>0</v>
      </c>
      <c r="K617" s="9">
        <v>0</v>
      </c>
      <c r="L617" s="9">
        <v>0</v>
      </c>
      <c r="M617" s="9">
        <v>0</v>
      </c>
      <c r="N617" s="9">
        <v>0</v>
      </c>
      <c r="O617" s="9">
        <v>0</v>
      </c>
      <c r="P617" s="9">
        <v>0</v>
      </c>
      <c r="Q617" s="9">
        <v>0</v>
      </c>
      <c r="R617" s="9">
        <v>0</v>
      </c>
      <c r="S617" s="9">
        <v>0</v>
      </c>
      <c r="T617" s="9">
        <v>0</v>
      </c>
      <c r="U617" s="9">
        <v>0</v>
      </c>
      <c r="V617" s="9">
        <v>0</v>
      </c>
      <c r="W617" s="9">
        <v>0</v>
      </c>
      <c r="X617" s="9">
        <v>0</v>
      </c>
      <c r="Y617" s="9">
        <v>0</v>
      </c>
      <c r="Z617" s="9">
        <v>0</v>
      </c>
      <c r="AA617" s="9">
        <v>0</v>
      </c>
      <c r="AB617" s="9">
        <v>0</v>
      </c>
      <c r="AC617" s="9">
        <v>0</v>
      </c>
      <c r="AD617" s="53" t="e">
        <f>#REF!*D617</f>
        <v>#REF!</v>
      </c>
      <c r="AE617" s="53" t="e">
        <f>AD617-#REF!</f>
        <v>#REF!</v>
      </c>
      <c r="AF617" s="9"/>
      <c r="AG617" s="33" t="e">
        <f>#REF!-D617</f>
        <v>#REF!</v>
      </c>
      <c r="AH617" s="9"/>
      <c r="AI617" s="9"/>
      <c r="AJ617" s="9"/>
      <c r="AK617" s="9"/>
    </row>
    <row r="618" spans="1:37" s="12" customFormat="1" ht="30.6" outlineLevel="1" x14ac:dyDescent="0.2">
      <c r="A618" s="61" t="s">
        <v>1021</v>
      </c>
      <c r="B618" s="47" t="s">
        <v>3100</v>
      </c>
      <c r="C618" s="9" t="s">
        <v>47</v>
      </c>
      <c r="D618" s="25">
        <f t="shared" si="131"/>
        <v>1</v>
      </c>
      <c r="E618" s="54"/>
      <c r="F618" s="9"/>
      <c r="G618" s="9">
        <v>1</v>
      </c>
      <c r="H618" s="9">
        <v>0</v>
      </c>
      <c r="I618" s="9">
        <v>0</v>
      </c>
      <c r="J618" s="9">
        <v>0</v>
      </c>
      <c r="K618" s="9">
        <v>0</v>
      </c>
      <c r="L618" s="9">
        <v>0</v>
      </c>
      <c r="M618" s="9">
        <v>0</v>
      </c>
      <c r="N618" s="9">
        <v>0</v>
      </c>
      <c r="O618" s="9">
        <v>0</v>
      </c>
      <c r="P618" s="9">
        <v>0</v>
      </c>
      <c r="Q618" s="9">
        <v>0</v>
      </c>
      <c r="R618" s="9">
        <v>0</v>
      </c>
      <c r="S618" s="9">
        <v>0</v>
      </c>
      <c r="T618" s="9">
        <v>0</v>
      </c>
      <c r="U618" s="9">
        <v>0</v>
      </c>
      <c r="V618" s="9">
        <v>0</v>
      </c>
      <c r="W618" s="9">
        <v>0</v>
      </c>
      <c r="X618" s="9">
        <v>0</v>
      </c>
      <c r="Y618" s="9">
        <v>0</v>
      </c>
      <c r="Z618" s="9">
        <v>0</v>
      </c>
      <c r="AA618" s="9">
        <v>0</v>
      </c>
      <c r="AB618" s="9">
        <v>0</v>
      </c>
      <c r="AC618" s="9">
        <v>0</v>
      </c>
      <c r="AD618" s="53" t="e">
        <f>#REF!*D618</f>
        <v>#REF!</v>
      </c>
      <c r="AE618" s="53" t="e">
        <f>AD618-#REF!</f>
        <v>#REF!</v>
      </c>
      <c r="AF618" s="9"/>
      <c r="AG618" s="33" t="e">
        <f>#REF!-D618</f>
        <v>#REF!</v>
      </c>
      <c r="AH618" s="9"/>
      <c r="AI618" s="9"/>
      <c r="AJ618" s="9"/>
      <c r="AK618" s="9"/>
    </row>
    <row r="619" spans="1:37" s="12" customFormat="1" ht="10.199999999999999" outlineLevel="1" x14ac:dyDescent="0.2">
      <c r="A619" s="61"/>
      <c r="B619" s="63"/>
      <c r="C619" s="9"/>
      <c r="D619" s="25"/>
      <c r="E619" s="54"/>
      <c r="F619" s="9"/>
      <c r="G619" s="9"/>
      <c r="H619" s="9"/>
      <c r="I619" s="9"/>
      <c r="J619" s="9"/>
      <c r="K619" s="9"/>
      <c r="L619" s="9"/>
      <c r="M619" s="9"/>
      <c r="N619" s="9"/>
      <c r="O619" s="9"/>
      <c r="P619" s="9"/>
      <c r="Q619" s="9"/>
      <c r="R619" s="9"/>
      <c r="S619" s="9"/>
      <c r="T619" s="9"/>
      <c r="U619" s="9"/>
      <c r="V619" s="9"/>
      <c r="W619" s="9"/>
      <c r="X619" s="9"/>
      <c r="Y619" s="9"/>
      <c r="Z619" s="9"/>
      <c r="AA619" s="9"/>
      <c r="AB619" s="9"/>
      <c r="AC619" s="9"/>
      <c r="AD619" s="53" t="e">
        <f>#REF!*D619</f>
        <v>#REF!</v>
      </c>
      <c r="AE619" s="53" t="e">
        <f>AD619-#REF!</f>
        <v>#REF!</v>
      </c>
      <c r="AF619" s="9"/>
      <c r="AG619" s="33" t="e">
        <f>#REF!-D619</f>
        <v>#REF!</v>
      </c>
      <c r="AH619" s="9"/>
      <c r="AI619" s="9"/>
      <c r="AJ619" s="9"/>
      <c r="AK619" s="9"/>
    </row>
    <row r="620" spans="1:37" s="12" customFormat="1" ht="12" x14ac:dyDescent="0.25">
      <c r="A620" s="18" t="s">
        <v>3381</v>
      </c>
      <c r="B620" s="35" t="s">
        <v>2973</v>
      </c>
      <c r="C620" s="18" t="s">
        <v>41</v>
      </c>
      <c r="D620" s="228" t="e">
        <f>#REF!/#REF!*100</f>
        <v>#REF!</v>
      </c>
      <c r="E620" s="54"/>
      <c r="F620" s="9"/>
      <c r="G620" s="9"/>
      <c r="H620" s="9"/>
      <c r="I620" s="9"/>
      <c r="J620" s="9"/>
      <c r="K620" s="9"/>
      <c r="L620" s="9"/>
      <c r="M620" s="9"/>
      <c r="N620" s="9"/>
      <c r="O620" s="9"/>
      <c r="P620" s="9"/>
      <c r="Q620" s="9"/>
      <c r="R620" s="9"/>
      <c r="S620" s="9"/>
      <c r="T620" s="9"/>
      <c r="U620" s="9"/>
      <c r="V620" s="9"/>
      <c r="W620" s="9"/>
      <c r="X620" s="9"/>
      <c r="Y620" s="9"/>
      <c r="Z620" s="9"/>
      <c r="AA620" s="9"/>
      <c r="AB620" s="9"/>
      <c r="AC620" s="9"/>
      <c r="AD620" s="53" t="e">
        <f>#REF!*D620</f>
        <v>#REF!</v>
      </c>
      <c r="AE620" s="53" t="e">
        <f>AD620-#REF!</f>
        <v>#REF!</v>
      </c>
      <c r="AF620" s="9"/>
      <c r="AG620" s="33" t="e">
        <f>#REF!-D620</f>
        <v>#REF!</v>
      </c>
      <c r="AH620" s="9"/>
      <c r="AI620" s="9"/>
      <c r="AJ620" s="9"/>
      <c r="AK620" s="9"/>
    </row>
    <row r="621" spans="1:37" s="12" customFormat="1" ht="52.2" outlineLevel="1" x14ac:dyDescent="0.2">
      <c r="A621" s="61" t="s">
        <v>1022</v>
      </c>
      <c r="B621" s="80" t="s">
        <v>3175</v>
      </c>
      <c r="C621" s="9" t="s">
        <v>47</v>
      </c>
      <c r="D621" s="25">
        <f>SUM(G621:T621)</f>
        <v>2</v>
      </c>
      <c r="E621" s="54"/>
      <c r="F621" s="9"/>
      <c r="G621" s="9">
        <v>0</v>
      </c>
      <c r="H621" s="9">
        <v>2</v>
      </c>
      <c r="I621" s="9">
        <v>0</v>
      </c>
      <c r="J621" s="9">
        <v>0</v>
      </c>
      <c r="K621" s="9">
        <v>0</v>
      </c>
      <c r="L621" s="9">
        <v>0</v>
      </c>
      <c r="M621" s="9">
        <v>0</v>
      </c>
      <c r="N621" s="9">
        <v>0</v>
      </c>
      <c r="O621" s="9">
        <v>0</v>
      </c>
      <c r="P621" s="9">
        <v>0</v>
      </c>
      <c r="Q621" s="9">
        <v>0</v>
      </c>
      <c r="R621" s="9">
        <v>0</v>
      </c>
      <c r="S621" s="9">
        <v>0</v>
      </c>
      <c r="T621" s="9">
        <v>0</v>
      </c>
      <c r="U621" s="9">
        <v>0</v>
      </c>
      <c r="V621" s="9">
        <v>0</v>
      </c>
      <c r="W621" s="9">
        <v>0</v>
      </c>
      <c r="X621" s="9">
        <v>0</v>
      </c>
      <c r="Y621" s="9">
        <v>0</v>
      </c>
      <c r="Z621" s="9">
        <v>0</v>
      </c>
      <c r="AA621" s="9">
        <v>0</v>
      </c>
      <c r="AB621" s="9">
        <v>0</v>
      </c>
      <c r="AC621" s="9">
        <v>0</v>
      </c>
      <c r="AD621" s="53" t="e">
        <f>#REF!*D621</f>
        <v>#REF!</v>
      </c>
      <c r="AE621" s="53" t="e">
        <f>AD621-#REF!</f>
        <v>#REF!</v>
      </c>
      <c r="AF621" s="9"/>
      <c r="AG621" s="33" t="e">
        <f>#REF!-D621</f>
        <v>#REF!</v>
      </c>
      <c r="AH621" s="9"/>
      <c r="AI621" s="9"/>
      <c r="AJ621" s="9"/>
      <c r="AK621" s="9"/>
    </row>
    <row r="622" spans="1:37" s="12" customFormat="1" ht="10.199999999999999" outlineLevel="1" x14ac:dyDescent="0.2">
      <c r="A622" s="61" t="s">
        <v>1023</v>
      </c>
      <c r="B622" s="99" t="s">
        <v>3103</v>
      </c>
      <c r="C622" s="9" t="s">
        <v>47</v>
      </c>
      <c r="D622" s="25">
        <f>SUM(G622:AC622)</f>
        <v>1</v>
      </c>
      <c r="E622" s="54"/>
      <c r="F622" s="9"/>
      <c r="G622" s="9">
        <v>0</v>
      </c>
      <c r="H622" s="9">
        <v>1</v>
      </c>
      <c r="I622" s="9">
        <v>0</v>
      </c>
      <c r="J622" s="9">
        <v>0</v>
      </c>
      <c r="K622" s="9">
        <v>0</v>
      </c>
      <c r="L622" s="9">
        <v>0</v>
      </c>
      <c r="M622" s="9">
        <v>0</v>
      </c>
      <c r="N622" s="9">
        <v>0</v>
      </c>
      <c r="O622" s="9">
        <v>0</v>
      </c>
      <c r="P622" s="9">
        <v>0</v>
      </c>
      <c r="Q622" s="9">
        <v>0</v>
      </c>
      <c r="R622" s="9">
        <v>0</v>
      </c>
      <c r="S622" s="9">
        <v>0</v>
      </c>
      <c r="T622" s="9">
        <v>0</v>
      </c>
      <c r="U622" s="9">
        <v>0</v>
      </c>
      <c r="V622" s="9">
        <v>0</v>
      </c>
      <c r="W622" s="9">
        <v>0</v>
      </c>
      <c r="X622" s="9">
        <v>0</v>
      </c>
      <c r="Y622" s="9">
        <v>0</v>
      </c>
      <c r="Z622" s="9">
        <v>0</v>
      </c>
      <c r="AA622" s="9">
        <v>0</v>
      </c>
      <c r="AB622" s="9">
        <v>0</v>
      </c>
      <c r="AC622" s="9">
        <v>0</v>
      </c>
      <c r="AD622" s="53" t="e">
        <f>#REF!*D622</f>
        <v>#REF!</v>
      </c>
      <c r="AE622" s="53" t="e">
        <f>AD622-#REF!</f>
        <v>#REF!</v>
      </c>
      <c r="AF622" s="9"/>
      <c r="AG622" s="33" t="e">
        <f>#REF!-D622</f>
        <v>#REF!</v>
      </c>
      <c r="AH622" s="9"/>
      <c r="AI622" s="9"/>
      <c r="AJ622" s="9"/>
      <c r="AK622" s="9"/>
    </row>
    <row r="623" spans="1:37" s="12" customFormat="1" ht="20.399999999999999" outlineLevel="1" x14ac:dyDescent="0.2">
      <c r="A623" s="61" t="s">
        <v>1024</v>
      </c>
      <c r="B623" s="99" t="s">
        <v>3104</v>
      </c>
      <c r="C623" s="9" t="s">
        <v>47</v>
      </c>
      <c r="D623" s="25">
        <f>SUM(G623:AC623)</f>
        <v>1</v>
      </c>
      <c r="E623" s="54"/>
      <c r="F623" s="78"/>
      <c r="G623" s="9">
        <v>0</v>
      </c>
      <c r="H623" s="9">
        <v>1</v>
      </c>
      <c r="I623" s="9">
        <v>0</v>
      </c>
      <c r="J623" s="9">
        <v>0</v>
      </c>
      <c r="K623" s="9">
        <v>0</v>
      </c>
      <c r="L623" s="9">
        <v>0</v>
      </c>
      <c r="M623" s="9">
        <v>0</v>
      </c>
      <c r="N623" s="9">
        <v>0</v>
      </c>
      <c r="O623" s="9">
        <v>0</v>
      </c>
      <c r="P623" s="9">
        <v>0</v>
      </c>
      <c r="Q623" s="9">
        <v>0</v>
      </c>
      <c r="R623" s="9">
        <v>0</v>
      </c>
      <c r="S623" s="9">
        <v>0</v>
      </c>
      <c r="T623" s="9">
        <v>0</v>
      </c>
      <c r="U623" s="9">
        <v>0</v>
      </c>
      <c r="V623" s="9">
        <v>0</v>
      </c>
      <c r="W623" s="9">
        <v>0</v>
      </c>
      <c r="X623" s="9">
        <v>0</v>
      </c>
      <c r="Y623" s="9">
        <v>0</v>
      </c>
      <c r="Z623" s="9">
        <v>0</v>
      </c>
      <c r="AA623" s="9">
        <v>0</v>
      </c>
      <c r="AB623" s="9">
        <v>0</v>
      </c>
      <c r="AC623" s="9">
        <v>0</v>
      </c>
      <c r="AD623" s="53" t="e">
        <f>#REF!*D623</f>
        <v>#REF!</v>
      </c>
      <c r="AE623" s="53" t="e">
        <f>AD623-#REF!</f>
        <v>#REF!</v>
      </c>
      <c r="AF623" s="9"/>
      <c r="AG623" s="33" t="e">
        <f>#REF!-D623</f>
        <v>#REF!</v>
      </c>
      <c r="AH623" s="9"/>
      <c r="AI623" s="9"/>
      <c r="AJ623" s="9"/>
      <c r="AK623" s="9"/>
    </row>
    <row r="624" spans="1:37" s="12" customFormat="1" ht="10.199999999999999" outlineLevel="1" x14ac:dyDescent="0.2">
      <c r="A624" s="61" t="s">
        <v>1025</v>
      </c>
      <c r="B624" s="99" t="s">
        <v>3105</v>
      </c>
      <c r="C624" s="9" t="s">
        <v>47</v>
      </c>
      <c r="D624" s="25">
        <f>SUM(G624:AC624)</f>
        <v>1</v>
      </c>
      <c r="E624" s="54"/>
      <c r="F624" s="9"/>
      <c r="G624" s="9">
        <v>0</v>
      </c>
      <c r="H624" s="9">
        <v>1</v>
      </c>
      <c r="I624" s="9">
        <v>0</v>
      </c>
      <c r="J624" s="9">
        <v>0</v>
      </c>
      <c r="K624" s="9">
        <v>0</v>
      </c>
      <c r="L624" s="9">
        <v>0</v>
      </c>
      <c r="M624" s="9">
        <v>0</v>
      </c>
      <c r="N624" s="9">
        <v>0</v>
      </c>
      <c r="O624" s="9">
        <v>0</v>
      </c>
      <c r="P624" s="9">
        <v>0</v>
      </c>
      <c r="Q624" s="9">
        <v>0</v>
      </c>
      <c r="R624" s="9">
        <v>0</v>
      </c>
      <c r="S624" s="9">
        <v>0</v>
      </c>
      <c r="T624" s="9">
        <v>0</v>
      </c>
      <c r="U624" s="9">
        <v>0</v>
      </c>
      <c r="V624" s="9">
        <v>0</v>
      </c>
      <c r="W624" s="9">
        <v>0</v>
      </c>
      <c r="X624" s="9">
        <v>0</v>
      </c>
      <c r="Y624" s="9">
        <v>0</v>
      </c>
      <c r="Z624" s="9">
        <v>0</v>
      </c>
      <c r="AA624" s="9">
        <v>0</v>
      </c>
      <c r="AB624" s="9">
        <v>0</v>
      </c>
      <c r="AC624" s="9">
        <v>0</v>
      </c>
      <c r="AD624" s="53" t="e">
        <f>#REF!*D624</f>
        <v>#REF!</v>
      </c>
      <c r="AE624" s="53" t="e">
        <f>AD624-#REF!</f>
        <v>#REF!</v>
      </c>
      <c r="AF624" s="9"/>
      <c r="AG624" s="33" t="e">
        <f>#REF!-D624</f>
        <v>#REF!</v>
      </c>
      <c r="AH624" s="9"/>
      <c r="AI624" s="9"/>
      <c r="AJ624" s="9"/>
      <c r="AK624" s="9"/>
    </row>
    <row r="625" spans="1:37" s="12" customFormat="1" ht="10.199999999999999" outlineLevel="1" x14ac:dyDescent="0.2">
      <c r="A625" s="61" t="s">
        <v>1026</v>
      </c>
      <c r="B625" s="99" t="s">
        <v>3106</v>
      </c>
      <c r="C625" s="9" t="s">
        <v>47</v>
      </c>
      <c r="D625" s="25">
        <f>SUM(G625:AC625)</f>
        <v>1</v>
      </c>
      <c r="E625" s="54"/>
      <c r="F625" s="9"/>
      <c r="G625" s="9">
        <v>0</v>
      </c>
      <c r="H625" s="9">
        <v>1</v>
      </c>
      <c r="I625" s="9">
        <v>0</v>
      </c>
      <c r="J625" s="9">
        <v>0</v>
      </c>
      <c r="K625" s="9">
        <v>0</v>
      </c>
      <c r="L625" s="9">
        <v>0</v>
      </c>
      <c r="M625" s="9">
        <v>0</v>
      </c>
      <c r="N625" s="9">
        <v>0</v>
      </c>
      <c r="O625" s="9">
        <v>0</v>
      </c>
      <c r="P625" s="9">
        <v>0</v>
      </c>
      <c r="Q625" s="9">
        <v>0</v>
      </c>
      <c r="R625" s="9">
        <v>0</v>
      </c>
      <c r="S625" s="9">
        <v>0</v>
      </c>
      <c r="T625" s="9">
        <v>0</v>
      </c>
      <c r="U625" s="9">
        <v>0</v>
      </c>
      <c r="V625" s="9">
        <v>0</v>
      </c>
      <c r="W625" s="9">
        <v>0</v>
      </c>
      <c r="X625" s="9">
        <v>0</v>
      </c>
      <c r="Y625" s="9">
        <v>0</v>
      </c>
      <c r="Z625" s="9">
        <v>0</v>
      </c>
      <c r="AA625" s="9">
        <v>0</v>
      </c>
      <c r="AB625" s="9">
        <v>0</v>
      </c>
      <c r="AC625" s="9">
        <v>0</v>
      </c>
      <c r="AD625" s="53" t="e">
        <f>#REF!*D625</f>
        <v>#REF!</v>
      </c>
      <c r="AE625" s="53" t="e">
        <f>AD625-#REF!</f>
        <v>#REF!</v>
      </c>
      <c r="AF625" s="9"/>
      <c r="AG625" s="33" t="e">
        <f>#REF!-D625</f>
        <v>#REF!</v>
      </c>
      <c r="AH625" s="9"/>
      <c r="AI625" s="9"/>
      <c r="AJ625" s="9"/>
      <c r="AK625" s="9"/>
    </row>
    <row r="626" spans="1:37" s="12" customFormat="1" ht="20.399999999999999" outlineLevel="1" x14ac:dyDescent="0.2">
      <c r="A626" s="61" t="s">
        <v>1027</v>
      </c>
      <c r="B626" s="99" t="s">
        <v>3107</v>
      </c>
      <c r="C626" s="9" t="s">
        <v>47</v>
      </c>
      <c r="D626" s="25">
        <f>SUM(G626:AC626)</f>
        <v>1</v>
      </c>
      <c r="E626" s="54"/>
      <c r="F626" s="9"/>
      <c r="G626" s="9">
        <v>0</v>
      </c>
      <c r="H626" s="9">
        <v>1</v>
      </c>
      <c r="I626" s="9">
        <v>0</v>
      </c>
      <c r="J626" s="9">
        <v>0</v>
      </c>
      <c r="K626" s="9">
        <v>0</v>
      </c>
      <c r="L626" s="9">
        <v>0</v>
      </c>
      <c r="M626" s="9">
        <v>0</v>
      </c>
      <c r="N626" s="9">
        <v>0</v>
      </c>
      <c r="O626" s="9">
        <v>0</v>
      </c>
      <c r="P626" s="9">
        <v>0</v>
      </c>
      <c r="Q626" s="9">
        <v>0</v>
      </c>
      <c r="R626" s="9">
        <v>0</v>
      </c>
      <c r="S626" s="9">
        <v>0</v>
      </c>
      <c r="T626" s="9">
        <v>0</v>
      </c>
      <c r="U626" s="9">
        <v>0</v>
      </c>
      <c r="V626" s="9">
        <v>0</v>
      </c>
      <c r="W626" s="9">
        <v>0</v>
      </c>
      <c r="X626" s="9">
        <v>0</v>
      </c>
      <c r="Y626" s="9">
        <v>0</v>
      </c>
      <c r="Z626" s="9">
        <v>0</v>
      </c>
      <c r="AA626" s="9">
        <v>0</v>
      </c>
      <c r="AB626" s="9">
        <v>0</v>
      </c>
      <c r="AC626" s="9">
        <v>0</v>
      </c>
      <c r="AD626" s="53" t="e">
        <f>#REF!*D626</f>
        <v>#REF!</v>
      </c>
      <c r="AE626" s="53" t="e">
        <f>AD626-#REF!</f>
        <v>#REF!</v>
      </c>
      <c r="AF626" s="9"/>
      <c r="AG626" s="33" t="e">
        <f>#REF!-D626</f>
        <v>#REF!</v>
      </c>
      <c r="AH626" s="9"/>
      <c r="AI626" s="9"/>
      <c r="AJ626" s="9"/>
      <c r="AK626" s="9"/>
    </row>
    <row r="627" spans="1:37" s="12" customFormat="1" ht="30.6" outlineLevel="1" x14ac:dyDescent="0.2">
      <c r="A627" s="61" t="s">
        <v>1028</v>
      </c>
      <c r="B627" s="47" t="s">
        <v>2605</v>
      </c>
      <c r="C627" s="9" t="s">
        <v>48</v>
      </c>
      <c r="D627" s="25">
        <f>SUM(G627:AC627)*3</f>
        <v>15</v>
      </c>
      <c r="E627" s="54"/>
      <c r="F627" s="9"/>
      <c r="G627" s="9">
        <v>0</v>
      </c>
      <c r="H627" s="9">
        <v>5</v>
      </c>
      <c r="I627" s="9">
        <v>0</v>
      </c>
      <c r="J627" s="9">
        <v>0</v>
      </c>
      <c r="K627" s="9">
        <v>0</v>
      </c>
      <c r="L627" s="9">
        <v>0</v>
      </c>
      <c r="M627" s="9">
        <v>0</v>
      </c>
      <c r="N627" s="9">
        <v>0</v>
      </c>
      <c r="O627" s="9">
        <v>0</v>
      </c>
      <c r="P627" s="9">
        <v>0</v>
      </c>
      <c r="Q627" s="9">
        <v>0</v>
      </c>
      <c r="R627" s="9">
        <v>0</v>
      </c>
      <c r="S627" s="9">
        <v>0</v>
      </c>
      <c r="T627" s="9">
        <v>0</v>
      </c>
      <c r="U627" s="9">
        <v>0</v>
      </c>
      <c r="V627" s="9">
        <v>0</v>
      </c>
      <c r="W627" s="9">
        <v>0</v>
      </c>
      <c r="X627" s="9">
        <v>0</v>
      </c>
      <c r="Y627" s="9">
        <v>0</v>
      </c>
      <c r="Z627" s="9">
        <v>0</v>
      </c>
      <c r="AA627" s="9">
        <v>0</v>
      </c>
      <c r="AB627" s="9">
        <v>0</v>
      </c>
      <c r="AC627" s="9">
        <v>0</v>
      </c>
      <c r="AD627" s="53" t="e">
        <f>#REF!*D627</f>
        <v>#REF!</v>
      </c>
      <c r="AE627" s="53" t="e">
        <f>AD627-#REF!</f>
        <v>#REF!</v>
      </c>
      <c r="AF627" s="9"/>
      <c r="AG627" s="33" t="e">
        <f>#REF!-D627</f>
        <v>#REF!</v>
      </c>
      <c r="AH627" s="9"/>
      <c r="AI627" s="9"/>
      <c r="AJ627" s="9"/>
      <c r="AK627" s="9"/>
    </row>
    <row r="628" spans="1:37" s="12" customFormat="1" ht="21.6" outlineLevel="1" x14ac:dyDescent="0.2">
      <c r="A628" s="61" t="s">
        <v>1029</v>
      </c>
      <c r="B628" s="47" t="s">
        <v>295</v>
      </c>
      <c r="C628" s="9" t="s">
        <v>47</v>
      </c>
      <c r="D628" s="25">
        <f t="shared" ref="D628:D644" si="132">SUM(G628:AC628)</f>
        <v>4</v>
      </c>
      <c r="E628" s="54"/>
      <c r="F628" s="9"/>
      <c r="G628" s="9">
        <v>0</v>
      </c>
      <c r="H628" s="9">
        <v>4</v>
      </c>
      <c r="I628" s="9">
        <v>0</v>
      </c>
      <c r="J628" s="9">
        <v>0</v>
      </c>
      <c r="K628" s="9">
        <v>0</v>
      </c>
      <c r="L628" s="9">
        <v>0</v>
      </c>
      <c r="M628" s="9">
        <v>0</v>
      </c>
      <c r="N628" s="9">
        <v>0</v>
      </c>
      <c r="O628" s="9">
        <v>0</v>
      </c>
      <c r="P628" s="9">
        <v>0</v>
      </c>
      <c r="Q628" s="9">
        <v>0</v>
      </c>
      <c r="R628" s="9">
        <v>0</v>
      </c>
      <c r="S628" s="9">
        <v>0</v>
      </c>
      <c r="T628" s="9">
        <v>0</v>
      </c>
      <c r="U628" s="9">
        <v>0</v>
      </c>
      <c r="V628" s="9">
        <v>0</v>
      </c>
      <c r="W628" s="9">
        <v>0</v>
      </c>
      <c r="X628" s="9">
        <v>0</v>
      </c>
      <c r="Y628" s="9">
        <v>0</v>
      </c>
      <c r="Z628" s="9">
        <v>0</v>
      </c>
      <c r="AA628" s="9">
        <v>0</v>
      </c>
      <c r="AB628" s="9">
        <v>0</v>
      </c>
      <c r="AC628" s="9">
        <v>0</v>
      </c>
      <c r="AD628" s="53" t="e">
        <f>#REF!*D628</f>
        <v>#REF!</v>
      </c>
      <c r="AE628" s="53" t="e">
        <f>AD628-#REF!</f>
        <v>#REF!</v>
      </c>
      <c r="AF628" s="9"/>
      <c r="AG628" s="33" t="e">
        <f>#REF!-D628</f>
        <v>#REF!</v>
      </c>
      <c r="AH628" s="9"/>
      <c r="AI628" s="9"/>
      <c r="AJ628" s="9"/>
      <c r="AK628" s="9"/>
    </row>
    <row r="629" spans="1:37" s="12" customFormat="1" ht="20.399999999999999" outlineLevel="1" x14ac:dyDescent="0.2">
      <c r="A629" s="61" t="s">
        <v>1030</v>
      </c>
      <c r="B629" s="47" t="s">
        <v>294</v>
      </c>
      <c r="C629" s="9" t="s">
        <v>47</v>
      </c>
      <c r="D629" s="25">
        <f t="shared" si="132"/>
        <v>8</v>
      </c>
      <c r="E629" s="54"/>
      <c r="F629" s="9"/>
      <c r="G629" s="9">
        <v>0</v>
      </c>
      <c r="H629" s="9">
        <v>8</v>
      </c>
      <c r="I629" s="9">
        <v>0</v>
      </c>
      <c r="J629" s="9">
        <v>0</v>
      </c>
      <c r="K629" s="9">
        <v>0</v>
      </c>
      <c r="L629" s="9">
        <v>0</v>
      </c>
      <c r="M629" s="9">
        <v>0</v>
      </c>
      <c r="N629" s="9">
        <v>0</v>
      </c>
      <c r="O629" s="9">
        <v>0</v>
      </c>
      <c r="P629" s="9">
        <v>0</v>
      </c>
      <c r="Q629" s="9">
        <v>0</v>
      </c>
      <c r="R629" s="9">
        <v>0</v>
      </c>
      <c r="S629" s="9">
        <v>0</v>
      </c>
      <c r="T629" s="9">
        <v>0</v>
      </c>
      <c r="U629" s="9">
        <v>0</v>
      </c>
      <c r="V629" s="9">
        <v>0</v>
      </c>
      <c r="W629" s="9">
        <v>0</v>
      </c>
      <c r="X629" s="9">
        <v>0</v>
      </c>
      <c r="Y629" s="9">
        <v>0</v>
      </c>
      <c r="Z629" s="9">
        <v>0</v>
      </c>
      <c r="AA629" s="9">
        <v>0</v>
      </c>
      <c r="AB629" s="9">
        <v>0</v>
      </c>
      <c r="AC629" s="9">
        <v>0</v>
      </c>
      <c r="AD629" s="53" t="e">
        <f>#REF!*D629</f>
        <v>#REF!</v>
      </c>
      <c r="AE629" s="53" t="e">
        <f>AD629-#REF!</f>
        <v>#REF!</v>
      </c>
      <c r="AF629" s="9"/>
      <c r="AG629" s="33" t="e">
        <f>#REF!-D629</f>
        <v>#REF!</v>
      </c>
      <c r="AH629" s="9"/>
      <c r="AI629" s="9"/>
      <c r="AJ629" s="9"/>
      <c r="AK629" s="9"/>
    </row>
    <row r="630" spans="1:37" s="12" customFormat="1" ht="30.6" outlineLevel="1" x14ac:dyDescent="0.2">
      <c r="A630" s="61" t="s">
        <v>2249</v>
      </c>
      <c r="B630" s="47" t="s">
        <v>3109</v>
      </c>
      <c r="C630" s="8" t="s">
        <v>48</v>
      </c>
      <c r="D630" s="25">
        <f t="shared" si="132"/>
        <v>21</v>
      </c>
      <c r="E630" s="54"/>
      <c r="F630" s="9"/>
      <c r="G630" s="9">
        <v>0</v>
      </c>
      <c r="H630" s="9">
        <v>21</v>
      </c>
      <c r="I630" s="9">
        <v>0</v>
      </c>
      <c r="J630" s="9">
        <v>0</v>
      </c>
      <c r="K630" s="9">
        <v>0</v>
      </c>
      <c r="L630" s="9">
        <v>0</v>
      </c>
      <c r="M630" s="9">
        <v>0</v>
      </c>
      <c r="N630" s="9">
        <v>0</v>
      </c>
      <c r="O630" s="9">
        <v>0</v>
      </c>
      <c r="P630" s="9">
        <v>0</v>
      </c>
      <c r="Q630" s="9">
        <v>0</v>
      </c>
      <c r="R630" s="9">
        <v>0</v>
      </c>
      <c r="S630" s="9">
        <v>0</v>
      </c>
      <c r="T630" s="9">
        <v>0</v>
      </c>
      <c r="U630" s="9">
        <v>0</v>
      </c>
      <c r="V630" s="9">
        <v>0</v>
      </c>
      <c r="W630" s="9">
        <v>0</v>
      </c>
      <c r="X630" s="9">
        <v>0</v>
      </c>
      <c r="Y630" s="9">
        <v>0</v>
      </c>
      <c r="Z630" s="9">
        <v>0</v>
      </c>
      <c r="AA630" s="9">
        <v>0</v>
      </c>
      <c r="AB630" s="9">
        <v>0</v>
      </c>
      <c r="AC630" s="9">
        <v>0</v>
      </c>
      <c r="AD630" s="53" t="e">
        <f>#REF!*D630</f>
        <v>#REF!</v>
      </c>
      <c r="AE630" s="53" t="e">
        <f>AD630-#REF!</f>
        <v>#REF!</v>
      </c>
      <c r="AF630" s="9"/>
      <c r="AG630" s="33" t="e">
        <f>#REF!-D630</f>
        <v>#REF!</v>
      </c>
      <c r="AH630" s="9"/>
      <c r="AI630" s="9"/>
      <c r="AJ630" s="9"/>
      <c r="AK630" s="9"/>
    </row>
    <row r="631" spans="1:37" s="12" customFormat="1" ht="30.6" outlineLevel="1" x14ac:dyDescent="0.2">
      <c r="A631" s="61" t="s">
        <v>2650</v>
      </c>
      <c r="B631" s="47" t="s">
        <v>3110</v>
      </c>
      <c r="C631" s="9" t="s">
        <v>47</v>
      </c>
      <c r="D631" s="25">
        <f t="shared" si="132"/>
        <v>2</v>
      </c>
      <c r="E631" s="54"/>
      <c r="F631" s="9"/>
      <c r="G631" s="9">
        <v>0</v>
      </c>
      <c r="H631" s="9">
        <v>2</v>
      </c>
      <c r="I631" s="9">
        <v>0</v>
      </c>
      <c r="J631" s="9">
        <v>0</v>
      </c>
      <c r="K631" s="9">
        <v>0</v>
      </c>
      <c r="L631" s="9">
        <v>0</v>
      </c>
      <c r="M631" s="9">
        <v>0</v>
      </c>
      <c r="N631" s="9">
        <v>0</v>
      </c>
      <c r="O631" s="9">
        <v>0</v>
      </c>
      <c r="P631" s="9">
        <v>0</v>
      </c>
      <c r="Q631" s="9">
        <v>0</v>
      </c>
      <c r="R631" s="9">
        <v>0</v>
      </c>
      <c r="S631" s="9">
        <v>0</v>
      </c>
      <c r="T631" s="9">
        <v>0</v>
      </c>
      <c r="U631" s="9">
        <v>0</v>
      </c>
      <c r="V631" s="9">
        <v>0</v>
      </c>
      <c r="W631" s="9">
        <v>0</v>
      </c>
      <c r="X631" s="9">
        <v>0</v>
      </c>
      <c r="Y631" s="9">
        <v>0</v>
      </c>
      <c r="Z631" s="9">
        <v>0</v>
      </c>
      <c r="AA631" s="9">
        <v>0</v>
      </c>
      <c r="AB631" s="9">
        <v>0</v>
      </c>
      <c r="AC631" s="9">
        <v>0</v>
      </c>
      <c r="AD631" s="53" t="e">
        <f>#REF!*D631</f>
        <v>#REF!</v>
      </c>
      <c r="AE631" s="53" t="e">
        <f>AD631-#REF!</f>
        <v>#REF!</v>
      </c>
      <c r="AF631" s="9"/>
      <c r="AG631" s="33" t="e">
        <f>#REF!-D631</f>
        <v>#REF!</v>
      </c>
      <c r="AH631" s="9"/>
      <c r="AI631" s="9"/>
      <c r="AJ631" s="9"/>
      <c r="AK631" s="9"/>
    </row>
    <row r="632" spans="1:37" s="12" customFormat="1" ht="10.199999999999999" outlineLevel="1" x14ac:dyDescent="0.2">
      <c r="A632" s="61" t="s">
        <v>3118</v>
      </c>
      <c r="B632" s="47" t="s">
        <v>3111</v>
      </c>
      <c r="C632" s="9" t="s">
        <v>20</v>
      </c>
      <c r="D632" s="25">
        <f t="shared" si="132"/>
        <v>28</v>
      </c>
      <c r="E632" s="54"/>
      <c r="F632" s="9"/>
      <c r="G632" s="9">
        <v>0</v>
      </c>
      <c r="H632" s="9">
        <f>H630/1.5*2</f>
        <v>28</v>
      </c>
      <c r="I632" s="9">
        <v>0</v>
      </c>
      <c r="J632" s="9">
        <v>0</v>
      </c>
      <c r="K632" s="9">
        <v>0</v>
      </c>
      <c r="L632" s="9">
        <v>0</v>
      </c>
      <c r="M632" s="9">
        <v>0</v>
      </c>
      <c r="N632" s="9">
        <v>0</v>
      </c>
      <c r="O632" s="9">
        <v>0</v>
      </c>
      <c r="P632" s="9">
        <v>0</v>
      </c>
      <c r="Q632" s="9">
        <v>0</v>
      </c>
      <c r="R632" s="9">
        <v>0</v>
      </c>
      <c r="S632" s="9">
        <v>0</v>
      </c>
      <c r="T632" s="9">
        <v>0</v>
      </c>
      <c r="U632" s="9">
        <v>0</v>
      </c>
      <c r="V632" s="9">
        <v>0</v>
      </c>
      <c r="W632" s="9">
        <v>0</v>
      </c>
      <c r="X632" s="9">
        <v>0</v>
      </c>
      <c r="Y632" s="9">
        <v>0</v>
      </c>
      <c r="Z632" s="9">
        <v>0</v>
      </c>
      <c r="AA632" s="9">
        <v>0</v>
      </c>
      <c r="AB632" s="9">
        <v>0</v>
      </c>
      <c r="AC632" s="9">
        <v>0</v>
      </c>
      <c r="AD632" s="53" t="e">
        <f>#REF!*D632</f>
        <v>#REF!</v>
      </c>
      <c r="AE632" s="53" t="e">
        <f>AD632-#REF!</f>
        <v>#REF!</v>
      </c>
      <c r="AF632" s="9"/>
      <c r="AG632" s="33" t="e">
        <f>#REF!-D632</f>
        <v>#REF!</v>
      </c>
      <c r="AH632" s="9"/>
      <c r="AI632" s="9"/>
      <c r="AJ632" s="9"/>
      <c r="AK632" s="9"/>
    </row>
    <row r="633" spans="1:37" s="12" customFormat="1" ht="22.8" outlineLevel="1" x14ac:dyDescent="0.2">
      <c r="A633" s="61" t="s">
        <v>3119</v>
      </c>
      <c r="B633" s="47" t="s">
        <v>3166</v>
      </c>
      <c r="C633" s="9" t="s">
        <v>48</v>
      </c>
      <c r="D633" s="25">
        <f t="shared" si="132"/>
        <v>75</v>
      </c>
      <c r="E633" s="54"/>
      <c r="F633" s="9"/>
      <c r="G633" s="9">
        <v>0</v>
      </c>
      <c r="H633" s="9">
        <v>75</v>
      </c>
      <c r="I633" s="9">
        <v>0</v>
      </c>
      <c r="J633" s="9">
        <v>0</v>
      </c>
      <c r="K633" s="9">
        <v>0</v>
      </c>
      <c r="L633" s="9">
        <v>0</v>
      </c>
      <c r="M633" s="9">
        <v>0</v>
      </c>
      <c r="N633" s="9">
        <v>0</v>
      </c>
      <c r="O633" s="9">
        <v>0</v>
      </c>
      <c r="P633" s="9">
        <v>0</v>
      </c>
      <c r="Q633" s="9">
        <v>0</v>
      </c>
      <c r="R633" s="9">
        <v>0</v>
      </c>
      <c r="S633" s="9">
        <v>0</v>
      </c>
      <c r="T633" s="9">
        <v>0</v>
      </c>
      <c r="U633" s="9">
        <v>0</v>
      </c>
      <c r="V633" s="9">
        <v>0</v>
      </c>
      <c r="W633" s="9">
        <v>0</v>
      </c>
      <c r="X633" s="9">
        <v>0</v>
      </c>
      <c r="Y633" s="9">
        <v>0</v>
      </c>
      <c r="Z633" s="9">
        <v>0</v>
      </c>
      <c r="AA633" s="9">
        <v>0</v>
      </c>
      <c r="AB633" s="9">
        <v>0</v>
      </c>
      <c r="AC633" s="9">
        <v>0</v>
      </c>
      <c r="AD633" s="53" t="e">
        <f>#REF!*D633</f>
        <v>#REF!</v>
      </c>
      <c r="AE633" s="53" t="e">
        <f>AD633-#REF!</f>
        <v>#REF!</v>
      </c>
      <c r="AF633" s="9"/>
      <c r="AG633" s="33" t="e">
        <f>#REF!-D633</f>
        <v>#REF!</v>
      </c>
      <c r="AH633" s="9"/>
      <c r="AI633" s="9"/>
      <c r="AJ633" s="9"/>
      <c r="AK633" s="9"/>
    </row>
    <row r="634" spans="1:37" s="12" customFormat="1" ht="24.75" customHeight="1" outlineLevel="1" x14ac:dyDescent="0.2">
      <c r="A634" s="61" t="s">
        <v>3382</v>
      </c>
      <c r="B634" s="47" t="s">
        <v>414</v>
      </c>
      <c r="C634" s="9" t="s">
        <v>48</v>
      </c>
      <c r="D634" s="25">
        <f t="shared" si="132"/>
        <v>45</v>
      </c>
      <c r="E634" s="54"/>
      <c r="F634" s="9"/>
      <c r="G634" s="9">
        <v>0</v>
      </c>
      <c r="H634" s="9">
        <v>45</v>
      </c>
      <c r="I634" s="9">
        <v>0</v>
      </c>
      <c r="J634" s="9">
        <v>0</v>
      </c>
      <c r="K634" s="9">
        <v>0</v>
      </c>
      <c r="L634" s="9">
        <v>0</v>
      </c>
      <c r="M634" s="9">
        <v>0</v>
      </c>
      <c r="N634" s="9">
        <v>0</v>
      </c>
      <c r="O634" s="9">
        <v>0</v>
      </c>
      <c r="P634" s="9">
        <v>0</v>
      </c>
      <c r="Q634" s="9">
        <v>0</v>
      </c>
      <c r="R634" s="9">
        <v>0</v>
      </c>
      <c r="S634" s="9">
        <v>0</v>
      </c>
      <c r="T634" s="9">
        <v>0</v>
      </c>
      <c r="U634" s="9">
        <v>0</v>
      </c>
      <c r="V634" s="9">
        <v>0</v>
      </c>
      <c r="W634" s="9">
        <v>0</v>
      </c>
      <c r="X634" s="9">
        <v>0</v>
      </c>
      <c r="Y634" s="9">
        <v>0</v>
      </c>
      <c r="Z634" s="9">
        <v>0</v>
      </c>
      <c r="AA634" s="9">
        <v>0</v>
      </c>
      <c r="AB634" s="9">
        <v>0</v>
      </c>
      <c r="AC634" s="9">
        <v>0</v>
      </c>
      <c r="AD634" s="53" t="e">
        <f>#REF!*D634</f>
        <v>#REF!</v>
      </c>
      <c r="AE634" s="53" t="e">
        <f>AD634-#REF!</f>
        <v>#REF!</v>
      </c>
      <c r="AF634" s="9"/>
      <c r="AG634" s="33" t="e">
        <f>#REF!-D634</f>
        <v>#REF!</v>
      </c>
      <c r="AH634" s="9"/>
      <c r="AI634" s="9"/>
      <c r="AJ634" s="9"/>
      <c r="AK634" s="9"/>
    </row>
    <row r="635" spans="1:37" s="12" customFormat="1" ht="25.5" customHeight="1" outlineLevel="1" x14ac:dyDescent="0.2">
      <c r="A635" s="61" t="s">
        <v>3383</v>
      </c>
      <c r="B635" s="47" t="s">
        <v>413</v>
      </c>
      <c r="C635" s="9" t="s">
        <v>48</v>
      </c>
      <c r="D635" s="25">
        <f t="shared" si="132"/>
        <v>50</v>
      </c>
      <c r="E635" s="54"/>
      <c r="F635" s="9"/>
      <c r="G635" s="9">
        <v>0</v>
      </c>
      <c r="H635" s="9">
        <v>50</v>
      </c>
      <c r="I635" s="9">
        <v>0</v>
      </c>
      <c r="J635" s="9">
        <v>0</v>
      </c>
      <c r="K635" s="9">
        <v>0</v>
      </c>
      <c r="L635" s="9">
        <v>0</v>
      </c>
      <c r="M635" s="9">
        <v>0</v>
      </c>
      <c r="N635" s="9">
        <v>0</v>
      </c>
      <c r="O635" s="9">
        <v>0</v>
      </c>
      <c r="P635" s="9">
        <v>0</v>
      </c>
      <c r="Q635" s="9">
        <v>0</v>
      </c>
      <c r="R635" s="9">
        <v>0</v>
      </c>
      <c r="S635" s="9">
        <v>0</v>
      </c>
      <c r="T635" s="9">
        <v>0</v>
      </c>
      <c r="U635" s="9">
        <v>0</v>
      </c>
      <c r="V635" s="9">
        <v>0</v>
      </c>
      <c r="W635" s="9">
        <v>0</v>
      </c>
      <c r="X635" s="9">
        <v>0</v>
      </c>
      <c r="Y635" s="9">
        <v>0</v>
      </c>
      <c r="Z635" s="9">
        <v>0</v>
      </c>
      <c r="AA635" s="9">
        <v>0</v>
      </c>
      <c r="AB635" s="9">
        <v>0</v>
      </c>
      <c r="AC635" s="9">
        <v>0</v>
      </c>
      <c r="AD635" s="53" t="e">
        <f>#REF!*D635</f>
        <v>#REF!</v>
      </c>
      <c r="AE635" s="53" t="e">
        <f>AD635-#REF!</f>
        <v>#REF!</v>
      </c>
      <c r="AF635" s="9"/>
      <c r="AG635" s="33" t="e">
        <f>#REF!-D635</f>
        <v>#REF!</v>
      </c>
      <c r="AH635" s="9"/>
      <c r="AI635" s="9"/>
      <c r="AJ635" s="9"/>
      <c r="AK635" s="9"/>
    </row>
    <row r="636" spans="1:37" s="12" customFormat="1" ht="30.6" outlineLevel="1" x14ac:dyDescent="0.2">
      <c r="A636" s="61" t="s">
        <v>3384</v>
      </c>
      <c r="B636" s="47" t="s">
        <v>3177</v>
      </c>
      <c r="C636" s="9" t="s">
        <v>48</v>
      </c>
      <c r="D636" s="25">
        <f t="shared" si="132"/>
        <v>240</v>
      </c>
      <c r="E636" s="54"/>
      <c r="F636" s="9"/>
      <c r="G636" s="9">
        <v>0</v>
      </c>
      <c r="H636" s="9">
        <f>26*9+6</f>
        <v>240</v>
      </c>
      <c r="I636" s="9">
        <v>0</v>
      </c>
      <c r="J636" s="9">
        <v>0</v>
      </c>
      <c r="K636" s="9">
        <v>0</v>
      </c>
      <c r="L636" s="9">
        <v>0</v>
      </c>
      <c r="M636" s="9">
        <v>0</v>
      </c>
      <c r="N636" s="9">
        <v>0</v>
      </c>
      <c r="O636" s="9">
        <v>0</v>
      </c>
      <c r="P636" s="9">
        <v>0</v>
      </c>
      <c r="Q636" s="9">
        <v>0</v>
      </c>
      <c r="R636" s="9">
        <v>0</v>
      </c>
      <c r="S636" s="9">
        <v>0</v>
      </c>
      <c r="T636" s="9">
        <v>0</v>
      </c>
      <c r="U636" s="9">
        <v>0</v>
      </c>
      <c r="V636" s="9">
        <v>0</v>
      </c>
      <c r="W636" s="9">
        <v>0</v>
      </c>
      <c r="X636" s="9">
        <v>0</v>
      </c>
      <c r="Y636" s="9">
        <v>0</v>
      </c>
      <c r="Z636" s="9">
        <v>0</v>
      </c>
      <c r="AA636" s="9">
        <v>0</v>
      </c>
      <c r="AB636" s="9">
        <v>0</v>
      </c>
      <c r="AC636" s="9">
        <v>0</v>
      </c>
      <c r="AD636" s="53" t="e">
        <f>#REF!*D636</f>
        <v>#REF!</v>
      </c>
      <c r="AE636" s="53" t="e">
        <f>AD636-#REF!</f>
        <v>#REF!</v>
      </c>
      <c r="AF636" s="9"/>
      <c r="AG636" s="33" t="e">
        <f>#REF!-D636</f>
        <v>#REF!</v>
      </c>
      <c r="AH636" s="9"/>
      <c r="AI636" s="9"/>
      <c r="AJ636" s="9"/>
      <c r="AK636" s="9"/>
    </row>
    <row r="637" spans="1:37" s="12" customFormat="1" ht="30.6" outlineLevel="1" x14ac:dyDescent="0.2">
      <c r="A637" s="61" t="s">
        <v>3385</v>
      </c>
      <c r="B637" s="47" t="s">
        <v>3178</v>
      </c>
      <c r="C637" s="9" t="s">
        <v>48</v>
      </c>
      <c r="D637" s="25">
        <f t="shared" si="132"/>
        <v>80</v>
      </c>
      <c r="E637" s="54"/>
      <c r="F637" s="9"/>
      <c r="G637" s="9">
        <v>0</v>
      </c>
      <c r="H637" s="9">
        <f>26*3+2</f>
        <v>80</v>
      </c>
      <c r="I637" s="9">
        <v>0</v>
      </c>
      <c r="J637" s="9">
        <v>0</v>
      </c>
      <c r="K637" s="9">
        <v>0</v>
      </c>
      <c r="L637" s="9">
        <v>0</v>
      </c>
      <c r="M637" s="9">
        <v>0</v>
      </c>
      <c r="N637" s="9">
        <v>0</v>
      </c>
      <c r="O637" s="9">
        <v>0</v>
      </c>
      <c r="P637" s="9">
        <v>0</v>
      </c>
      <c r="Q637" s="9">
        <v>0</v>
      </c>
      <c r="R637" s="9">
        <v>0</v>
      </c>
      <c r="S637" s="9">
        <v>0</v>
      </c>
      <c r="T637" s="9">
        <v>0</v>
      </c>
      <c r="U637" s="9">
        <v>0</v>
      </c>
      <c r="V637" s="9">
        <v>0</v>
      </c>
      <c r="W637" s="9">
        <v>0</v>
      </c>
      <c r="X637" s="9">
        <v>0</v>
      </c>
      <c r="Y637" s="9">
        <v>0</v>
      </c>
      <c r="Z637" s="9">
        <v>0</v>
      </c>
      <c r="AA637" s="9">
        <v>0</v>
      </c>
      <c r="AB637" s="9">
        <v>0</v>
      </c>
      <c r="AC637" s="9">
        <v>0</v>
      </c>
      <c r="AD637" s="53" t="e">
        <f>#REF!*D637</f>
        <v>#REF!</v>
      </c>
      <c r="AE637" s="53" t="e">
        <f>AD637-#REF!</f>
        <v>#REF!</v>
      </c>
      <c r="AF637" s="9"/>
      <c r="AG637" s="33" t="e">
        <f>#REF!-D637</f>
        <v>#REF!</v>
      </c>
      <c r="AH637" s="9"/>
      <c r="AI637" s="9"/>
      <c r="AJ637" s="9"/>
      <c r="AK637" s="9"/>
    </row>
    <row r="638" spans="1:37" s="12" customFormat="1" ht="30.6" outlineLevel="1" x14ac:dyDescent="0.2">
      <c r="A638" s="61" t="s">
        <v>3386</v>
      </c>
      <c r="B638" s="47" t="s">
        <v>3179</v>
      </c>
      <c r="C638" s="9" t="s">
        <v>48</v>
      </c>
      <c r="D638" s="25">
        <f t="shared" si="132"/>
        <v>30</v>
      </c>
      <c r="E638" s="54"/>
      <c r="F638" s="9"/>
      <c r="G638" s="9">
        <v>0</v>
      </c>
      <c r="H638" s="9">
        <v>30</v>
      </c>
      <c r="I638" s="9">
        <v>0</v>
      </c>
      <c r="J638" s="9">
        <v>0</v>
      </c>
      <c r="K638" s="9">
        <v>0</v>
      </c>
      <c r="L638" s="9">
        <v>0</v>
      </c>
      <c r="M638" s="9">
        <v>0</v>
      </c>
      <c r="N638" s="9">
        <v>0</v>
      </c>
      <c r="O638" s="9">
        <v>0</v>
      </c>
      <c r="P638" s="9">
        <v>0</v>
      </c>
      <c r="Q638" s="9">
        <v>0</v>
      </c>
      <c r="R638" s="9">
        <v>0</v>
      </c>
      <c r="S638" s="9">
        <v>0</v>
      </c>
      <c r="T638" s="9">
        <v>0</v>
      </c>
      <c r="U638" s="9">
        <v>0</v>
      </c>
      <c r="V638" s="9">
        <v>0</v>
      </c>
      <c r="W638" s="9">
        <v>0</v>
      </c>
      <c r="X638" s="9">
        <v>0</v>
      </c>
      <c r="Y638" s="9">
        <v>0</v>
      </c>
      <c r="Z638" s="9">
        <v>0</v>
      </c>
      <c r="AA638" s="9">
        <v>0</v>
      </c>
      <c r="AB638" s="9">
        <v>0</v>
      </c>
      <c r="AC638" s="9">
        <v>0</v>
      </c>
      <c r="AD638" s="53" t="e">
        <f>#REF!*D638</f>
        <v>#REF!</v>
      </c>
      <c r="AE638" s="53" t="e">
        <f>AD638-#REF!</f>
        <v>#REF!</v>
      </c>
      <c r="AF638" s="9"/>
      <c r="AG638" s="33" t="e">
        <f>#REF!-D638</f>
        <v>#REF!</v>
      </c>
      <c r="AH638" s="9"/>
      <c r="AI638" s="9"/>
      <c r="AJ638" s="9"/>
      <c r="AK638" s="9"/>
    </row>
    <row r="639" spans="1:37" s="12" customFormat="1" ht="21.6" outlineLevel="1" x14ac:dyDescent="0.2">
      <c r="A639" s="61" t="s">
        <v>3387</v>
      </c>
      <c r="B639" s="47" t="s">
        <v>416</v>
      </c>
      <c r="C639" s="9" t="s">
        <v>47</v>
      </c>
      <c r="D639" s="25">
        <f t="shared" si="132"/>
        <v>30</v>
      </c>
      <c r="E639" s="54"/>
      <c r="F639" s="9"/>
      <c r="G639" s="9">
        <v>0</v>
      </c>
      <c r="H639" s="9">
        <v>30</v>
      </c>
      <c r="I639" s="9">
        <v>0</v>
      </c>
      <c r="J639" s="9">
        <v>0</v>
      </c>
      <c r="K639" s="9">
        <v>0</v>
      </c>
      <c r="L639" s="9">
        <v>0</v>
      </c>
      <c r="M639" s="9">
        <v>0</v>
      </c>
      <c r="N639" s="9">
        <v>0</v>
      </c>
      <c r="O639" s="9">
        <v>0</v>
      </c>
      <c r="P639" s="9">
        <v>0</v>
      </c>
      <c r="Q639" s="9">
        <v>0</v>
      </c>
      <c r="R639" s="9">
        <v>0</v>
      </c>
      <c r="S639" s="9">
        <v>0</v>
      </c>
      <c r="T639" s="9">
        <v>0</v>
      </c>
      <c r="U639" s="9">
        <v>0</v>
      </c>
      <c r="V639" s="9">
        <v>0</v>
      </c>
      <c r="W639" s="9">
        <v>0</v>
      </c>
      <c r="X639" s="9">
        <v>0</v>
      </c>
      <c r="Y639" s="9">
        <v>0</v>
      </c>
      <c r="Z639" s="9">
        <v>0</v>
      </c>
      <c r="AA639" s="9">
        <v>0</v>
      </c>
      <c r="AB639" s="9">
        <v>0</v>
      </c>
      <c r="AC639" s="9">
        <v>0</v>
      </c>
      <c r="AD639" s="53" t="e">
        <f>#REF!*D639</f>
        <v>#REF!</v>
      </c>
      <c r="AE639" s="53" t="e">
        <f>AD639-#REF!</f>
        <v>#REF!</v>
      </c>
      <c r="AF639" s="9"/>
      <c r="AG639" s="33" t="e">
        <f>#REF!-D639</f>
        <v>#REF!</v>
      </c>
      <c r="AH639" s="9"/>
      <c r="AI639" s="9"/>
      <c r="AJ639" s="9"/>
      <c r="AK639" s="9"/>
    </row>
    <row r="640" spans="1:37" s="12" customFormat="1" ht="21.6" outlineLevel="1" x14ac:dyDescent="0.2">
      <c r="A640" s="61" t="s">
        <v>3388</v>
      </c>
      <c r="B640" s="47" t="s">
        <v>2978</v>
      </c>
      <c r="C640" s="9" t="s">
        <v>47</v>
      </c>
      <c r="D640" s="25">
        <f t="shared" si="132"/>
        <v>4</v>
      </c>
      <c r="E640" s="54"/>
      <c r="F640" s="9"/>
      <c r="G640" s="9">
        <v>0</v>
      </c>
      <c r="H640" s="9">
        <v>4</v>
      </c>
      <c r="I640" s="9">
        <v>0</v>
      </c>
      <c r="J640" s="9">
        <v>0</v>
      </c>
      <c r="K640" s="9">
        <v>0</v>
      </c>
      <c r="L640" s="9">
        <v>0</v>
      </c>
      <c r="M640" s="9">
        <v>0</v>
      </c>
      <c r="N640" s="9">
        <v>0</v>
      </c>
      <c r="O640" s="9">
        <v>0</v>
      </c>
      <c r="P640" s="9">
        <v>0</v>
      </c>
      <c r="Q640" s="9">
        <v>0</v>
      </c>
      <c r="R640" s="9">
        <v>0</v>
      </c>
      <c r="S640" s="9">
        <v>0</v>
      </c>
      <c r="T640" s="9">
        <v>0</v>
      </c>
      <c r="U640" s="9">
        <v>0</v>
      </c>
      <c r="V640" s="9">
        <v>0</v>
      </c>
      <c r="W640" s="9">
        <v>0</v>
      </c>
      <c r="X640" s="9">
        <v>0</v>
      </c>
      <c r="Y640" s="9">
        <v>0</v>
      </c>
      <c r="Z640" s="9">
        <v>0</v>
      </c>
      <c r="AA640" s="9">
        <v>0</v>
      </c>
      <c r="AB640" s="9">
        <v>0</v>
      </c>
      <c r="AC640" s="9">
        <v>0</v>
      </c>
      <c r="AD640" s="53" t="e">
        <f>#REF!*D640</f>
        <v>#REF!</v>
      </c>
      <c r="AE640" s="53" t="e">
        <f>AD640-#REF!</f>
        <v>#REF!</v>
      </c>
      <c r="AF640" s="9"/>
      <c r="AG640" s="33" t="e">
        <f>#REF!-D640</f>
        <v>#REF!</v>
      </c>
      <c r="AH640" s="9"/>
      <c r="AI640" s="9"/>
      <c r="AJ640" s="9"/>
      <c r="AK640" s="9"/>
    </row>
    <row r="641" spans="1:37" s="12" customFormat="1" ht="21.6" outlineLevel="1" x14ac:dyDescent="0.2">
      <c r="A641" s="61" t="s">
        <v>3389</v>
      </c>
      <c r="B641" s="47" t="s">
        <v>415</v>
      </c>
      <c r="C641" s="9" t="s">
        <v>47</v>
      </c>
      <c r="D641" s="25">
        <f t="shared" si="132"/>
        <v>48</v>
      </c>
      <c r="E641" s="54"/>
      <c r="F641" s="9"/>
      <c r="G641" s="9">
        <v>0</v>
      </c>
      <c r="H641" s="9">
        <f>24*2</f>
        <v>48</v>
      </c>
      <c r="I641" s="9">
        <v>0</v>
      </c>
      <c r="J641" s="9">
        <v>0</v>
      </c>
      <c r="K641" s="9">
        <v>0</v>
      </c>
      <c r="L641" s="9">
        <v>0</v>
      </c>
      <c r="M641" s="9">
        <v>0</v>
      </c>
      <c r="N641" s="9">
        <v>0</v>
      </c>
      <c r="O641" s="9">
        <v>0</v>
      </c>
      <c r="P641" s="9">
        <v>0</v>
      </c>
      <c r="Q641" s="9">
        <v>0</v>
      </c>
      <c r="R641" s="9">
        <v>0</v>
      </c>
      <c r="S641" s="9">
        <v>0</v>
      </c>
      <c r="T641" s="9">
        <v>0</v>
      </c>
      <c r="U641" s="9">
        <v>0</v>
      </c>
      <c r="V641" s="9">
        <v>0</v>
      </c>
      <c r="W641" s="9">
        <v>0</v>
      </c>
      <c r="X641" s="9">
        <v>0</v>
      </c>
      <c r="Y641" s="9">
        <v>0</v>
      </c>
      <c r="Z641" s="9">
        <v>0</v>
      </c>
      <c r="AA641" s="9">
        <v>0</v>
      </c>
      <c r="AB641" s="9">
        <v>0</v>
      </c>
      <c r="AC641" s="9">
        <v>0</v>
      </c>
      <c r="AD641" s="53" t="e">
        <f>#REF!*D641</f>
        <v>#REF!</v>
      </c>
      <c r="AE641" s="53" t="e">
        <f>AD641-#REF!</f>
        <v>#REF!</v>
      </c>
      <c r="AF641" s="9"/>
      <c r="AG641" s="33" t="e">
        <f>#REF!-D641</f>
        <v>#REF!</v>
      </c>
      <c r="AH641" s="9"/>
      <c r="AI641" s="9"/>
      <c r="AJ641" s="9"/>
      <c r="AK641" s="9"/>
    </row>
    <row r="642" spans="1:37" s="12" customFormat="1" ht="20.399999999999999" outlineLevel="1" x14ac:dyDescent="0.2">
      <c r="A642" s="61" t="s">
        <v>3390</v>
      </c>
      <c r="B642" s="47" t="s">
        <v>3098</v>
      </c>
      <c r="C642" s="9" t="s">
        <v>47</v>
      </c>
      <c r="D642" s="25">
        <f t="shared" si="132"/>
        <v>20</v>
      </c>
      <c r="E642" s="54"/>
      <c r="F642" s="9"/>
      <c r="G642" s="9">
        <v>0</v>
      </c>
      <c r="H642" s="9">
        <v>20</v>
      </c>
      <c r="I642" s="9">
        <v>0</v>
      </c>
      <c r="J642" s="9">
        <v>0</v>
      </c>
      <c r="K642" s="9">
        <v>0</v>
      </c>
      <c r="L642" s="9">
        <v>0</v>
      </c>
      <c r="M642" s="9">
        <v>0</v>
      </c>
      <c r="N642" s="9">
        <v>0</v>
      </c>
      <c r="O642" s="9">
        <v>0</v>
      </c>
      <c r="P642" s="9">
        <v>0</v>
      </c>
      <c r="Q642" s="9">
        <v>0</v>
      </c>
      <c r="R642" s="9">
        <v>0</v>
      </c>
      <c r="S642" s="9">
        <v>0</v>
      </c>
      <c r="T642" s="9">
        <v>0</v>
      </c>
      <c r="U642" s="9">
        <v>0</v>
      </c>
      <c r="V642" s="9">
        <v>0</v>
      </c>
      <c r="W642" s="9">
        <v>0</v>
      </c>
      <c r="X642" s="9">
        <v>0</v>
      </c>
      <c r="Y642" s="9">
        <v>0</v>
      </c>
      <c r="Z642" s="9">
        <v>0</v>
      </c>
      <c r="AA642" s="9">
        <v>0</v>
      </c>
      <c r="AB642" s="9">
        <v>0</v>
      </c>
      <c r="AC642" s="9">
        <v>0</v>
      </c>
      <c r="AD642" s="53" t="e">
        <f>#REF!*D642</f>
        <v>#REF!</v>
      </c>
      <c r="AE642" s="53" t="e">
        <f>AD642-#REF!</f>
        <v>#REF!</v>
      </c>
      <c r="AF642" s="9"/>
      <c r="AG642" s="33" t="e">
        <f>#REF!-D642</f>
        <v>#REF!</v>
      </c>
      <c r="AH642" s="9"/>
      <c r="AI642" s="9"/>
      <c r="AJ642" s="9"/>
      <c r="AK642" s="9"/>
    </row>
    <row r="643" spans="1:37" s="12" customFormat="1" ht="13.5" customHeight="1" outlineLevel="1" x14ac:dyDescent="0.2">
      <c r="A643" s="61" t="s">
        <v>3391</v>
      </c>
      <c r="B643" s="99" t="s">
        <v>3108</v>
      </c>
      <c r="C643" s="9" t="s">
        <v>47</v>
      </c>
      <c r="D643" s="25">
        <f t="shared" si="132"/>
        <v>2</v>
      </c>
      <c r="E643" s="54"/>
      <c r="F643" s="9"/>
      <c r="G643" s="9">
        <v>0</v>
      </c>
      <c r="H643" s="9">
        <v>2</v>
      </c>
      <c r="I643" s="9">
        <v>0</v>
      </c>
      <c r="J643" s="9">
        <v>0</v>
      </c>
      <c r="K643" s="9">
        <v>0</v>
      </c>
      <c r="L643" s="9">
        <v>0</v>
      </c>
      <c r="M643" s="9">
        <v>0</v>
      </c>
      <c r="N643" s="9">
        <v>0</v>
      </c>
      <c r="O643" s="9">
        <v>0</v>
      </c>
      <c r="P643" s="9">
        <v>0</v>
      </c>
      <c r="Q643" s="9">
        <v>0</v>
      </c>
      <c r="R643" s="9">
        <v>0</v>
      </c>
      <c r="S643" s="9">
        <v>0</v>
      </c>
      <c r="T643" s="9">
        <v>0</v>
      </c>
      <c r="U643" s="9">
        <v>0</v>
      </c>
      <c r="V643" s="9">
        <v>0</v>
      </c>
      <c r="W643" s="9">
        <v>0</v>
      </c>
      <c r="X643" s="9">
        <v>0</v>
      </c>
      <c r="Y643" s="9">
        <v>0</v>
      </c>
      <c r="Z643" s="9">
        <v>0</v>
      </c>
      <c r="AA643" s="9">
        <v>0</v>
      </c>
      <c r="AB643" s="9">
        <v>0</v>
      </c>
      <c r="AC643" s="9">
        <v>0</v>
      </c>
      <c r="AD643" s="53" t="e">
        <f>#REF!*D643</f>
        <v>#REF!</v>
      </c>
      <c r="AE643" s="53" t="e">
        <f>AD643-#REF!</f>
        <v>#REF!</v>
      </c>
      <c r="AF643" s="9"/>
      <c r="AG643" s="33" t="e">
        <f>#REF!-D643</f>
        <v>#REF!</v>
      </c>
      <c r="AH643" s="9"/>
      <c r="AI643" s="9"/>
      <c r="AJ643" s="9"/>
      <c r="AK643" s="9"/>
    </row>
    <row r="644" spans="1:37" s="12" customFormat="1" ht="40.799999999999997" outlineLevel="1" x14ac:dyDescent="0.2">
      <c r="A644" s="61" t="s">
        <v>3392</v>
      </c>
      <c r="B644" s="47" t="s">
        <v>417</v>
      </c>
      <c r="C644" s="9" t="s">
        <v>47</v>
      </c>
      <c r="D644" s="25">
        <f t="shared" si="132"/>
        <v>9</v>
      </c>
      <c r="E644" s="54"/>
      <c r="F644" s="9"/>
      <c r="G644" s="9">
        <v>0</v>
      </c>
      <c r="H644" s="9">
        <v>9</v>
      </c>
      <c r="I644" s="9">
        <v>0</v>
      </c>
      <c r="J644" s="9">
        <v>0</v>
      </c>
      <c r="K644" s="9">
        <v>0</v>
      </c>
      <c r="L644" s="9">
        <v>0</v>
      </c>
      <c r="M644" s="9">
        <v>0</v>
      </c>
      <c r="N644" s="9">
        <v>0</v>
      </c>
      <c r="O644" s="9">
        <v>0</v>
      </c>
      <c r="P644" s="9">
        <v>0</v>
      </c>
      <c r="Q644" s="9">
        <v>0</v>
      </c>
      <c r="R644" s="9">
        <v>0</v>
      </c>
      <c r="S644" s="9">
        <v>0</v>
      </c>
      <c r="T644" s="9">
        <v>0</v>
      </c>
      <c r="U644" s="9">
        <v>0</v>
      </c>
      <c r="V644" s="9">
        <v>0</v>
      </c>
      <c r="W644" s="9">
        <v>0</v>
      </c>
      <c r="X644" s="9">
        <v>0</v>
      </c>
      <c r="Y644" s="9">
        <v>0</v>
      </c>
      <c r="Z644" s="9">
        <v>0</v>
      </c>
      <c r="AA644" s="9">
        <v>0</v>
      </c>
      <c r="AB644" s="9">
        <v>0</v>
      </c>
      <c r="AC644" s="9">
        <v>0</v>
      </c>
      <c r="AD644" s="53" t="e">
        <f>#REF!*D644</f>
        <v>#REF!</v>
      </c>
      <c r="AE644" s="53" t="e">
        <f>AD644-#REF!</f>
        <v>#REF!</v>
      </c>
      <c r="AF644" s="9"/>
      <c r="AG644" s="33" t="e">
        <f>#REF!-D644</f>
        <v>#REF!</v>
      </c>
      <c r="AH644" s="9"/>
      <c r="AI644" s="9"/>
      <c r="AJ644" s="9"/>
      <c r="AK644" s="9"/>
    </row>
    <row r="645" spans="1:37" s="12" customFormat="1" ht="11.4" outlineLevel="1" x14ac:dyDescent="0.2">
      <c r="A645" s="61" t="s">
        <v>3393</v>
      </c>
      <c r="B645" s="47" t="s">
        <v>410</v>
      </c>
      <c r="C645" s="9" t="s">
        <v>47</v>
      </c>
      <c r="D645" s="25">
        <f>SUM(G645:T645)</f>
        <v>39</v>
      </c>
      <c r="E645" s="54"/>
      <c r="F645" s="9"/>
      <c r="G645" s="9">
        <v>0</v>
      </c>
      <c r="H645" s="9">
        <f>9+30</f>
        <v>39</v>
      </c>
      <c r="I645" s="9">
        <v>0</v>
      </c>
      <c r="J645" s="9">
        <v>0</v>
      </c>
      <c r="K645" s="9">
        <v>0</v>
      </c>
      <c r="L645" s="9">
        <v>0</v>
      </c>
      <c r="M645" s="9">
        <v>0</v>
      </c>
      <c r="N645" s="9">
        <v>0</v>
      </c>
      <c r="O645" s="9">
        <v>0</v>
      </c>
      <c r="P645" s="9">
        <v>0</v>
      </c>
      <c r="Q645" s="9">
        <v>0</v>
      </c>
      <c r="R645" s="9">
        <v>0</v>
      </c>
      <c r="S645" s="9">
        <v>0</v>
      </c>
      <c r="T645" s="9">
        <v>0</v>
      </c>
      <c r="U645" s="9">
        <v>0</v>
      </c>
      <c r="V645" s="9">
        <v>0</v>
      </c>
      <c r="W645" s="9">
        <v>0</v>
      </c>
      <c r="X645" s="9">
        <v>0</v>
      </c>
      <c r="Y645" s="9">
        <v>0</v>
      </c>
      <c r="Z645" s="9">
        <v>0</v>
      </c>
      <c r="AA645" s="9">
        <v>0</v>
      </c>
      <c r="AB645" s="9">
        <v>0</v>
      </c>
      <c r="AC645" s="9">
        <v>0</v>
      </c>
      <c r="AD645" s="53" t="e">
        <f>#REF!*D645</f>
        <v>#REF!</v>
      </c>
      <c r="AE645" s="53" t="e">
        <f>AD645-#REF!</f>
        <v>#REF!</v>
      </c>
      <c r="AF645" s="9"/>
      <c r="AG645" s="33" t="e">
        <f>#REF!-D645</f>
        <v>#REF!</v>
      </c>
      <c r="AH645" s="9"/>
      <c r="AI645" s="9"/>
      <c r="AJ645" s="9"/>
      <c r="AK645" s="9"/>
    </row>
    <row r="646" spans="1:37" s="17" customFormat="1" ht="30.6" outlineLevel="1" x14ac:dyDescent="0.2">
      <c r="A646" s="61" t="s">
        <v>3394</v>
      </c>
      <c r="B646" s="47" t="s">
        <v>221</v>
      </c>
      <c r="C646" s="9" t="s">
        <v>47</v>
      </c>
      <c r="D646" s="25">
        <f>SUM(G646:T646)</f>
        <v>9</v>
      </c>
      <c r="E646" s="54"/>
      <c r="F646" s="9"/>
      <c r="G646" s="9">
        <v>0</v>
      </c>
      <c r="H646" s="9">
        <v>9</v>
      </c>
      <c r="I646" s="9">
        <v>0</v>
      </c>
      <c r="J646" s="9">
        <v>0</v>
      </c>
      <c r="K646" s="9">
        <v>0</v>
      </c>
      <c r="L646" s="9">
        <v>0</v>
      </c>
      <c r="M646" s="9">
        <v>0</v>
      </c>
      <c r="N646" s="9">
        <v>0</v>
      </c>
      <c r="O646" s="9">
        <v>0</v>
      </c>
      <c r="P646" s="9">
        <v>0</v>
      </c>
      <c r="Q646" s="9">
        <v>0</v>
      </c>
      <c r="R646" s="9">
        <v>0</v>
      </c>
      <c r="S646" s="9">
        <v>0</v>
      </c>
      <c r="T646" s="9">
        <v>0</v>
      </c>
      <c r="U646" s="9">
        <v>0</v>
      </c>
      <c r="V646" s="9">
        <v>0</v>
      </c>
      <c r="W646" s="9">
        <v>0</v>
      </c>
      <c r="X646" s="9">
        <v>0</v>
      </c>
      <c r="Y646" s="9">
        <v>0</v>
      </c>
      <c r="Z646" s="9">
        <v>0</v>
      </c>
      <c r="AA646" s="9">
        <v>0</v>
      </c>
      <c r="AB646" s="9">
        <v>0</v>
      </c>
      <c r="AC646" s="9">
        <v>0</v>
      </c>
      <c r="AD646" s="53" t="e">
        <f>#REF!*D646</f>
        <v>#REF!</v>
      </c>
      <c r="AE646" s="53" t="e">
        <f>AD646-#REF!</f>
        <v>#REF!</v>
      </c>
      <c r="AF646" s="21"/>
      <c r="AG646" s="33" t="e">
        <f>#REF!-D646</f>
        <v>#REF!</v>
      </c>
      <c r="AH646" s="21"/>
      <c r="AI646" s="21"/>
    </row>
    <row r="647" spans="1:37" s="12" customFormat="1" ht="20.399999999999999" outlineLevel="1" x14ac:dyDescent="0.2">
      <c r="A647" s="61" t="s">
        <v>3395</v>
      </c>
      <c r="B647" s="99" t="s">
        <v>298</v>
      </c>
      <c r="C647" s="9" t="s">
        <v>47</v>
      </c>
      <c r="D647" s="25">
        <f>SUM(G647:T647)</f>
        <v>1</v>
      </c>
      <c r="E647" s="54"/>
      <c r="F647" s="9"/>
      <c r="G647" s="9">
        <v>0</v>
      </c>
      <c r="H647" s="9">
        <v>1</v>
      </c>
      <c r="I647" s="9">
        <v>0</v>
      </c>
      <c r="J647" s="9">
        <v>0</v>
      </c>
      <c r="K647" s="9">
        <v>0</v>
      </c>
      <c r="L647" s="9">
        <v>0</v>
      </c>
      <c r="M647" s="9">
        <v>0</v>
      </c>
      <c r="N647" s="9">
        <v>0</v>
      </c>
      <c r="O647" s="9">
        <v>0</v>
      </c>
      <c r="P647" s="9">
        <v>0</v>
      </c>
      <c r="Q647" s="9">
        <v>0</v>
      </c>
      <c r="R647" s="9">
        <v>0</v>
      </c>
      <c r="S647" s="9">
        <v>0</v>
      </c>
      <c r="T647" s="9">
        <v>0</v>
      </c>
      <c r="U647" s="9">
        <v>0</v>
      </c>
      <c r="V647" s="9">
        <v>0</v>
      </c>
      <c r="W647" s="9">
        <v>0</v>
      </c>
      <c r="X647" s="9">
        <v>0</v>
      </c>
      <c r="Y647" s="9">
        <v>0</v>
      </c>
      <c r="Z647" s="9">
        <v>0</v>
      </c>
      <c r="AA647" s="9">
        <v>0</v>
      </c>
      <c r="AB647" s="9">
        <v>0</v>
      </c>
      <c r="AC647" s="9">
        <v>0</v>
      </c>
      <c r="AD647" s="53" t="e">
        <f>#REF!*D647</f>
        <v>#REF!</v>
      </c>
      <c r="AE647" s="53" t="e">
        <f>AD647-#REF!</f>
        <v>#REF!</v>
      </c>
      <c r="AF647" s="9"/>
      <c r="AG647" s="33" t="e">
        <f>#REF!-D647</f>
        <v>#REF!</v>
      </c>
      <c r="AH647" s="9"/>
      <c r="AI647" s="9"/>
      <c r="AJ647" s="9"/>
      <c r="AK647" s="9"/>
    </row>
    <row r="648" spans="1:37" s="12" customFormat="1" ht="20.399999999999999" outlineLevel="1" x14ac:dyDescent="0.2">
      <c r="A648" s="61" t="s">
        <v>3396</v>
      </c>
      <c r="B648" s="99" t="s">
        <v>412</v>
      </c>
      <c r="C648" s="9" t="s">
        <v>47</v>
      </c>
      <c r="D648" s="25">
        <f>SUM(G648:T648)</f>
        <v>2</v>
      </c>
      <c r="E648" s="54"/>
      <c r="F648" s="9"/>
      <c r="G648" s="9">
        <v>0</v>
      </c>
      <c r="H648" s="9">
        <v>2</v>
      </c>
      <c r="I648" s="9">
        <v>0</v>
      </c>
      <c r="J648" s="9">
        <v>0</v>
      </c>
      <c r="K648" s="9">
        <v>0</v>
      </c>
      <c r="L648" s="9">
        <v>0</v>
      </c>
      <c r="M648" s="9">
        <v>0</v>
      </c>
      <c r="N648" s="9">
        <v>0</v>
      </c>
      <c r="O648" s="9">
        <v>0</v>
      </c>
      <c r="P648" s="9">
        <v>0</v>
      </c>
      <c r="Q648" s="9">
        <v>0</v>
      </c>
      <c r="R648" s="9">
        <v>0</v>
      </c>
      <c r="S648" s="9">
        <v>0</v>
      </c>
      <c r="T648" s="9">
        <v>0</v>
      </c>
      <c r="U648" s="9">
        <v>0</v>
      </c>
      <c r="V648" s="9">
        <v>0</v>
      </c>
      <c r="W648" s="9">
        <v>0</v>
      </c>
      <c r="X648" s="9">
        <v>0</v>
      </c>
      <c r="Y648" s="9">
        <v>0</v>
      </c>
      <c r="Z648" s="9">
        <v>0</v>
      </c>
      <c r="AA648" s="9">
        <v>0</v>
      </c>
      <c r="AB648" s="9">
        <v>0</v>
      </c>
      <c r="AC648" s="9">
        <v>0</v>
      </c>
      <c r="AD648" s="53" t="e">
        <f>#REF!*D648</f>
        <v>#REF!</v>
      </c>
      <c r="AE648" s="53" t="e">
        <f>AD648-#REF!</f>
        <v>#REF!</v>
      </c>
      <c r="AF648" s="9"/>
      <c r="AG648" s="33" t="e">
        <f>#REF!-D648</f>
        <v>#REF!</v>
      </c>
      <c r="AH648" s="9"/>
      <c r="AI648" s="9"/>
      <c r="AJ648" s="9"/>
      <c r="AK648" s="9"/>
    </row>
    <row r="649" spans="1:37" s="12" customFormat="1" ht="20.399999999999999" outlineLevel="1" x14ac:dyDescent="0.2">
      <c r="A649" s="61" t="s">
        <v>3397</v>
      </c>
      <c r="B649" s="99" t="s">
        <v>2649</v>
      </c>
      <c r="C649" s="9" t="s">
        <v>47</v>
      </c>
      <c r="D649" s="25">
        <f>SUM(G649:T649)</f>
        <v>3</v>
      </c>
      <c r="E649" s="54"/>
      <c r="F649" s="9"/>
      <c r="G649" s="9">
        <v>0</v>
      </c>
      <c r="H649" s="9">
        <v>3</v>
      </c>
      <c r="I649" s="9">
        <v>0</v>
      </c>
      <c r="J649" s="9">
        <v>0</v>
      </c>
      <c r="K649" s="9">
        <v>0</v>
      </c>
      <c r="L649" s="9">
        <v>0</v>
      </c>
      <c r="M649" s="9">
        <v>0</v>
      </c>
      <c r="N649" s="9">
        <v>0</v>
      </c>
      <c r="O649" s="9">
        <v>0</v>
      </c>
      <c r="P649" s="9">
        <v>0</v>
      </c>
      <c r="Q649" s="9">
        <v>0</v>
      </c>
      <c r="R649" s="9">
        <v>0</v>
      </c>
      <c r="S649" s="9">
        <v>0</v>
      </c>
      <c r="T649" s="9">
        <v>0</v>
      </c>
      <c r="U649" s="9">
        <v>0</v>
      </c>
      <c r="V649" s="9">
        <v>0</v>
      </c>
      <c r="W649" s="9">
        <v>0</v>
      </c>
      <c r="X649" s="9">
        <v>0</v>
      </c>
      <c r="Y649" s="9">
        <v>0</v>
      </c>
      <c r="Z649" s="9">
        <v>0</v>
      </c>
      <c r="AA649" s="9">
        <v>0</v>
      </c>
      <c r="AB649" s="9">
        <v>0</v>
      </c>
      <c r="AC649" s="9">
        <v>0</v>
      </c>
      <c r="AD649" s="53" t="e">
        <f>#REF!*D649</f>
        <v>#REF!</v>
      </c>
      <c r="AE649" s="53" t="e">
        <f>AD649-#REF!</f>
        <v>#REF!</v>
      </c>
      <c r="AF649" s="9"/>
      <c r="AG649" s="33" t="e">
        <f>#REF!-D649</f>
        <v>#REF!</v>
      </c>
      <c r="AH649" s="9"/>
      <c r="AI649" s="9"/>
      <c r="AJ649" s="9"/>
      <c r="AK649" s="9"/>
    </row>
    <row r="650" spans="1:37" s="12" customFormat="1" ht="40.799999999999997" outlineLevel="1" x14ac:dyDescent="0.2">
      <c r="A650" s="61" t="s">
        <v>3398</v>
      </c>
      <c r="B650" s="47" t="s">
        <v>2463</v>
      </c>
      <c r="C650" s="8" t="s">
        <v>47</v>
      </c>
      <c r="D650" s="25">
        <f>SUM(G650:AC650)</f>
        <v>4</v>
      </c>
      <c r="E650" s="54"/>
      <c r="F650" s="9"/>
      <c r="G650" s="9">
        <v>0</v>
      </c>
      <c r="H650" s="9">
        <v>4</v>
      </c>
      <c r="I650" s="9">
        <v>0</v>
      </c>
      <c r="J650" s="9">
        <v>0</v>
      </c>
      <c r="K650" s="9">
        <v>0</v>
      </c>
      <c r="L650" s="9">
        <v>0</v>
      </c>
      <c r="M650" s="9">
        <v>0</v>
      </c>
      <c r="N650" s="9">
        <v>0</v>
      </c>
      <c r="O650" s="9">
        <v>0</v>
      </c>
      <c r="P650" s="9">
        <v>0</v>
      </c>
      <c r="Q650" s="9">
        <v>0</v>
      </c>
      <c r="R650" s="9">
        <v>0</v>
      </c>
      <c r="S650" s="9">
        <v>0</v>
      </c>
      <c r="T650" s="9">
        <v>0</v>
      </c>
      <c r="U650" s="9">
        <v>0</v>
      </c>
      <c r="V650" s="9">
        <v>0</v>
      </c>
      <c r="W650" s="9">
        <v>0</v>
      </c>
      <c r="X650" s="9">
        <v>0</v>
      </c>
      <c r="Y650" s="9">
        <v>0</v>
      </c>
      <c r="Z650" s="9">
        <v>0</v>
      </c>
      <c r="AA650" s="9">
        <v>0</v>
      </c>
      <c r="AB650" s="9">
        <v>0</v>
      </c>
      <c r="AC650" s="9">
        <v>0</v>
      </c>
      <c r="AD650" s="53" t="e">
        <f>#REF!*D650</f>
        <v>#REF!</v>
      </c>
      <c r="AE650" s="53" t="e">
        <f>AD650-#REF!</f>
        <v>#REF!</v>
      </c>
      <c r="AF650" s="9"/>
      <c r="AG650" s="33" t="e">
        <f>#REF!-D650</f>
        <v>#REF!</v>
      </c>
      <c r="AH650" s="9"/>
      <c r="AI650" s="9"/>
      <c r="AJ650" s="9"/>
      <c r="AK650" s="9"/>
    </row>
    <row r="651" spans="1:37" s="12" customFormat="1" ht="29.25" customHeight="1" outlineLevel="1" x14ac:dyDescent="0.2">
      <c r="A651" s="61" t="s">
        <v>3399</v>
      </c>
      <c r="B651" s="80" t="s">
        <v>3117</v>
      </c>
      <c r="C651" s="8" t="s">
        <v>47</v>
      </c>
      <c r="D651" s="25">
        <f>SUM(G651:AC651)</f>
        <v>1</v>
      </c>
      <c r="E651" s="54"/>
      <c r="F651" s="9"/>
      <c r="G651" s="9">
        <v>0</v>
      </c>
      <c r="H651" s="9">
        <v>1</v>
      </c>
      <c r="I651" s="9">
        <v>0</v>
      </c>
      <c r="J651" s="9">
        <v>0</v>
      </c>
      <c r="K651" s="9">
        <v>0</v>
      </c>
      <c r="L651" s="9">
        <v>0</v>
      </c>
      <c r="M651" s="9">
        <v>0</v>
      </c>
      <c r="N651" s="9">
        <v>0</v>
      </c>
      <c r="O651" s="9">
        <v>0</v>
      </c>
      <c r="P651" s="9">
        <v>0</v>
      </c>
      <c r="Q651" s="9">
        <v>0</v>
      </c>
      <c r="R651" s="9">
        <v>0</v>
      </c>
      <c r="S651" s="9">
        <v>0</v>
      </c>
      <c r="T651" s="9">
        <v>0</v>
      </c>
      <c r="U651" s="9">
        <v>0</v>
      </c>
      <c r="V651" s="9">
        <v>0</v>
      </c>
      <c r="W651" s="9">
        <v>0</v>
      </c>
      <c r="X651" s="9">
        <v>0</v>
      </c>
      <c r="Y651" s="9">
        <v>0</v>
      </c>
      <c r="Z651" s="9">
        <v>0</v>
      </c>
      <c r="AA651" s="9">
        <v>0</v>
      </c>
      <c r="AB651" s="9">
        <v>0</v>
      </c>
      <c r="AC651" s="9">
        <v>0</v>
      </c>
      <c r="AD651" s="53" t="e">
        <f>#REF!*D651</f>
        <v>#REF!</v>
      </c>
      <c r="AE651" s="53" t="e">
        <f>AD651-#REF!</f>
        <v>#REF!</v>
      </c>
      <c r="AF651" s="9"/>
      <c r="AG651" s="33" t="e">
        <f>#REF!-D651</f>
        <v>#REF!</v>
      </c>
      <c r="AH651" s="9"/>
      <c r="AI651" s="9"/>
      <c r="AJ651" s="9"/>
      <c r="AK651" s="9"/>
    </row>
    <row r="652" spans="1:37" s="12" customFormat="1" ht="20.399999999999999" outlineLevel="1" x14ac:dyDescent="0.2">
      <c r="A652" s="61" t="s">
        <v>3400</v>
      </c>
      <c r="B652" s="80" t="s">
        <v>3116</v>
      </c>
      <c r="C652" s="9" t="s">
        <v>47</v>
      </c>
      <c r="D652" s="25">
        <f>SUM(G652:AC652)</f>
        <v>4</v>
      </c>
      <c r="E652" s="54"/>
      <c r="F652" s="9"/>
      <c r="G652" s="9">
        <v>0</v>
      </c>
      <c r="H652" s="9">
        <v>4</v>
      </c>
      <c r="I652" s="9">
        <v>0</v>
      </c>
      <c r="J652" s="9">
        <v>0</v>
      </c>
      <c r="K652" s="9">
        <v>0</v>
      </c>
      <c r="L652" s="9">
        <v>0</v>
      </c>
      <c r="M652" s="9">
        <v>0</v>
      </c>
      <c r="N652" s="9">
        <v>0</v>
      </c>
      <c r="O652" s="9">
        <v>0</v>
      </c>
      <c r="P652" s="9">
        <v>0</v>
      </c>
      <c r="Q652" s="9">
        <v>0</v>
      </c>
      <c r="R652" s="9">
        <v>0</v>
      </c>
      <c r="S652" s="9">
        <v>0</v>
      </c>
      <c r="T652" s="9">
        <v>0</v>
      </c>
      <c r="U652" s="9">
        <v>0</v>
      </c>
      <c r="V652" s="9">
        <v>0</v>
      </c>
      <c r="W652" s="9">
        <v>0</v>
      </c>
      <c r="X652" s="9">
        <v>0</v>
      </c>
      <c r="Y652" s="9">
        <v>0</v>
      </c>
      <c r="Z652" s="9">
        <v>0</v>
      </c>
      <c r="AA652" s="9">
        <v>0</v>
      </c>
      <c r="AB652" s="9">
        <v>0</v>
      </c>
      <c r="AC652" s="9">
        <v>0</v>
      </c>
      <c r="AD652" s="53" t="e">
        <f>#REF!*D652</f>
        <v>#REF!</v>
      </c>
      <c r="AE652" s="53" t="e">
        <f>AD652-#REF!</f>
        <v>#REF!</v>
      </c>
      <c r="AF652" s="9"/>
      <c r="AG652" s="33" t="e">
        <f>#REF!-D652</f>
        <v>#REF!</v>
      </c>
      <c r="AH652" s="9"/>
      <c r="AI652" s="9"/>
      <c r="AJ652" s="9"/>
      <c r="AK652" s="9"/>
    </row>
    <row r="653" spans="1:37" s="12" customFormat="1" ht="20.399999999999999" outlineLevel="1" x14ac:dyDescent="0.2">
      <c r="A653" s="61" t="s">
        <v>3401</v>
      </c>
      <c r="B653" s="47" t="s">
        <v>316</v>
      </c>
      <c r="C653" s="9" t="s">
        <v>47</v>
      </c>
      <c r="D653" s="25">
        <f>SUM(G653:AC653)</f>
        <v>3</v>
      </c>
      <c r="E653" s="54"/>
      <c r="F653" s="9"/>
      <c r="G653" s="9">
        <v>0</v>
      </c>
      <c r="H653" s="9">
        <v>3</v>
      </c>
      <c r="I653" s="9">
        <v>0</v>
      </c>
      <c r="J653" s="9">
        <v>0</v>
      </c>
      <c r="K653" s="9">
        <v>0</v>
      </c>
      <c r="L653" s="9">
        <v>0</v>
      </c>
      <c r="M653" s="9">
        <v>0</v>
      </c>
      <c r="N653" s="9">
        <v>0</v>
      </c>
      <c r="O653" s="9">
        <v>0</v>
      </c>
      <c r="P653" s="9">
        <v>0</v>
      </c>
      <c r="Q653" s="9">
        <v>0</v>
      </c>
      <c r="R653" s="9">
        <v>0</v>
      </c>
      <c r="S653" s="9">
        <v>0</v>
      </c>
      <c r="T653" s="9">
        <v>0</v>
      </c>
      <c r="U653" s="9">
        <v>0</v>
      </c>
      <c r="V653" s="9">
        <v>0</v>
      </c>
      <c r="W653" s="9">
        <v>0</v>
      </c>
      <c r="X653" s="9">
        <v>0</v>
      </c>
      <c r="Y653" s="9">
        <v>0</v>
      </c>
      <c r="Z653" s="9">
        <v>0</v>
      </c>
      <c r="AA653" s="9">
        <v>0</v>
      </c>
      <c r="AB653" s="9">
        <v>0</v>
      </c>
      <c r="AC653" s="9">
        <v>0</v>
      </c>
      <c r="AD653" s="53" t="e">
        <f>#REF!*D653</f>
        <v>#REF!</v>
      </c>
      <c r="AE653" s="53" t="e">
        <f>AD653-#REF!</f>
        <v>#REF!</v>
      </c>
      <c r="AF653" s="9"/>
      <c r="AG653" s="33" t="e">
        <f>#REF!-D653</f>
        <v>#REF!</v>
      </c>
      <c r="AH653" s="9"/>
      <c r="AI653" s="9"/>
      <c r="AJ653" s="9"/>
      <c r="AK653" s="9"/>
    </row>
    <row r="654" spans="1:37" s="12" customFormat="1" ht="22.8" outlineLevel="1" x14ac:dyDescent="0.2">
      <c r="A654" s="61" t="s">
        <v>3402</v>
      </c>
      <c r="B654" s="80" t="s">
        <v>234</v>
      </c>
      <c r="C654" s="9" t="s">
        <v>47</v>
      </c>
      <c r="D654" s="25">
        <f>SUM(G654:AC654)</f>
        <v>1</v>
      </c>
      <c r="E654" s="54"/>
      <c r="F654" s="9"/>
      <c r="G654" s="9">
        <v>0</v>
      </c>
      <c r="H654" s="9">
        <v>1</v>
      </c>
      <c r="I654" s="9">
        <v>0</v>
      </c>
      <c r="J654" s="9">
        <v>0</v>
      </c>
      <c r="K654" s="9">
        <v>0</v>
      </c>
      <c r="L654" s="9">
        <v>0</v>
      </c>
      <c r="M654" s="9">
        <v>0</v>
      </c>
      <c r="N654" s="9">
        <v>0</v>
      </c>
      <c r="O654" s="9">
        <v>0</v>
      </c>
      <c r="P654" s="9">
        <v>0</v>
      </c>
      <c r="Q654" s="9">
        <v>0</v>
      </c>
      <c r="R654" s="9">
        <v>0</v>
      </c>
      <c r="S654" s="9">
        <v>0</v>
      </c>
      <c r="T654" s="9">
        <v>0</v>
      </c>
      <c r="U654" s="9">
        <v>0</v>
      </c>
      <c r="V654" s="9">
        <v>0</v>
      </c>
      <c r="W654" s="9">
        <v>0</v>
      </c>
      <c r="X654" s="9">
        <v>0</v>
      </c>
      <c r="Y654" s="9">
        <v>0</v>
      </c>
      <c r="Z654" s="9">
        <v>0</v>
      </c>
      <c r="AA654" s="9">
        <v>0</v>
      </c>
      <c r="AB654" s="9">
        <v>0</v>
      </c>
      <c r="AC654" s="9">
        <v>0</v>
      </c>
      <c r="AD654" s="53" t="e">
        <f>#REF!*D654</f>
        <v>#REF!</v>
      </c>
      <c r="AE654" s="53" t="e">
        <f>AD654-#REF!</f>
        <v>#REF!</v>
      </c>
      <c r="AF654" s="9"/>
      <c r="AG654" s="33" t="e">
        <f>#REF!-D654</f>
        <v>#REF!</v>
      </c>
      <c r="AH654" s="9"/>
      <c r="AI654" s="9"/>
      <c r="AJ654" s="9"/>
      <c r="AK654" s="9"/>
    </row>
    <row r="655" spans="1:37" s="12" customFormat="1" ht="10.199999999999999" outlineLevel="1" x14ac:dyDescent="0.2">
      <c r="A655" s="61" t="s">
        <v>3403</v>
      </c>
      <c r="B655" s="15" t="s">
        <v>3182</v>
      </c>
      <c r="C655" s="9" t="s">
        <v>47</v>
      </c>
      <c r="D655" s="25">
        <f>SUM(G655:T655)</f>
        <v>1</v>
      </c>
      <c r="E655" s="54"/>
      <c r="F655" s="9"/>
      <c r="G655" s="9">
        <v>0</v>
      </c>
      <c r="H655" s="9">
        <v>1</v>
      </c>
      <c r="I655" s="9">
        <v>0</v>
      </c>
      <c r="J655" s="9">
        <v>0</v>
      </c>
      <c r="K655" s="9">
        <v>0</v>
      </c>
      <c r="L655" s="9">
        <v>0</v>
      </c>
      <c r="M655" s="9">
        <v>0</v>
      </c>
      <c r="N655" s="9">
        <v>0</v>
      </c>
      <c r="O655" s="9">
        <v>0</v>
      </c>
      <c r="P655" s="9">
        <v>0</v>
      </c>
      <c r="Q655" s="9">
        <v>0</v>
      </c>
      <c r="R655" s="9">
        <v>0</v>
      </c>
      <c r="S655" s="9">
        <v>0</v>
      </c>
      <c r="T655" s="9">
        <v>0</v>
      </c>
      <c r="U655" s="9">
        <v>0</v>
      </c>
      <c r="V655" s="9">
        <v>0</v>
      </c>
      <c r="W655" s="9">
        <v>0</v>
      </c>
      <c r="X655" s="9">
        <v>0</v>
      </c>
      <c r="Y655" s="9">
        <v>0</v>
      </c>
      <c r="Z655" s="9">
        <v>0</v>
      </c>
      <c r="AA655" s="9">
        <v>0</v>
      </c>
      <c r="AB655" s="9">
        <v>0</v>
      </c>
      <c r="AC655" s="9">
        <v>0</v>
      </c>
      <c r="AD655" s="53" t="e">
        <f>#REF!*D655</f>
        <v>#REF!</v>
      </c>
      <c r="AE655" s="53" t="e">
        <f>AD655-#REF!</f>
        <v>#REF!</v>
      </c>
      <c r="AF655" s="9"/>
      <c r="AG655" s="33" t="e">
        <f>#REF!-D655</f>
        <v>#REF!</v>
      </c>
      <c r="AH655" s="9"/>
      <c r="AI655" s="9"/>
      <c r="AJ655" s="9"/>
      <c r="AK655" s="9"/>
    </row>
    <row r="656" spans="1:37" s="12" customFormat="1" ht="10.199999999999999" outlineLevel="1" x14ac:dyDescent="0.2">
      <c r="A656" s="61"/>
      <c r="B656" s="15"/>
      <c r="C656" s="9"/>
      <c r="D656" s="25"/>
      <c r="E656" s="54"/>
      <c r="F656" s="9"/>
      <c r="G656" s="9"/>
      <c r="H656" s="9"/>
      <c r="I656" s="9"/>
      <c r="J656" s="9"/>
      <c r="K656" s="9"/>
      <c r="L656" s="9"/>
      <c r="M656" s="9"/>
      <c r="N656" s="9"/>
      <c r="O656" s="9"/>
      <c r="P656" s="9"/>
      <c r="Q656" s="9"/>
      <c r="R656" s="9"/>
      <c r="S656" s="9"/>
      <c r="T656" s="9"/>
      <c r="U656" s="9"/>
      <c r="V656" s="9"/>
      <c r="W656" s="9"/>
      <c r="X656" s="9"/>
      <c r="Y656" s="9"/>
      <c r="Z656" s="9"/>
      <c r="AA656" s="9"/>
      <c r="AB656" s="9"/>
      <c r="AC656" s="9"/>
      <c r="AD656" s="53" t="e">
        <f>#REF!*D656</f>
        <v>#REF!</v>
      </c>
      <c r="AE656" s="53" t="e">
        <f>AD656-#REF!</f>
        <v>#REF!</v>
      </c>
      <c r="AF656" s="9"/>
      <c r="AG656" s="33" t="e">
        <f>#REF!-D656</f>
        <v>#REF!</v>
      </c>
      <c r="AH656" s="9"/>
      <c r="AI656" s="9"/>
      <c r="AJ656" s="9"/>
      <c r="AK656" s="9"/>
    </row>
    <row r="657" spans="1:37" s="12" customFormat="1" ht="12" x14ac:dyDescent="0.25">
      <c r="A657" s="18" t="s">
        <v>3404</v>
      </c>
      <c r="B657" s="35" t="s">
        <v>2989</v>
      </c>
      <c r="C657" s="18" t="s">
        <v>41</v>
      </c>
      <c r="D657" s="228" t="e">
        <f>#REF!/#REF!*100</f>
        <v>#REF!</v>
      </c>
      <c r="E657" s="54"/>
      <c r="F657" s="9"/>
      <c r="G657" s="9"/>
      <c r="H657" s="9"/>
      <c r="I657" s="9"/>
      <c r="J657" s="9"/>
      <c r="K657" s="9"/>
      <c r="L657" s="9"/>
      <c r="M657" s="9"/>
      <c r="N657" s="9"/>
      <c r="O657" s="9"/>
      <c r="P657" s="9"/>
      <c r="Q657" s="9"/>
      <c r="R657" s="9"/>
      <c r="S657" s="9"/>
      <c r="T657" s="9"/>
      <c r="U657" s="9"/>
      <c r="V657" s="9"/>
      <c r="W657" s="9"/>
      <c r="X657" s="9"/>
      <c r="Y657" s="9"/>
      <c r="Z657" s="9"/>
      <c r="AA657" s="9"/>
      <c r="AB657" s="9"/>
      <c r="AC657" s="9"/>
      <c r="AD657" s="53" t="e">
        <f>#REF!*D657</f>
        <v>#REF!</v>
      </c>
      <c r="AE657" s="53" t="e">
        <f>AD657-#REF!</f>
        <v>#REF!</v>
      </c>
      <c r="AF657" s="9"/>
      <c r="AG657" s="33" t="e">
        <f>#REF!-D657</f>
        <v>#REF!</v>
      </c>
      <c r="AH657" s="9"/>
      <c r="AI657" s="9"/>
      <c r="AJ657" s="9"/>
      <c r="AK657" s="9"/>
    </row>
    <row r="658" spans="1:37" s="12" customFormat="1" ht="45" customHeight="1" outlineLevel="1" x14ac:dyDescent="0.2">
      <c r="A658" s="61" t="s">
        <v>3405</v>
      </c>
      <c r="B658" s="80" t="s">
        <v>3176</v>
      </c>
      <c r="C658" s="9" t="s">
        <v>47</v>
      </c>
      <c r="D658" s="25">
        <f t="shared" ref="D658:D691" si="133">SUM(G658:AC658)</f>
        <v>2</v>
      </c>
      <c r="E658" s="54"/>
      <c r="F658" s="9"/>
      <c r="G658" s="9">
        <v>0</v>
      </c>
      <c r="H658" s="9">
        <v>0</v>
      </c>
      <c r="I658" s="9">
        <v>0</v>
      </c>
      <c r="J658" s="9">
        <v>0</v>
      </c>
      <c r="K658" s="9">
        <v>0</v>
      </c>
      <c r="L658" s="9">
        <v>0</v>
      </c>
      <c r="M658" s="9">
        <v>0</v>
      </c>
      <c r="N658" s="9">
        <v>0</v>
      </c>
      <c r="O658" s="9">
        <v>0</v>
      </c>
      <c r="P658" s="9">
        <v>0</v>
      </c>
      <c r="Q658" s="9">
        <v>0</v>
      </c>
      <c r="R658" s="9">
        <v>2</v>
      </c>
      <c r="S658" s="9">
        <v>0</v>
      </c>
      <c r="T658" s="9">
        <v>0</v>
      </c>
      <c r="U658" s="9">
        <v>0</v>
      </c>
      <c r="V658" s="9">
        <v>0</v>
      </c>
      <c r="W658" s="9">
        <v>0</v>
      </c>
      <c r="X658" s="9">
        <v>0</v>
      </c>
      <c r="Y658" s="9">
        <v>0</v>
      </c>
      <c r="Z658" s="9">
        <v>0</v>
      </c>
      <c r="AA658" s="9">
        <v>0</v>
      </c>
      <c r="AB658" s="9">
        <v>0</v>
      </c>
      <c r="AC658" s="9">
        <v>0</v>
      </c>
      <c r="AD658" s="53" t="e">
        <f>#REF!*D658</f>
        <v>#REF!</v>
      </c>
      <c r="AE658" s="53" t="e">
        <f>AD658-#REF!</f>
        <v>#REF!</v>
      </c>
      <c r="AF658" s="9"/>
      <c r="AG658" s="33" t="e">
        <f>#REF!-D658</f>
        <v>#REF!</v>
      </c>
      <c r="AH658" s="9"/>
      <c r="AI658" s="9"/>
      <c r="AJ658" s="9"/>
      <c r="AK658" s="9"/>
    </row>
    <row r="659" spans="1:37" s="12" customFormat="1" ht="10.199999999999999" outlineLevel="1" x14ac:dyDescent="0.2">
      <c r="A659" s="61" t="s">
        <v>3406</v>
      </c>
      <c r="B659" s="99" t="s">
        <v>418</v>
      </c>
      <c r="C659" s="9" t="s">
        <v>47</v>
      </c>
      <c r="D659" s="25">
        <f t="shared" si="133"/>
        <v>1</v>
      </c>
      <c r="E659" s="54"/>
      <c r="F659" s="9"/>
      <c r="G659" s="9">
        <v>0</v>
      </c>
      <c r="H659" s="9">
        <v>0</v>
      </c>
      <c r="I659" s="9">
        <v>0</v>
      </c>
      <c r="J659" s="9">
        <v>0</v>
      </c>
      <c r="K659" s="9">
        <v>0</v>
      </c>
      <c r="L659" s="9">
        <v>0</v>
      </c>
      <c r="M659" s="9">
        <v>0</v>
      </c>
      <c r="N659" s="9">
        <v>0</v>
      </c>
      <c r="O659" s="9">
        <v>0</v>
      </c>
      <c r="P659" s="9">
        <v>0</v>
      </c>
      <c r="Q659" s="9">
        <v>0</v>
      </c>
      <c r="R659" s="9">
        <v>1</v>
      </c>
      <c r="S659" s="9">
        <v>0</v>
      </c>
      <c r="T659" s="9">
        <v>0</v>
      </c>
      <c r="U659" s="9">
        <v>0</v>
      </c>
      <c r="V659" s="9">
        <v>0</v>
      </c>
      <c r="W659" s="9">
        <v>0</v>
      </c>
      <c r="X659" s="9">
        <v>0</v>
      </c>
      <c r="Y659" s="9">
        <v>0</v>
      </c>
      <c r="Z659" s="9">
        <v>0</v>
      </c>
      <c r="AA659" s="9">
        <v>0</v>
      </c>
      <c r="AB659" s="9">
        <v>0</v>
      </c>
      <c r="AC659" s="9">
        <v>0</v>
      </c>
      <c r="AD659" s="53" t="e">
        <f>#REF!*D659</f>
        <v>#REF!</v>
      </c>
      <c r="AE659" s="53" t="e">
        <f>AD659-#REF!</f>
        <v>#REF!</v>
      </c>
      <c r="AF659" s="9"/>
      <c r="AG659" s="33" t="e">
        <f>#REF!-D659</f>
        <v>#REF!</v>
      </c>
      <c r="AH659" s="9"/>
      <c r="AI659" s="9"/>
      <c r="AJ659" s="9"/>
      <c r="AK659" s="9"/>
    </row>
    <row r="660" spans="1:37" s="12" customFormat="1" ht="10.199999999999999" outlineLevel="1" x14ac:dyDescent="0.2">
      <c r="A660" s="61" t="s">
        <v>3407</v>
      </c>
      <c r="B660" s="99" t="s">
        <v>419</v>
      </c>
      <c r="C660" s="9" t="s">
        <v>47</v>
      </c>
      <c r="D660" s="25">
        <f t="shared" si="133"/>
        <v>1</v>
      </c>
      <c r="E660" s="54"/>
      <c r="F660" s="9"/>
      <c r="G660" s="9">
        <v>0</v>
      </c>
      <c r="H660" s="9">
        <v>0</v>
      </c>
      <c r="I660" s="9">
        <v>0</v>
      </c>
      <c r="J660" s="9">
        <v>0</v>
      </c>
      <c r="K660" s="9">
        <v>0</v>
      </c>
      <c r="L660" s="9">
        <v>0</v>
      </c>
      <c r="M660" s="9">
        <v>0</v>
      </c>
      <c r="N660" s="9">
        <v>0</v>
      </c>
      <c r="O660" s="9">
        <v>0</v>
      </c>
      <c r="P660" s="9">
        <v>0</v>
      </c>
      <c r="Q660" s="9">
        <v>0</v>
      </c>
      <c r="R660" s="9">
        <v>1</v>
      </c>
      <c r="S660" s="9">
        <v>0</v>
      </c>
      <c r="T660" s="9">
        <v>0</v>
      </c>
      <c r="U660" s="9">
        <v>0</v>
      </c>
      <c r="V660" s="9">
        <v>0</v>
      </c>
      <c r="W660" s="9">
        <v>0</v>
      </c>
      <c r="X660" s="9">
        <v>0</v>
      </c>
      <c r="Y660" s="9">
        <v>0</v>
      </c>
      <c r="Z660" s="9">
        <v>0</v>
      </c>
      <c r="AA660" s="9">
        <v>0</v>
      </c>
      <c r="AB660" s="9">
        <v>0</v>
      </c>
      <c r="AC660" s="9">
        <v>0</v>
      </c>
      <c r="AD660" s="53" t="e">
        <f>#REF!*D660</f>
        <v>#REF!</v>
      </c>
      <c r="AE660" s="53" t="e">
        <f>AD660-#REF!</f>
        <v>#REF!</v>
      </c>
      <c r="AF660" s="9"/>
      <c r="AG660" s="33" t="e">
        <f>#REF!-D660</f>
        <v>#REF!</v>
      </c>
      <c r="AH660" s="9"/>
      <c r="AI660" s="9"/>
      <c r="AJ660" s="9"/>
      <c r="AK660" s="9"/>
    </row>
    <row r="661" spans="1:37" s="12" customFormat="1" ht="10.199999999999999" outlineLevel="1" x14ac:dyDescent="0.2">
      <c r="A661" s="61" t="s">
        <v>3408</v>
      </c>
      <c r="B661" s="99" t="s">
        <v>420</v>
      </c>
      <c r="C661" s="9" t="s">
        <v>47</v>
      </c>
      <c r="D661" s="25">
        <f t="shared" si="133"/>
        <v>1</v>
      </c>
      <c r="E661" s="54"/>
      <c r="F661" s="9"/>
      <c r="G661" s="9">
        <v>0</v>
      </c>
      <c r="H661" s="9">
        <v>0</v>
      </c>
      <c r="I661" s="9">
        <v>0</v>
      </c>
      <c r="J661" s="9">
        <v>0</v>
      </c>
      <c r="K661" s="9">
        <v>0</v>
      </c>
      <c r="L661" s="9">
        <v>0</v>
      </c>
      <c r="M661" s="9">
        <v>0</v>
      </c>
      <c r="N661" s="9">
        <v>0</v>
      </c>
      <c r="O661" s="9">
        <v>0</v>
      </c>
      <c r="P661" s="9">
        <v>0</v>
      </c>
      <c r="Q661" s="9">
        <v>0</v>
      </c>
      <c r="R661" s="9">
        <v>1</v>
      </c>
      <c r="S661" s="9">
        <v>0</v>
      </c>
      <c r="T661" s="9">
        <v>0</v>
      </c>
      <c r="U661" s="9">
        <v>0</v>
      </c>
      <c r="V661" s="9">
        <v>0</v>
      </c>
      <c r="W661" s="9">
        <v>0</v>
      </c>
      <c r="X661" s="9">
        <v>0</v>
      </c>
      <c r="Y661" s="9">
        <v>0</v>
      </c>
      <c r="Z661" s="9">
        <v>0</v>
      </c>
      <c r="AA661" s="9">
        <v>0</v>
      </c>
      <c r="AB661" s="9">
        <v>0</v>
      </c>
      <c r="AC661" s="9">
        <v>0</v>
      </c>
      <c r="AD661" s="53" t="e">
        <f>#REF!*D661</f>
        <v>#REF!</v>
      </c>
      <c r="AE661" s="53" t="e">
        <f>AD661-#REF!</f>
        <v>#REF!</v>
      </c>
      <c r="AF661" s="9"/>
      <c r="AG661" s="33" t="e">
        <f>#REF!-D661</f>
        <v>#REF!</v>
      </c>
      <c r="AH661" s="9"/>
      <c r="AI661" s="9"/>
      <c r="AJ661" s="9"/>
      <c r="AK661" s="9"/>
    </row>
    <row r="662" spans="1:37" s="12" customFormat="1" ht="10.199999999999999" outlineLevel="1" x14ac:dyDescent="0.2">
      <c r="A662" s="61" t="s">
        <v>3409</v>
      </c>
      <c r="B662" s="99" t="s">
        <v>3113</v>
      </c>
      <c r="C662" s="9" t="s">
        <v>47</v>
      </c>
      <c r="D662" s="25">
        <f t="shared" si="133"/>
        <v>1</v>
      </c>
      <c r="E662" s="54"/>
      <c r="F662" s="9"/>
      <c r="G662" s="9">
        <v>0</v>
      </c>
      <c r="H662" s="9">
        <v>0</v>
      </c>
      <c r="I662" s="9">
        <v>0</v>
      </c>
      <c r="J662" s="9">
        <v>0</v>
      </c>
      <c r="K662" s="9">
        <v>0</v>
      </c>
      <c r="L662" s="9">
        <v>0</v>
      </c>
      <c r="M662" s="9">
        <v>0</v>
      </c>
      <c r="N662" s="9">
        <v>0</v>
      </c>
      <c r="O662" s="9">
        <v>0</v>
      </c>
      <c r="P662" s="9">
        <v>0</v>
      </c>
      <c r="Q662" s="9">
        <v>0</v>
      </c>
      <c r="R662" s="9">
        <v>1</v>
      </c>
      <c r="S662" s="9">
        <v>0</v>
      </c>
      <c r="T662" s="9">
        <v>0</v>
      </c>
      <c r="U662" s="9">
        <v>0</v>
      </c>
      <c r="V662" s="9">
        <v>0</v>
      </c>
      <c r="W662" s="9">
        <v>0</v>
      </c>
      <c r="X662" s="9">
        <v>0</v>
      </c>
      <c r="Y662" s="9">
        <v>0</v>
      </c>
      <c r="Z662" s="9">
        <v>0</v>
      </c>
      <c r="AA662" s="9">
        <v>0</v>
      </c>
      <c r="AB662" s="9">
        <v>0</v>
      </c>
      <c r="AC662" s="9">
        <v>0</v>
      </c>
      <c r="AD662" s="53" t="e">
        <f>#REF!*D662</f>
        <v>#REF!</v>
      </c>
      <c r="AE662" s="53" t="e">
        <f>AD662-#REF!</f>
        <v>#REF!</v>
      </c>
      <c r="AF662" s="9"/>
      <c r="AG662" s="33" t="e">
        <f>#REF!-D662</f>
        <v>#REF!</v>
      </c>
      <c r="AH662" s="9"/>
      <c r="AI662" s="9"/>
      <c r="AJ662" s="9"/>
      <c r="AK662" s="9"/>
    </row>
    <row r="663" spans="1:37" s="12" customFormat="1" ht="10.199999999999999" outlineLevel="1" x14ac:dyDescent="0.2">
      <c r="A663" s="61" t="s">
        <v>3410</v>
      </c>
      <c r="B663" s="99" t="s">
        <v>3112</v>
      </c>
      <c r="C663" s="9" t="s">
        <v>47</v>
      </c>
      <c r="D663" s="25">
        <f t="shared" si="133"/>
        <v>1</v>
      </c>
      <c r="E663" s="54"/>
      <c r="F663" s="9"/>
      <c r="G663" s="9">
        <v>0</v>
      </c>
      <c r="H663" s="9">
        <v>0</v>
      </c>
      <c r="I663" s="9">
        <v>0</v>
      </c>
      <c r="J663" s="9">
        <v>0</v>
      </c>
      <c r="K663" s="9">
        <v>0</v>
      </c>
      <c r="L663" s="9">
        <v>0</v>
      </c>
      <c r="M663" s="9">
        <v>0</v>
      </c>
      <c r="N663" s="9">
        <v>0</v>
      </c>
      <c r="O663" s="9">
        <v>0</v>
      </c>
      <c r="P663" s="9">
        <v>0</v>
      </c>
      <c r="Q663" s="9">
        <v>0</v>
      </c>
      <c r="R663" s="9">
        <v>1</v>
      </c>
      <c r="S663" s="9">
        <v>0</v>
      </c>
      <c r="T663" s="9">
        <v>0</v>
      </c>
      <c r="U663" s="9">
        <v>0</v>
      </c>
      <c r="V663" s="9">
        <v>0</v>
      </c>
      <c r="W663" s="9">
        <v>0</v>
      </c>
      <c r="X663" s="9">
        <v>0</v>
      </c>
      <c r="Y663" s="9">
        <v>0</v>
      </c>
      <c r="Z663" s="9">
        <v>0</v>
      </c>
      <c r="AA663" s="9">
        <v>0</v>
      </c>
      <c r="AB663" s="9">
        <v>0</v>
      </c>
      <c r="AC663" s="9">
        <v>0</v>
      </c>
      <c r="AD663" s="53" t="e">
        <f>#REF!*D663</f>
        <v>#REF!</v>
      </c>
      <c r="AE663" s="53" t="e">
        <f>AD663-#REF!</f>
        <v>#REF!</v>
      </c>
      <c r="AF663" s="9"/>
      <c r="AG663" s="33" t="e">
        <f>#REF!-D663</f>
        <v>#REF!</v>
      </c>
      <c r="AH663" s="9"/>
      <c r="AI663" s="9"/>
      <c r="AJ663" s="9"/>
      <c r="AK663" s="9"/>
    </row>
    <row r="664" spans="1:37" s="12" customFormat="1" ht="22.8" outlineLevel="1" x14ac:dyDescent="0.2">
      <c r="A664" s="61" t="s">
        <v>3411</v>
      </c>
      <c r="B664" s="47" t="s">
        <v>3166</v>
      </c>
      <c r="C664" s="9" t="s">
        <v>48</v>
      </c>
      <c r="D664" s="25">
        <f t="shared" si="133"/>
        <v>70</v>
      </c>
      <c r="E664" s="54"/>
      <c r="F664" s="9"/>
      <c r="G664" s="9">
        <v>0</v>
      </c>
      <c r="H664" s="9">
        <v>0</v>
      </c>
      <c r="I664" s="9">
        <v>0</v>
      </c>
      <c r="J664" s="9">
        <v>0</v>
      </c>
      <c r="K664" s="9">
        <v>0</v>
      </c>
      <c r="L664" s="9">
        <v>0</v>
      </c>
      <c r="M664" s="9">
        <v>0</v>
      </c>
      <c r="N664" s="9">
        <v>0</v>
      </c>
      <c r="O664" s="9">
        <v>0</v>
      </c>
      <c r="P664" s="9">
        <v>0</v>
      </c>
      <c r="Q664" s="9">
        <v>0</v>
      </c>
      <c r="R664" s="9">
        <v>70</v>
      </c>
      <c r="S664" s="9">
        <v>0</v>
      </c>
      <c r="T664" s="9">
        <v>0</v>
      </c>
      <c r="U664" s="9">
        <v>0</v>
      </c>
      <c r="V664" s="9">
        <v>0</v>
      </c>
      <c r="W664" s="9">
        <v>0</v>
      </c>
      <c r="X664" s="9">
        <v>0</v>
      </c>
      <c r="Y664" s="9">
        <v>0</v>
      </c>
      <c r="Z664" s="9">
        <v>0</v>
      </c>
      <c r="AA664" s="9">
        <v>0</v>
      </c>
      <c r="AB664" s="9">
        <v>0</v>
      </c>
      <c r="AC664" s="9">
        <v>0</v>
      </c>
      <c r="AD664" s="53" t="e">
        <f>#REF!*D664</f>
        <v>#REF!</v>
      </c>
      <c r="AE664" s="53" t="e">
        <f>AD664-#REF!</f>
        <v>#REF!</v>
      </c>
      <c r="AF664" s="9"/>
      <c r="AG664" s="33" t="e">
        <f>#REF!-D664</f>
        <v>#REF!</v>
      </c>
      <c r="AH664" s="9"/>
      <c r="AI664" s="9"/>
      <c r="AJ664" s="9"/>
      <c r="AK664" s="9"/>
    </row>
    <row r="665" spans="1:37" s="12" customFormat="1" ht="27" customHeight="1" outlineLevel="1" x14ac:dyDescent="0.2">
      <c r="A665" s="61" t="s">
        <v>3412</v>
      </c>
      <c r="B665" s="47" t="s">
        <v>414</v>
      </c>
      <c r="C665" s="9" t="s">
        <v>48</v>
      </c>
      <c r="D665" s="25">
        <f t="shared" si="133"/>
        <v>25</v>
      </c>
      <c r="E665" s="54"/>
      <c r="F665" s="9"/>
      <c r="G665" s="9">
        <v>0</v>
      </c>
      <c r="H665" s="9">
        <v>0</v>
      </c>
      <c r="I665" s="9">
        <v>0</v>
      </c>
      <c r="J665" s="9">
        <v>0</v>
      </c>
      <c r="K665" s="9">
        <v>0</v>
      </c>
      <c r="L665" s="9">
        <v>0</v>
      </c>
      <c r="M665" s="9">
        <v>0</v>
      </c>
      <c r="N665" s="9">
        <v>0</v>
      </c>
      <c r="O665" s="9">
        <v>0</v>
      </c>
      <c r="P665" s="9">
        <v>0</v>
      </c>
      <c r="Q665" s="9">
        <v>0</v>
      </c>
      <c r="R665" s="9">
        <v>25</v>
      </c>
      <c r="S665" s="9">
        <v>0</v>
      </c>
      <c r="T665" s="9">
        <v>0</v>
      </c>
      <c r="U665" s="9">
        <v>0</v>
      </c>
      <c r="V665" s="9">
        <v>0</v>
      </c>
      <c r="W665" s="9">
        <v>0</v>
      </c>
      <c r="X665" s="9">
        <v>0</v>
      </c>
      <c r="Y665" s="9">
        <v>0</v>
      </c>
      <c r="Z665" s="9">
        <v>0</v>
      </c>
      <c r="AA665" s="9">
        <v>0</v>
      </c>
      <c r="AB665" s="9">
        <v>0</v>
      </c>
      <c r="AC665" s="9">
        <v>0</v>
      </c>
      <c r="AD665" s="53" t="e">
        <f>#REF!*D665</f>
        <v>#REF!</v>
      </c>
      <c r="AE665" s="53" t="e">
        <f>AD665-#REF!</f>
        <v>#REF!</v>
      </c>
      <c r="AF665" s="9"/>
      <c r="AG665" s="33" t="e">
        <f>#REF!-D665</f>
        <v>#REF!</v>
      </c>
      <c r="AH665" s="9"/>
      <c r="AI665" s="9"/>
      <c r="AJ665" s="9"/>
      <c r="AK665" s="9"/>
    </row>
    <row r="666" spans="1:37" s="12" customFormat="1" ht="26.25" customHeight="1" outlineLevel="1" x14ac:dyDescent="0.2">
      <c r="A666" s="61" t="s">
        <v>3413</v>
      </c>
      <c r="B666" s="47" t="s">
        <v>413</v>
      </c>
      <c r="C666" s="9" t="s">
        <v>48</v>
      </c>
      <c r="D666" s="25">
        <f t="shared" si="133"/>
        <v>25</v>
      </c>
      <c r="E666" s="54"/>
      <c r="F666" s="9"/>
      <c r="G666" s="9">
        <v>0</v>
      </c>
      <c r="H666" s="9">
        <v>0</v>
      </c>
      <c r="I666" s="9">
        <v>0</v>
      </c>
      <c r="J666" s="9">
        <v>0</v>
      </c>
      <c r="K666" s="9">
        <v>0</v>
      </c>
      <c r="L666" s="9">
        <v>0</v>
      </c>
      <c r="M666" s="9">
        <v>0</v>
      </c>
      <c r="N666" s="9">
        <v>0</v>
      </c>
      <c r="O666" s="9">
        <v>0</v>
      </c>
      <c r="P666" s="9">
        <v>0</v>
      </c>
      <c r="Q666" s="9">
        <v>0</v>
      </c>
      <c r="R666" s="9">
        <v>25</v>
      </c>
      <c r="S666" s="9">
        <v>0</v>
      </c>
      <c r="T666" s="9">
        <v>0</v>
      </c>
      <c r="U666" s="9">
        <v>0</v>
      </c>
      <c r="V666" s="9">
        <v>0</v>
      </c>
      <c r="W666" s="9">
        <v>0</v>
      </c>
      <c r="X666" s="9">
        <v>0</v>
      </c>
      <c r="Y666" s="9">
        <v>0</v>
      </c>
      <c r="Z666" s="9">
        <v>0</v>
      </c>
      <c r="AA666" s="9">
        <v>0</v>
      </c>
      <c r="AB666" s="9">
        <v>0</v>
      </c>
      <c r="AC666" s="9">
        <v>0</v>
      </c>
      <c r="AD666" s="53" t="e">
        <f>#REF!*D666</f>
        <v>#REF!</v>
      </c>
      <c r="AE666" s="53" t="e">
        <f>AD666-#REF!</f>
        <v>#REF!</v>
      </c>
      <c r="AF666" s="9"/>
      <c r="AG666" s="33" t="e">
        <f>#REF!-D666</f>
        <v>#REF!</v>
      </c>
      <c r="AH666" s="9"/>
      <c r="AI666" s="9"/>
      <c r="AJ666" s="9"/>
      <c r="AK666" s="9"/>
    </row>
    <row r="667" spans="1:37" s="12" customFormat="1" ht="30.6" outlineLevel="1" x14ac:dyDescent="0.2">
      <c r="A667" s="61" t="s">
        <v>3414</v>
      </c>
      <c r="B667" s="47" t="s">
        <v>3177</v>
      </c>
      <c r="C667" s="9" t="s">
        <v>48</v>
      </c>
      <c r="D667" s="25">
        <f t="shared" si="133"/>
        <v>210</v>
      </c>
      <c r="E667" s="54"/>
      <c r="F667" s="9"/>
      <c r="G667" s="9">
        <v>0</v>
      </c>
      <c r="H667" s="9">
        <v>0</v>
      </c>
      <c r="I667" s="9">
        <v>0</v>
      </c>
      <c r="J667" s="9">
        <v>0</v>
      </c>
      <c r="K667" s="9">
        <v>0</v>
      </c>
      <c r="L667" s="9">
        <v>0</v>
      </c>
      <c r="M667" s="9">
        <v>0</v>
      </c>
      <c r="N667" s="9">
        <v>0</v>
      </c>
      <c r="O667" s="9">
        <v>0</v>
      </c>
      <c r="P667" s="9">
        <v>0</v>
      </c>
      <c r="Q667" s="9">
        <v>0</v>
      </c>
      <c r="R667" s="9">
        <f>189*1.1+2.1</f>
        <v>210</v>
      </c>
      <c r="S667" s="9">
        <v>0</v>
      </c>
      <c r="T667" s="9">
        <v>0</v>
      </c>
      <c r="U667" s="9">
        <v>0</v>
      </c>
      <c r="V667" s="9">
        <v>0</v>
      </c>
      <c r="W667" s="9">
        <v>0</v>
      </c>
      <c r="X667" s="9">
        <v>0</v>
      </c>
      <c r="Y667" s="9">
        <v>0</v>
      </c>
      <c r="Z667" s="9">
        <v>0</v>
      </c>
      <c r="AA667" s="9">
        <v>0</v>
      </c>
      <c r="AB667" s="9">
        <v>0</v>
      </c>
      <c r="AC667" s="9">
        <v>0</v>
      </c>
      <c r="AD667" s="53" t="e">
        <f>#REF!*D667</f>
        <v>#REF!</v>
      </c>
      <c r="AE667" s="53" t="e">
        <f>AD667-#REF!</f>
        <v>#REF!</v>
      </c>
      <c r="AF667" s="9"/>
      <c r="AG667" s="33" t="e">
        <f>#REF!-D667</f>
        <v>#REF!</v>
      </c>
      <c r="AH667" s="9"/>
      <c r="AI667" s="9"/>
      <c r="AJ667" s="9"/>
      <c r="AK667" s="9"/>
    </row>
    <row r="668" spans="1:37" s="12" customFormat="1" ht="30.6" outlineLevel="1" x14ac:dyDescent="0.2">
      <c r="A668" s="61" t="s">
        <v>3415</v>
      </c>
      <c r="B668" s="47" t="s">
        <v>3178</v>
      </c>
      <c r="C668" s="9" t="s">
        <v>48</v>
      </c>
      <c r="D668" s="25">
        <f t="shared" si="133"/>
        <v>70.000000000000014</v>
      </c>
      <c r="E668" s="54"/>
      <c r="F668" s="9"/>
      <c r="G668" s="9">
        <v>0</v>
      </c>
      <c r="H668" s="9">
        <v>0</v>
      </c>
      <c r="I668" s="9">
        <v>0</v>
      </c>
      <c r="J668" s="9">
        <v>0</v>
      </c>
      <c r="K668" s="9">
        <v>0</v>
      </c>
      <c r="L668" s="9">
        <v>0</v>
      </c>
      <c r="M668" s="9">
        <v>0</v>
      </c>
      <c r="N668" s="9">
        <v>0</v>
      </c>
      <c r="O668" s="9">
        <v>0</v>
      </c>
      <c r="P668" s="9">
        <v>0</v>
      </c>
      <c r="Q668" s="9">
        <v>0</v>
      </c>
      <c r="R668" s="9">
        <f>21*3*1.1+0.7</f>
        <v>70.000000000000014</v>
      </c>
      <c r="S668" s="9">
        <v>0</v>
      </c>
      <c r="T668" s="9">
        <v>0</v>
      </c>
      <c r="U668" s="9">
        <v>0</v>
      </c>
      <c r="V668" s="9">
        <v>0</v>
      </c>
      <c r="W668" s="9">
        <v>0</v>
      </c>
      <c r="X668" s="9">
        <v>0</v>
      </c>
      <c r="Y668" s="9">
        <v>0</v>
      </c>
      <c r="Z668" s="9">
        <v>0</v>
      </c>
      <c r="AA668" s="9">
        <v>0</v>
      </c>
      <c r="AB668" s="9">
        <v>0</v>
      </c>
      <c r="AC668" s="9">
        <v>0</v>
      </c>
      <c r="AD668" s="53" t="e">
        <f>#REF!*D668</f>
        <v>#REF!</v>
      </c>
      <c r="AE668" s="53" t="e">
        <f>AD668-#REF!</f>
        <v>#REF!</v>
      </c>
      <c r="AF668" s="9"/>
      <c r="AG668" s="33" t="e">
        <f>#REF!-D668</f>
        <v>#REF!</v>
      </c>
      <c r="AH668" s="9"/>
      <c r="AI668" s="9"/>
      <c r="AJ668" s="9"/>
      <c r="AK668" s="9"/>
    </row>
    <row r="669" spans="1:37" s="12" customFormat="1" ht="30.6" outlineLevel="1" x14ac:dyDescent="0.2">
      <c r="A669" s="61" t="s">
        <v>3416</v>
      </c>
      <c r="B669" s="47" t="s">
        <v>3179</v>
      </c>
      <c r="C669" s="9" t="s">
        <v>48</v>
      </c>
      <c r="D669" s="25">
        <f t="shared" si="133"/>
        <v>25</v>
      </c>
      <c r="E669" s="54"/>
      <c r="F669" s="9"/>
      <c r="G669" s="9">
        <v>0</v>
      </c>
      <c r="H669" s="9">
        <v>0</v>
      </c>
      <c r="I669" s="9">
        <v>0</v>
      </c>
      <c r="J669" s="9">
        <v>0</v>
      </c>
      <c r="K669" s="9">
        <v>0</v>
      </c>
      <c r="L669" s="9">
        <v>0</v>
      </c>
      <c r="M669" s="9">
        <v>0</v>
      </c>
      <c r="N669" s="9">
        <v>0</v>
      </c>
      <c r="O669" s="9">
        <v>0</v>
      </c>
      <c r="P669" s="9">
        <v>0</v>
      </c>
      <c r="Q669" s="9">
        <v>0</v>
      </c>
      <c r="R669" s="9">
        <v>25</v>
      </c>
      <c r="S669" s="9">
        <v>0</v>
      </c>
      <c r="T669" s="9">
        <v>0</v>
      </c>
      <c r="U669" s="9">
        <v>0</v>
      </c>
      <c r="V669" s="9">
        <v>0</v>
      </c>
      <c r="W669" s="9">
        <v>0</v>
      </c>
      <c r="X669" s="9">
        <v>0</v>
      </c>
      <c r="Y669" s="9">
        <v>0</v>
      </c>
      <c r="Z669" s="9">
        <v>0</v>
      </c>
      <c r="AA669" s="9">
        <v>0</v>
      </c>
      <c r="AB669" s="9">
        <v>0</v>
      </c>
      <c r="AC669" s="9">
        <v>0</v>
      </c>
      <c r="AD669" s="53" t="e">
        <f>#REF!*D669</f>
        <v>#REF!</v>
      </c>
      <c r="AE669" s="53" t="e">
        <f>AD669-#REF!</f>
        <v>#REF!</v>
      </c>
      <c r="AF669" s="9"/>
      <c r="AG669" s="33" t="e">
        <f>#REF!-D669</f>
        <v>#REF!</v>
      </c>
      <c r="AH669" s="9"/>
      <c r="AI669" s="9"/>
      <c r="AJ669" s="9"/>
      <c r="AK669" s="9"/>
    </row>
    <row r="670" spans="1:37" s="17" customFormat="1" ht="30.6" outlineLevel="1" x14ac:dyDescent="0.2">
      <c r="A670" s="61" t="s">
        <v>3417</v>
      </c>
      <c r="B670" s="47" t="s">
        <v>1066</v>
      </c>
      <c r="C670" s="9" t="s">
        <v>48</v>
      </c>
      <c r="D670" s="25">
        <f t="shared" si="133"/>
        <v>12</v>
      </c>
      <c r="E670" s="54"/>
      <c r="F670" s="9"/>
      <c r="G670" s="33">
        <v>0</v>
      </c>
      <c r="H670" s="33">
        <v>0</v>
      </c>
      <c r="I670" s="9">
        <v>0</v>
      </c>
      <c r="J670" s="9">
        <v>0</v>
      </c>
      <c r="K670" s="9">
        <v>0</v>
      </c>
      <c r="L670" s="9">
        <v>0</v>
      </c>
      <c r="M670" s="9">
        <v>0</v>
      </c>
      <c r="N670" s="9">
        <v>0</v>
      </c>
      <c r="O670" s="9">
        <v>0</v>
      </c>
      <c r="P670" s="9">
        <v>0</v>
      </c>
      <c r="Q670" s="9">
        <v>0</v>
      </c>
      <c r="R670" s="9">
        <v>12</v>
      </c>
      <c r="S670" s="9">
        <v>0</v>
      </c>
      <c r="T670" s="49">
        <v>0</v>
      </c>
      <c r="U670" s="33">
        <v>0</v>
      </c>
      <c r="V670" s="9">
        <v>0</v>
      </c>
      <c r="W670" s="9">
        <v>0</v>
      </c>
      <c r="X670" s="9">
        <v>0</v>
      </c>
      <c r="Y670" s="9">
        <v>0</v>
      </c>
      <c r="Z670" s="9">
        <v>0</v>
      </c>
      <c r="AA670" s="9">
        <v>0</v>
      </c>
      <c r="AB670" s="9">
        <v>0</v>
      </c>
      <c r="AC670" s="9">
        <v>0</v>
      </c>
      <c r="AD670" s="53" t="e">
        <f>#REF!*D670</f>
        <v>#REF!</v>
      </c>
      <c r="AE670" s="53" t="e">
        <f>AD670-#REF!</f>
        <v>#REF!</v>
      </c>
      <c r="AF670" s="8"/>
      <c r="AG670" s="33" t="e">
        <f>#REF!-D670</f>
        <v>#REF!</v>
      </c>
      <c r="AH670" s="8"/>
      <c r="AI670" s="8"/>
      <c r="AJ670" s="8"/>
      <c r="AK670" s="8"/>
    </row>
    <row r="671" spans="1:37" s="17" customFormat="1" ht="39" customHeight="1" outlineLevel="1" x14ac:dyDescent="0.2">
      <c r="A671" s="61" t="s">
        <v>3418</v>
      </c>
      <c r="B671" s="47" t="s">
        <v>394</v>
      </c>
      <c r="C671" s="9" t="s">
        <v>48</v>
      </c>
      <c r="D671" s="25">
        <f t="shared" si="133"/>
        <v>12</v>
      </c>
      <c r="E671" s="54"/>
      <c r="F671" s="9"/>
      <c r="G671" s="88">
        <f t="shared" ref="G671:AC671" si="134">G670</f>
        <v>0</v>
      </c>
      <c r="H671" s="88">
        <f t="shared" si="134"/>
        <v>0</v>
      </c>
      <c r="I671" s="88">
        <f t="shared" si="134"/>
        <v>0</v>
      </c>
      <c r="J671" s="88">
        <f t="shared" si="134"/>
        <v>0</v>
      </c>
      <c r="K671" s="88">
        <f t="shared" si="134"/>
        <v>0</v>
      </c>
      <c r="L671" s="88">
        <f t="shared" si="134"/>
        <v>0</v>
      </c>
      <c r="M671" s="88">
        <f t="shared" si="134"/>
        <v>0</v>
      </c>
      <c r="N671" s="88">
        <f t="shared" si="134"/>
        <v>0</v>
      </c>
      <c r="O671" s="88">
        <f t="shared" si="134"/>
        <v>0</v>
      </c>
      <c r="P671" s="88">
        <f t="shared" si="134"/>
        <v>0</v>
      </c>
      <c r="Q671" s="88">
        <f t="shared" si="134"/>
        <v>0</v>
      </c>
      <c r="R671" s="88">
        <f t="shared" si="134"/>
        <v>12</v>
      </c>
      <c r="S671" s="88">
        <f t="shared" si="134"/>
        <v>0</v>
      </c>
      <c r="T671" s="88">
        <f t="shared" si="134"/>
        <v>0</v>
      </c>
      <c r="U671" s="88">
        <f t="shared" si="134"/>
        <v>0</v>
      </c>
      <c r="V671" s="88">
        <f t="shared" si="134"/>
        <v>0</v>
      </c>
      <c r="W671" s="88">
        <f t="shared" si="134"/>
        <v>0</v>
      </c>
      <c r="X671" s="88">
        <f t="shared" si="134"/>
        <v>0</v>
      </c>
      <c r="Y671" s="88">
        <f t="shared" si="134"/>
        <v>0</v>
      </c>
      <c r="Z671" s="88">
        <f t="shared" si="134"/>
        <v>0</v>
      </c>
      <c r="AA671" s="88">
        <f t="shared" si="134"/>
        <v>0</v>
      </c>
      <c r="AB671" s="88">
        <f t="shared" si="134"/>
        <v>0</v>
      </c>
      <c r="AC671" s="88">
        <f t="shared" si="134"/>
        <v>0</v>
      </c>
      <c r="AD671" s="53" t="e">
        <f>#REF!*D671</f>
        <v>#REF!</v>
      </c>
      <c r="AE671" s="53" t="e">
        <f>AD671-#REF!</f>
        <v>#REF!</v>
      </c>
      <c r="AF671" s="8"/>
      <c r="AG671" s="33" t="e">
        <f>#REF!-D671</f>
        <v>#REF!</v>
      </c>
      <c r="AH671" s="8"/>
      <c r="AI671" s="8"/>
      <c r="AJ671" s="8"/>
      <c r="AK671" s="8"/>
    </row>
    <row r="672" spans="1:37" s="17" customFormat="1" ht="30.6" outlineLevel="1" x14ac:dyDescent="0.2">
      <c r="A672" s="61" t="s">
        <v>3419</v>
      </c>
      <c r="B672" s="47" t="s">
        <v>396</v>
      </c>
      <c r="C672" s="8" t="s">
        <v>47</v>
      </c>
      <c r="D672" s="25">
        <f t="shared" si="133"/>
        <v>1</v>
      </c>
      <c r="E672" s="54"/>
      <c r="F672" s="9"/>
      <c r="G672" s="33">
        <v>0</v>
      </c>
      <c r="H672" s="33">
        <v>0</v>
      </c>
      <c r="I672" s="9">
        <v>0</v>
      </c>
      <c r="J672" s="9">
        <v>0</v>
      </c>
      <c r="K672" s="9">
        <v>0</v>
      </c>
      <c r="L672" s="9">
        <v>0</v>
      </c>
      <c r="M672" s="9">
        <v>0</v>
      </c>
      <c r="N672" s="9">
        <v>0</v>
      </c>
      <c r="O672" s="9">
        <v>0</v>
      </c>
      <c r="P672" s="9">
        <v>0</v>
      </c>
      <c r="Q672" s="9">
        <v>0</v>
      </c>
      <c r="R672" s="9">
        <v>1</v>
      </c>
      <c r="S672" s="9">
        <v>0</v>
      </c>
      <c r="T672" s="49">
        <v>0</v>
      </c>
      <c r="U672" s="33">
        <v>0</v>
      </c>
      <c r="V672" s="9">
        <v>0</v>
      </c>
      <c r="W672" s="9">
        <v>0</v>
      </c>
      <c r="X672" s="9">
        <v>0</v>
      </c>
      <c r="Y672" s="9">
        <v>0</v>
      </c>
      <c r="Z672" s="9">
        <v>0</v>
      </c>
      <c r="AA672" s="9">
        <v>0</v>
      </c>
      <c r="AB672" s="9">
        <v>0</v>
      </c>
      <c r="AC672" s="9">
        <v>0</v>
      </c>
      <c r="AD672" s="53" t="e">
        <f>#REF!*D672</f>
        <v>#REF!</v>
      </c>
      <c r="AE672" s="53" t="e">
        <f>AD672-#REF!</f>
        <v>#REF!</v>
      </c>
      <c r="AF672" s="8"/>
      <c r="AG672" s="33" t="e">
        <f>#REF!-D672</f>
        <v>#REF!</v>
      </c>
      <c r="AH672" s="8"/>
      <c r="AI672" s="8"/>
      <c r="AJ672" s="8"/>
      <c r="AK672" s="8"/>
    </row>
    <row r="673" spans="1:37" s="17" customFormat="1" ht="30.6" outlineLevel="1" x14ac:dyDescent="0.2">
      <c r="A673" s="61" t="s">
        <v>3420</v>
      </c>
      <c r="B673" s="47" t="s">
        <v>400</v>
      </c>
      <c r="C673" s="8" t="s">
        <v>47</v>
      </c>
      <c r="D673" s="25">
        <f t="shared" si="133"/>
        <v>1</v>
      </c>
      <c r="E673" s="54"/>
      <c r="F673" s="9"/>
      <c r="G673" s="33">
        <v>0</v>
      </c>
      <c r="H673" s="33">
        <v>0</v>
      </c>
      <c r="I673" s="9">
        <v>0</v>
      </c>
      <c r="J673" s="9">
        <v>0</v>
      </c>
      <c r="K673" s="9">
        <v>0</v>
      </c>
      <c r="L673" s="9">
        <v>0</v>
      </c>
      <c r="M673" s="9">
        <v>0</v>
      </c>
      <c r="N673" s="9">
        <v>0</v>
      </c>
      <c r="O673" s="9">
        <v>0</v>
      </c>
      <c r="P673" s="9">
        <v>0</v>
      </c>
      <c r="Q673" s="9">
        <v>0</v>
      </c>
      <c r="R673" s="9">
        <v>1</v>
      </c>
      <c r="S673" s="9">
        <v>0</v>
      </c>
      <c r="T673" s="49">
        <v>0</v>
      </c>
      <c r="U673" s="33">
        <v>0</v>
      </c>
      <c r="V673" s="9">
        <v>0</v>
      </c>
      <c r="W673" s="9">
        <v>0</v>
      </c>
      <c r="X673" s="9">
        <v>0</v>
      </c>
      <c r="Y673" s="9">
        <v>0</v>
      </c>
      <c r="Z673" s="9">
        <v>0</v>
      </c>
      <c r="AA673" s="9">
        <v>0</v>
      </c>
      <c r="AB673" s="9">
        <v>0</v>
      </c>
      <c r="AC673" s="9">
        <v>0</v>
      </c>
      <c r="AD673" s="53" t="e">
        <f>#REF!*D673</f>
        <v>#REF!</v>
      </c>
      <c r="AE673" s="53" t="e">
        <f>AD673-#REF!</f>
        <v>#REF!</v>
      </c>
      <c r="AF673" s="8"/>
      <c r="AG673" s="33" t="e">
        <f>#REF!-D673</f>
        <v>#REF!</v>
      </c>
      <c r="AH673" s="8"/>
      <c r="AI673" s="8"/>
      <c r="AJ673" s="8"/>
      <c r="AK673" s="8"/>
    </row>
    <row r="674" spans="1:37" s="17" customFormat="1" ht="30.6" outlineLevel="1" x14ac:dyDescent="0.2">
      <c r="A674" s="61" t="s">
        <v>3421</v>
      </c>
      <c r="B674" s="47" t="s">
        <v>3120</v>
      </c>
      <c r="C674" s="9" t="s">
        <v>48</v>
      </c>
      <c r="D674" s="25">
        <f t="shared" si="133"/>
        <v>15</v>
      </c>
      <c r="E674" s="54"/>
      <c r="F674" s="9"/>
      <c r="G674" s="33">
        <v>0</v>
      </c>
      <c r="H674" s="33">
        <v>0</v>
      </c>
      <c r="I674" s="9">
        <v>0</v>
      </c>
      <c r="J674" s="9">
        <v>0</v>
      </c>
      <c r="K674" s="9">
        <v>0</v>
      </c>
      <c r="L674" s="9">
        <v>0</v>
      </c>
      <c r="M674" s="9">
        <v>0</v>
      </c>
      <c r="N674" s="9">
        <v>0</v>
      </c>
      <c r="O674" s="9">
        <v>0</v>
      </c>
      <c r="P674" s="9">
        <v>0</v>
      </c>
      <c r="Q674" s="9">
        <v>0</v>
      </c>
      <c r="R674" s="9">
        <v>15</v>
      </c>
      <c r="S674" s="9">
        <v>0</v>
      </c>
      <c r="T674" s="49">
        <v>0</v>
      </c>
      <c r="U674" s="33">
        <v>0</v>
      </c>
      <c r="V674" s="9">
        <v>0</v>
      </c>
      <c r="W674" s="9">
        <v>0</v>
      </c>
      <c r="X674" s="9">
        <v>0</v>
      </c>
      <c r="Y674" s="9">
        <v>0</v>
      </c>
      <c r="Z674" s="9">
        <v>0</v>
      </c>
      <c r="AA674" s="9">
        <v>0</v>
      </c>
      <c r="AB674" s="9">
        <v>0</v>
      </c>
      <c r="AC674" s="9">
        <v>0</v>
      </c>
      <c r="AD674" s="53" t="e">
        <f>#REF!*D674</f>
        <v>#REF!</v>
      </c>
      <c r="AE674" s="53" t="e">
        <f>AD674-#REF!</f>
        <v>#REF!</v>
      </c>
      <c r="AF674" s="8"/>
      <c r="AG674" s="33" t="e">
        <f>#REF!-D674</f>
        <v>#REF!</v>
      </c>
      <c r="AH674" s="8"/>
      <c r="AI674" s="8"/>
      <c r="AJ674" s="8"/>
      <c r="AK674" s="8"/>
    </row>
    <row r="675" spans="1:37" s="17" customFormat="1" ht="37.5" customHeight="1" outlineLevel="1" x14ac:dyDescent="0.2">
      <c r="A675" s="61" t="s">
        <v>3422</v>
      </c>
      <c r="B675" s="47" t="s">
        <v>1181</v>
      </c>
      <c r="C675" s="9" t="s">
        <v>48</v>
      </c>
      <c r="D675" s="25">
        <f t="shared" si="133"/>
        <v>15</v>
      </c>
      <c r="E675" s="54"/>
      <c r="F675" s="9"/>
      <c r="G675" s="88">
        <f t="shared" ref="G675:AC675" si="135">G674</f>
        <v>0</v>
      </c>
      <c r="H675" s="88">
        <f t="shared" si="135"/>
        <v>0</v>
      </c>
      <c r="I675" s="88">
        <f t="shared" si="135"/>
        <v>0</v>
      </c>
      <c r="J675" s="88">
        <f t="shared" si="135"/>
        <v>0</v>
      </c>
      <c r="K675" s="88">
        <f t="shared" si="135"/>
        <v>0</v>
      </c>
      <c r="L675" s="88">
        <f t="shared" si="135"/>
        <v>0</v>
      </c>
      <c r="M675" s="88">
        <f t="shared" si="135"/>
        <v>0</v>
      </c>
      <c r="N675" s="88">
        <f t="shared" si="135"/>
        <v>0</v>
      </c>
      <c r="O675" s="88">
        <f t="shared" si="135"/>
        <v>0</v>
      </c>
      <c r="P675" s="88">
        <f t="shared" si="135"/>
        <v>0</v>
      </c>
      <c r="Q675" s="88">
        <f t="shared" si="135"/>
        <v>0</v>
      </c>
      <c r="R675" s="88">
        <f t="shared" si="135"/>
        <v>15</v>
      </c>
      <c r="S675" s="88">
        <f t="shared" si="135"/>
        <v>0</v>
      </c>
      <c r="T675" s="88">
        <f t="shared" si="135"/>
        <v>0</v>
      </c>
      <c r="U675" s="88">
        <f t="shared" si="135"/>
        <v>0</v>
      </c>
      <c r="V675" s="88">
        <f t="shared" si="135"/>
        <v>0</v>
      </c>
      <c r="W675" s="88">
        <f t="shared" si="135"/>
        <v>0</v>
      </c>
      <c r="X675" s="88">
        <f t="shared" si="135"/>
        <v>0</v>
      </c>
      <c r="Y675" s="88">
        <f t="shared" si="135"/>
        <v>0</v>
      </c>
      <c r="Z675" s="88">
        <f t="shared" si="135"/>
        <v>0</v>
      </c>
      <c r="AA675" s="88">
        <f t="shared" si="135"/>
        <v>0</v>
      </c>
      <c r="AB675" s="88">
        <f t="shared" si="135"/>
        <v>0</v>
      </c>
      <c r="AC675" s="88">
        <f t="shared" si="135"/>
        <v>0</v>
      </c>
      <c r="AD675" s="53" t="e">
        <f>#REF!*D675</f>
        <v>#REF!</v>
      </c>
      <c r="AE675" s="53" t="e">
        <f>AD675-#REF!</f>
        <v>#REF!</v>
      </c>
      <c r="AF675" s="8"/>
      <c r="AG675" s="33" t="e">
        <f>#REF!-D675</f>
        <v>#REF!</v>
      </c>
      <c r="AH675" s="8"/>
      <c r="AI675" s="8"/>
      <c r="AJ675" s="8"/>
      <c r="AK675" s="8"/>
    </row>
    <row r="676" spans="1:37" s="17" customFormat="1" ht="30.6" outlineLevel="1" x14ac:dyDescent="0.2">
      <c r="A676" s="61" t="s">
        <v>3423</v>
      </c>
      <c r="B676" s="47" t="s">
        <v>396</v>
      </c>
      <c r="C676" s="8" t="s">
        <v>47</v>
      </c>
      <c r="D676" s="25">
        <f t="shared" si="133"/>
        <v>4</v>
      </c>
      <c r="E676" s="54"/>
      <c r="F676" s="9"/>
      <c r="G676" s="33">
        <v>0</v>
      </c>
      <c r="H676" s="33">
        <v>0</v>
      </c>
      <c r="I676" s="9">
        <v>0</v>
      </c>
      <c r="J676" s="9">
        <v>0</v>
      </c>
      <c r="K676" s="9">
        <v>0</v>
      </c>
      <c r="L676" s="9">
        <v>0</v>
      </c>
      <c r="M676" s="9">
        <v>0</v>
      </c>
      <c r="N676" s="9">
        <v>0</v>
      </c>
      <c r="O676" s="9">
        <v>0</v>
      </c>
      <c r="P676" s="9">
        <v>0</v>
      </c>
      <c r="Q676" s="9">
        <v>0</v>
      </c>
      <c r="R676" s="9">
        <v>4</v>
      </c>
      <c r="S676" s="9">
        <v>0</v>
      </c>
      <c r="T676" s="49">
        <v>0</v>
      </c>
      <c r="U676" s="33">
        <v>0</v>
      </c>
      <c r="V676" s="9">
        <v>0</v>
      </c>
      <c r="W676" s="9">
        <v>0</v>
      </c>
      <c r="X676" s="9">
        <v>0</v>
      </c>
      <c r="Y676" s="9">
        <v>0</v>
      </c>
      <c r="Z676" s="9">
        <v>0</v>
      </c>
      <c r="AA676" s="9">
        <v>0</v>
      </c>
      <c r="AB676" s="9">
        <v>0</v>
      </c>
      <c r="AC676" s="9">
        <v>0</v>
      </c>
      <c r="AD676" s="53" t="e">
        <f>#REF!*D676</f>
        <v>#REF!</v>
      </c>
      <c r="AE676" s="53" t="e">
        <f>AD676-#REF!</f>
        <v>#REF!</v>
      </c>
      <c r="AF676" s="8"/>
      <c r="AG676" s="33" t="e">
        <f>#REF!-D676</f>
        <v>#REF!</v>
      </c>
      <c r="AH676" s="8"/>
      <c r="AI676" s="8"/>
      <c r="AJ676" s="8"/>
      <c r="AK676" s="8"/>
    </row>
    <row r="677" spans="1:37" s="17" customFormat="1" ht="30.6" outlineLevel="1" x14ac:dyDescent="0.2">
      <c r="A677" s="61" t="s">
        <v>3424</v>
      </c>
      <c r="B677" s="47" t="s">
        <v>3115</v>
      </c>
      <c r="C677" s="8" t="s">
        <v>47</v>
      </c>
      <c r="D677" s="25">
        <f t="shared" si="133"/>
        <v>4</v>
      </c>
      <c r="E677" s="54"/>
      <c r="F677" s="9"/>
      <c r="G677" s="33">
        <v>0</v>
      </c>
      <c r="H677" s="33">
        <v>0</v>
      </c>
      <c r="I677" s="9">
        <v>0</v>
      </c>
      <c r="J677" s="9">
        <v>0</v>
      </c>
      <c r="K677" s="9">
        <v>0</v>
      </c>
      <c r="L677" s="9">
        <v>0</v>
      </c>
      <c r="M677" s="9">
        <v>0</v>
      </c>
      <c r="N677" s="9">
        <v>0</v>
      </c>
      <c r="O677" s="9">
        <v>0</v>
      </c>
      <c r="P677" s="9">
        <v>0</v>
      </c>
      <c r="Q677" s="9">
        <v>0</v>
      </c>
      <c r="R677" s="9">
        <v>4</v>
      </c>
      <c r="S677" s="9">
        <v>0</v>
      </c>
      <c r="T677" s="49">
        <v>0</v>
      </c>
      <c r="U677" s="33">
        <v>0</v>
      </c>
      <c r="V677" s="9">
        <v>0</v>
      </c>
      <c r="W677" s="9">
        <v>0</v>
      </c>
      <c r="X677" s="9">
        <v>0</v>
      </c>
      <c r="Y677" s="9">
        <v>0</v>
      </c>
      <c r="Z677" s="9">
        <v>0</v>
      </c>
      <c r="AA677" s="9">
        <v>0</v>
      </c>
      <c r="AB677" s="9">
        <v>0</v>
      </c>
      <c r="AC677" s="9">
        <v>0</v>
      </c>
      <c r="AD677" s="53" t="e">
        <f>#REF!*D677</f>
        <v>#REF!</v>
      </c>
      <c r="AE677" s="53" t="e">
        <f>AD677-#REF!</f>
        <v>#REF!</v>
      </c>
      <c r="AF677" s="8"/>
      <c r="AG677" s="33" t="e">
        <f>#REF!-D677</f>
        <v>#REF!</v>
      </c>
      <c r="AH677" s="8"/>
      <c r="AI677" s="8"/>
      <c r="AJ677" s="8"/>
      <c r="AK677" s="8"/>
    </row>
    <row r="678" spans="1:37" s="17" customFormat="1" ht="30.6" outlineLevel="1" x14ac:dyDescent="0.2">
      <c r="A678" s="61" t="s">
        <v>3425</v>
      </c>
      <c r="B678" s="47" t="s">
        <v>3114</v>
      </c>
      <c r="C678" s="8" t="s">
        <v>47</v>
      </c>
      <c r="D678" s="25">
        <f t="shared" si="133"/>
        <v>4</v>
      </c>
      <c r="E678" s="54"/>
      <c r="F678" s="9"/>
      <c r="G678" s="33">
        <v>0</v>
      </c>
      <c r="H678" s="33">
        <v>0</v>
      </c>
      <c r="I678" s="9">
        <v>0</v>
      </c>
      <c r="J678" s="9">
        <v>0</v>
      </c>
      <c r="K678" s="9">
        <v>0</v>
      </c>
      <c r="L678" s="9">
        <v>0</v>
      </c>
      <c r="M678" s="9">
        <v>0</v>
      </c>
      <c r="N678" s="9">
        <v>0</v>
      </c>
      <c r="O678" s="9">
        <v>0</v>
      </c>
      <c r="P678" s="9">
        <v>0</v>
      </c>
      <c r="Q678" s="9">
        <v>0</v>
      </c>
      <c r="R678" s="9">
        <v>4</v>
      </c>
      <c r="S678" s="9">
        <v>0</v>
      </c>
      <c r="T678" s="49">
        <v>0</v>
      </c>
      <c r="U678" s="33">
        <v>0</v>
      </c>
      <c r="V678" s="9">
        <v>0</v>
      </c>
      <c r="W678" s="9">
        <v>0</v>
      </c>
      <c r="X678" s="9">
        <v>0</v>
      </c>
      <c r="Y678" s="9">
        <v>0</v>
      </c>
      <c r="Z678" s="9">
        <v>0</v>
      </c>
      <c r="AA678" s="9">
        <v>0</v>
      </c>
      <c r="AB678" s="9">
        <v>0</v>
      </c>
      <c r="AC678" s="9">
        <v>0</v>
      </c>
      <c r="AD678" s="53" t="e">
        <f>#REF!*D678</f>
        <v>#REF!</v>
      </c>
      <c r="AE678" s="53" t="e">
        <f>AD678-#REF!</f>
        <v>#REF!</v>
      </c>
      <c r="AF678" s="8"/>
      <c r="AG678" s="33" t="e">
        <f>#REF!-D678</f>
        <v>#REF!</v>
      </c>
      <c r="AH678" s="8"/>
      <c r="AI678" s="8"/>
      <c r="AJ678" s="8"/>
      <c r="AK678" s="8"/>
    </row>
    <row r="679" spans="1:37" s="12" customFormat="1" ht="21.6" outlineLevel="1" x14ac:dyDescent="0.2">
      <c r="A679" s="61" t="s">
        <v>3426</v>
      </c>
      <c r="B679" s="47" t="s">
        <v>416</v>
      </c>
      <c r="C679" s="9" t="s">
        <v>47</v>
      </c>
      <c r="D679" s="25">
        <f t="shared" si="133"/>
        <v>15</v>
      </c>
      <c r="E679" s="54"/>
      <c r="F679" s="9"/>
      <c r="G679" s="9">
        <v>0</v>
      </c>
      <c r="H679" s="9">
        <v>0</v>
      </c>
      <c r="I679" s="9">
        <v>0</v>
      </c>
      <c r="J679" s="9">
        <v>0</v>
      </c>
      <c r="K679" s="9">
        <v>0</v>
      </c>
      <c r="L679" s="9">
        <v>0</v>
      </c>
      <c r="M679" s="9">
        <v>0</v>
      </c>
      <c r="N679" s="9">
        <v>0</v>
      </c>
      <c r="O679" s="9">
        <v>0</v>
      </c>
      <c r="P679" s="9">
        <v>0</v>
      </c>
      <c r="Q679" s="9">
        <v>0</v>
      </c>
      <c r="R679" s="9">
        <v>15</v>
      </c>
      <c r="S679" s="9">
        <v>0</v>
      </c>
      <c r="T679" s="9">
        <v>0</v>
      </c>
      <c r="U679" s="9">
        <v>0</v>
      </c>
      <c r="V679" s="9">
        <v>0</v>
      </c>
      <c r="W679" s="9">
        <v>0</v>
      </c>
      <c r="X679" s="9">
        <v>0</v>
      </c>
      <c r="Y679" s="9">
        <v>0</v>
      </c>
      <c r="Z679" s="9">
        <v>0</v>
      </c>
      <c r="AA679" s="9">
        <v>0</v>
      </c>
      <c r="AB679" s="9">
        <v>0</v>
      </c>
      <c r="AC679" s="9">
        <v>0</v>
      </c>
      <c r="AD679" s="53" t="e">
        <f>#REF!*D679</f>
        <v>#REF!</v>
      </c>
      <c r="AE679" s="53" t="e">
        <f>AD679-#REF!</f>
        <v>#REF!</v>
      </c>
      <c r="AF679" s="9"/>
      <c r="AG679" s="33" t="e">
        <f>#REF!-D679</f>
        <v>#REF!</v>
      </c>
      <c r="AH679" s="9"/>
      <c r="AI679" s="9"/>
      <c r="AJ679" s="9"/>
      <c r="AK679" s="9"/>
    </row>
    <row r="680" spans="1:37" s="12" customFormat="1" ht="21.6" outlineLevel="1" x14ac:dyDescent="0.2">
      <c r="A680" s="61" t="s">
        <v>3427</v>
      </c>
      <c r="B680" s="47" t="s">
        <v>2978</v>
      </c>
      <c r="C680" s="9" t="s">
        <v>47</v>
      </c>
      <c r="D680" s="25">
        <f t="shared" si="133"/>
        <v>4</v>
      </c>
      <c r="E680" s="54"/>
      <c r="F680" s="9"/>
      <c r="G680" s="9">
        <v>0</v>
      </c>
      <c r="H680" s="9">
        <v>0</v>
      </c>
      <c r="I680" s="9">
        <v>0</v>
      </c>
      <c r="J680" s="9">
        <v>0</v>
      </c>
      <c r="K680" s="9">
        <v>0</v>
      </c>
      <c r="L680" s="9">
        <v>0</v>
      </c>
      <c r="M680" s="9">
        <v>0</v>
      </c>
      <c r="N680" s="9">
        <v>0</v>
      </c>
      <c r="O680" s="9">
        <v>0</v>
      </c>
      <c r="P680" s="9">
        <v>0</v>
      </c>
      <c r="Q680" s="9">
        <v>0</v>
      </c>
      <c r="R680" s="9">
        <v>4</v>
      </c>
      <c r="S680" s="9">
        <v>0</v>
      </c>
      <c r="T680" s="9">
        <v>0</v>
      </c>
      <c r="U680" s="9">
        <v>0</v>
      </c>
      <c r="V680" s="9">
        <v>0</v>
      </c>
      <c r="W680" s="9">
        <v>0</v>
      </c>
      <c r="X680" s="9">
        <v>0</v>
      </c>
      <c r="Y680" s="9">
        <v>0</v>
      </c>
      <c r="Z680" s="9">
        <v>0</v>
      </c>
      <c r="AA680" s="9">
        <v>0</v>
      </c>
      <c r="AB680" s="9">
        <v>0</v>
      </c>
      <c r="AC680" s="9">
        <v>0</v>
      </c>
      <c r="AD680" s="53" t="e">
        <f>#REF!*D680</f>
        <v>#REF!</v>
      </c>
      <c r="AE680" s="53" t="e">
        <f>AD680-#REF!</f>
        <v>#REF!</v>
      </c>
      <c r="AF680" s="9"/>
      <c r="AG680" s="33" t="e">
        <f>#REF!-D680</f>
        <v>#REF!</v>
      </c>
      <c r="AH680" s="9"/>
      <c r="AI680" s="9"/>
      <c r="AJ680" s="9"/>
      <c r="AK680" s="9"/>
    </row>
    <row r="681" spans="1:37" s="12" customFormat="1" ht="21.6" outlineLevel="1" x14ac:dyDescent="0.2">
      <c r="A681" s="61" t="s">
        <v>3428</v>
      </c>
      <c r="B681" s="47" t="s">
        <v>415</v>
      </c>
      <c r="C681" s="9" t="s">
        <v>47</v>
      </c>
      <c r="D681" s="25">
        <f t="shared" si="133"/>
        <v>48</v>
      </c>
      <c r="E681" s="54"/>
      <c r="F681" s="9"/>
      <c r="G681" s="9">
        <v>0</v>
      </c>
      <c r="H681" s="9">
        <v>0</v>
      </c>
      <c r="I681" s="9">
        <v>0</v>
      </c>
      <c r="J681" s="9">
        <v>0</v>
      </c>
      <c r="K681" s="9">
        <v>0</v>
      </c>
      <c r="L681" s="9">
        <v>0</v>
      </c>
      <c r="M681" s="9">
        <v>0</v>
      </c>
      <c r="N681" s="9">
        <v>0</v>
      </c>
      <c r="O681" s="9">
        <v>0</v>
      </c>
      <c r="P681" s="9">
        <v>0</v>
      </c>
      <c r="Q681" s="9">
        <v>0</v>
      </c>
      <c r="R681" s="9">
        <v>48</v>
      </c>
      <c r="S681" s="9">
        <v>0</v>
      </c>
      <c r="T681" s="9">
        <v>0</v>
      </c>
      <c r="U681" s="9">
        <v>0</v>
      </c>
      <c r="V681" s="9">
        <v>0</v>
      </c>
      <c r="W681" s="9">
        <v>0</v>
      </c>
      <c r="X681" s="9">
        <v>0</v>
      </c>
      <c r="Y681" s="9">
        <v>0</v>
      </c>
      <c r="Z681" s="9">
        <v>0</v>
      </c>
      <c r="AA681" s="9">
        <v>0</v>
      </c>
      <c r="AB681" s="9">
        <v>0</v>
      </c>
      <c r="AC681" s="9">
        <v>0</v>
      </c>
      <c r="AD681" s="53" t="e">
        <f>#REF!*D681</f>
        <v>#REF!</v>
      </c>
      <c r="AE681" s="53" t="e">
        <f>AD681-#REF!</f>
        <v>#REF!</v>
      </c>
      <c r="AF681" s="9"/>
      <c r="AG681" s="33" t="e">
        <f>#REF!-D681</f>
        <v>#REF!</v>
      </c>
      <c r="AH681" s="9"/>
      <c r="AI681" s="9"/>
      <c r="AJ681" s="9"/>
      <c r="AK681" s="9"/>
    </row>
    <row r="682" spans="1:37" s="12" customFormat="1" ht="20.399999999999999" outlineLevel="1" x14ac:dyDescent="0.2">
      <c r="A682" s="61" t="s">
        <v>3429</v>
      </c>
      <c r="B682" s="47" t="s">
        <v>411</v>
      </c>
      <c r="C682" s="9" t="s">
        <v>47</v>
      </c>
      <c r="D682" s="25">
        <f t="shared" si="133"/>
        <v>20</v>
      </c>
      <c r="E682" s="54"/>
      <c r="F682" s="9"/>
      <c r="G682" s="9">
        <v>0</v>
      </c>
      <c r="H682" s="9">
        <v>0</v>
      </c>
      <c r="I682" s="9">
        <v>0</v>
      </c>
      <c r="J682" s="9">
        <v>0</v>
      </c>
      <c r="K682" s="9">
        <v>0</v>
      </c>
      <c r="L682" s="9">
        <v>0</v>
      </c>
      <c r="M682" s="9">
        <v>0</v>
      </c>
      <c r="N682" s="9">
        <v>0</v>
      </c>
      <c r="O682" s="9">
        <v>0</v>
      </c>
      <c r="P682" s="9">
        <v>0</v>
      </c>
      <c r="Q682" s="9">
        <v>0</v>
      </c>
      <c r="R682" s="9">
        <f>16+4</f>
        <v>20</v>
      </c>
      <c r="S682" s="9">
        <v>0</v>
      </c>
      <c r="T682" s="9">
        <v>0</v>
      </c>
      <c r="U682" s="9">
        <v>0</v>
      </c>
      <c r="V682" s="9">
        <v>0</v>
      </c>
      <c r="W682" s="9">
        <v>0</v>
      </c>
      <c r="X682" s="9">
        <v>0</v>
      </c>
      <c r="Y682" s="9">
        <v>0</v>
      </c>
      <c r="Z682" s="9">
        <v>0</v>
      </c>
      <c r="AA682" s="9">
        <v>0</v>
      </c>
      <c r="AB682" s="9">
        <v>0</v>
      </c>
      <c r="AC682" s="9">
        <v>0</v>
      </c>
      <c r="AD682" s="53" t="e">
        <f>#REF!*D682</f>
        <v>#REF!</v>
      </c>
      <c r="AE682" s="53" t="e">
        <f>AD682-#REF!</f>
        <v>#REF!</v>
      </c>
      <c r="AF682" s="9"/>
      <c r="AG682" s="33" t="e">
        <f>#REF!-D682</f>
        <v>#REF!</v>
      </c>
      <c r="AH682" s="9"/>
      <c r="AI682" s="9"/>
      <c r="AJ682" s="9"/>
      <c r="AK682" s="9"/>
    </row>
    <row r="683" spans="1:37" s="12" customFormat="1" ht="11.4" outlineLevel="1" x14ac:dyDescent="0.2">
      <c r="A683" s="61" t="s">
        <v>3430</v>
      </c>
      <c r="B683" s="47" t="s">
        <v>410</v>
      </c>
      <c r="C683" s="9" t="s">
        <v>47</v>
      </c>
      <c r="D683" s="25">
        <f t="shared" si="133"/>
        <v>16</v>
      </c>
      <c r="E683" s="54"/>
      <c r="F683" s="9"/>
      <c r="G683" s="9">
        <v>0</v>
      </c>
      <c r="H683" s="9">
        <v>0</v>
      </c>
      <c r="I683" s="9">
        <v>0</v>
      </c>
      <c r="J683" s="9">
        <v>0</v>
      </c>
      <c r="K683" s="9">
        <v>0</v>
      </c>
      <c r="L683" s="9">
        <v>0</v>
      </c>
      <c r="M683" s="9">
        <v>0</v>
      </c>
      <c r="N683" s="9">
        <v>0</v>
      </c>
      <c r="O683" s="9">
        <v>0</v>
      </c>
      <c r="P683" s="9">
        <v>0</v>
      </c>
      <c r="Q683" s="9">
        <v>0</v>
      </c>
      <c r="R683" s="9">
        <v>16</v>
      </c>
      <c r="S683" s="9">
        <v>0</v>
      </c>
      <c r="T683" s="9">
        <v>0</v>
      </c>
      <c r="U683" s="9">
        <v>0</v>
      </c>
      <c r="V683" s="9">
        <v>0</v>
      </c>
      <c r="W683" s="9">
        <v>0</v>
      </c>
      <c r="X683" s="9">
        <v>0</v>
      </c>
      <c r="Y683" s="9">
        <v>0</v>
      </c>
      <c r="Z683" s="9">
        <v>0</v>
      </c>
      <c r="AA683" s="9">
        <v>0</v>
      </c>
      <c r="AB683" s="9">
        <v>0</v>
      </c>
      <c r="AC683" s="9">
        <v>0</v>
      </c>
      <c r="AD683" s="53" t="e">
        <f>#REF!*D683</f>
        <v>#REF!</v>
      </c>
      <c r="AE683" s="53" t="e">
        <f>AD683-#REF!</f>
        <v>#REF!</v>
      </c>
      <c r="AF683" s="9"/>
      <c r="AG683" s="33" t="e">
        <f>#REF!-D683</f>
        <v>#REF!</v>
      </c>
      <c r="AH683" s="9"/>
      <c r="AI683" s="9"/>
      <c r="AJ683" s="9"/>
      <c r="AK683" s="9"/>
    </row>
    <row r="684" spans="1:37" s="12" customFormat="1" ht="20.399999999999999" outlineLevel="1" x14ac:dyDescent="0.2">
      <c r="A684" s="61" t="s">
        <v>3431</v>
      </c>
      <c r="B684" s="99" t="s">
        <v>298</v>
      </c>
      <c r="C684" s="9" t="s">
        <v>47</v>
      </c>
      <c r="D684" s="25">
        <f t="shared" si="133"/>
        <v>1</v>
      </c>
      <c r="E684" s="54"/>
      <c r="F684" s="9"/>
      <c r="G684" s="9">
        <v>0</v>
      </c>
      <c r="H684" s="9">
        <v>0</v>
      </c>
      <c r="I684" s="9">
        <v>0</v>
      </c>
      <c r="J684" s="9">
        <v>0</v>
      </c>
      <c r="K684" s="9">
        <v>0</v>
      </c>
      <c r="L684" s="9">
        <v>0</v>
      </c>
      <c r="M684" s="9">
        <v>0</v>
      </c>
      <c r="N684" s="9">
        <v>0</v>
      </c>
      <c r="O684" s="9">
        <v>0</v>
      </c>
      <c r="P684" s="9">
        <v>0</v>
      </c>
      <c r="Q684" s="9">
        <v>0</v>
      </c>
      <c r="R684" s="9">
        <v>1</v>
      </c>
      <c r="S684" s="9">
        <v>0</v>
      </c>
      <c r="T684" s="9">
        <v>0</v>
      </c>
      <c r="U684" s="9">
        <v>0</v>
      </c>
      <c r="V684" s="9">
        <v>0</v>
      </c>
      <c r="W684" s="9">
        <v>0</v>
      </c>
      <c r="X684" s="9">
        <v>0</v>
      </c>
      <c r="Y684" s="9">
        <v>0</v>
      </c>
      <c r="Z684" s="9">
        <v>0</v>
      </c>
      <c r="AA684" s="9">
        <v>0</v>
      </c>
      <c r="AB684" s="9">
        <v>0</v>
      </c>
      <c r="AC684" s="9">
        <v>0</v>
      </c>
      <c r="AD684" s="53" t="e">
        <f>#REF!*D684</f>
        <v>#REF!</v>
      </c>
      <c r="AE684" s="53" t="e">
        <f>AD684-#REF!</f>
        <v>#REF!</v>
      </c>
      <c r="AF684" s="9"/>
      <c r="AG684" s="33" t="e">
        <f>#REF!-D684</f>
        <v>#REF!</v>
      </c>
      <c r="AH684" s="9"/>
      <c r="AI684" s="9"/>
      <c r="AJ684" s="9"/>
      <c r="AK684" s="9"/>
    </row>
    <row r="685" spans="1:37" s="12" customFormat="1" ht="20.399999999999999" outlineLevel="1" x14ac:dyDescent="0.2">
      <c r="A685" s="61" t="s">
        <v>3432</v>
      </c>
      <c r="B685" s="99" t="s">
        <v>412</v>
      </c>
      <c r="C685" s="9" t="s">
        <v>47</v>
      </c>
      <c r="D685" s="25">
        <f t="shared" si="133"/>
        <v>6</v>
      </c>
      <c r="E685" s="54"/>
      <c r="F685" s="9"/>
      <c r="G685" s="9">
        <v>0</v>
      </c>
      <c r="H685" s="9">
        <v>0</v>
      </c>
      <c r="I685" s="9">
        <v>0</v>
      </c>
      <c r="J685" s="9">
        <v>0</v>
      </c>
      <c r="K685" s="9">
        <v>0</v>
      </c>
      <c r="L685" s="9">
        <v>0</v>
      </c>
      <c r="M685" s="9">
        <v>0</v>
      </c>
      <c r="N685" s="9">
        <v>0</v>
      </c>
      <c r="O685" s="9">
        <v>0</v>
      </c>
      <c r="P685" s="9">
        <v>0</v>
      </c>
      <c r="Q685" s="9">
        <v>0</v>
      </c>
      <c r="R685" s="9">
        <v>6</v>
      </c>
      <c r="S685" s="9">
        <v>0</v>
      </c>
      <c r="T685" s="9">
        <v>0</v>
      </c>
      <c r="U685" s="9">
        <v>0</v>
      </c>
      <c r="V685" s="9">
        <v>0</v>
      </c>
      <c r="W685" s="9">
        <v>0</v>
      </c>
      <c r="X685" s="9">
        <v>0</v>
      </c>
      <c r="Y685" s="9">
        <v>0</v>
      </c>
      <c r="Z685" s="9">
        <v>0</v>
      </c>
      <c r="AA685" s="9">
        <v>0</v>
      </c>
      <c r="AB685" s="9">
        <v>0</v>
      </c>
      <c r="AC685" s="9">
        <v>0</v>
      </c>
      <c r="AD685" s="53" t="e">
        <f>#REF!*D685</f>
        <v>#REF!</v>
      </c>
      <c r="AE685" s="53" t="e">
        <f>AD685-#REF!</f>
        <v>#REF!</v>
      </c>
      <c r="AF685" s="9"/>
      <c r="AG685" s="33" t="e">
        <f>#REF!-D685</f>
        <v>#REF!</v>
      </c>
      <c r="AH685" s="9"/>
      <c r="AI685" s="9"/>
      <c r="AJ685" s="9"/>
      <c r="AK685" s="9"/>
    </row>
    <row r="686" spans="1:37" s="12" customFormat="1" ht="20.399999999999999" outlineLevel="1" x14ac:dyDescent="0.2">
      <c r="A686" s="61" t="s">
        <v>3433</v>
      </c>
      <c r="B686" s="99" t="s">
        <v>2649</v>
      </c>
      <c r="C686" s="9" t="s">
        <v>47</v>
      </c>
      <c r="D686" s="25">
        <f t="shared" si="133"/>
        <v>2</v>
      </c>
      <c r="E686" s="54"/>
      <c r="F686" s="9"/>
      <c r="G686" s="9">
        <v>0</v>
      </c>
      <c r="H686" s="9">
        <v>0</v>
      </c>
      <c r="I686" s="9">
        <v>0</v>
      </c>
      <c r="J686" s="9">
        <v>0</v>
      </c>
      <c r="K686" s="9">
        <v>0</v>
      </c>
      <c r="L686" s="9">
        <v>0</v>
      </c>
      <c r="M686" s="9">
        <v>0</v>
      </c>
      <c r="N686" s="9">
        <v>0</v>
      </c>
      <c r="O686" s="9">
        <v>0</v>
      </c>
      <c r="P686" s="9">
        <v>0</v>
      </c>
      <c r="Q686" s="9">
        <v>0</v>
      </c>
      <c r="R686" s="9">
        <v>2</v>
      </c>
      <c r="S686" s="9">
        <v>0</v>
      </c>
      <c r="T686" s="9">
        <v>0</v>
      </c>
      <c r="U686" s="9">
        <v>0</v>
      </c>
      <c r="V686" s="9">
        <v>0</v>
      </c>
      <c r="W686" s="9">
        <v>0</v>
      </c>
      <c r="X686" s="9">
        <v>0</v>
      </c>
      <c r="Y686" s="9">
        <v>0</v>
      </c>
      <c r="Z686" s="9">
        <v>0</v>
      </c>
      <c r="AA686" s="9">
        <v>0</v>
      </c>
      <c r="AB686" s="9">
        <v>0</v>
      </c>
      <c r="AC686" s="9">
        <v>0</v>
      </c>
      <c r="AD686" s="53" t="e">
        <f>#REF!*D686</f>
        <v>#REF!</v>
      </c>
      <c r="AE686" s="53" t="e">
        <f>AD686-#REF!</f>
        <v>#REF!</v>
      </c>
      <c r="AF686" s="9"/>
      <c r="AG686" s="33" t="e">
        <f>#REF!-D686</f>
        <v>#REF!</v>
      </c>
      <c r="AH686" s="9"/>
      <c r="AI686" s="9"/>
      <c r="AJ686" s="9"/>
      <c r="AK686" s="9"/>
    </row>
    <row r="687" spans="1:37" s="12" customFormat="1" ht="40.799999999999997" outlineLevel="1" x14ac:dyDescent="0.2">
      <c r="A687" s="61" t="s">
        <v>3434</v>
      </c>
      <c r="B687" s="47" t="s">
        <v>2463</v>
      </c>
      <c r="C687" s="8" t="s">
        <v>47</v>
      </c>
      <c r="D687" s="25">
        <f t="shared" si="133"/>
        <v>6</v>
      </c>
      <c r="E687" s="54"/>
      <c r="F687" s="9"/>
      <c r="G687" s="9">
        <v>0</v>
      </c>
      <c r="H687" s="9">
        <v>0</v>
      </c>
      <c r="I687" s="9">
        <v>0</v>
      </c>
      <c r="J687" s="9">
        <v>0</v>
      </c>
      <c r="K687" s="9">
        <v>0</v>
      </c>
      <c r="L687" s="9">
        <v>0</v>
      </c>
      <c r="M687" s="9">
        <v>0</v>
      </c>
      <c r="N687" s="9">
        <v>0</v>
      </c>
      <c r="O687" s="9">
        <v>0</v>
      </c>
      <c r="P687" s="9">
        <v>0</v>
      </c>
      <c r="Q687" s="9">
        <v>0</v>
      </c>
      <c r="R687" s="9">
        <v>6</v>
      </c>
      <c r="S687" s="9">
        <v>0</v>
      </c>
      <c r="T687" s="9">
        <v>0</v>
      </c>
      <c r="U687" s="9">
        <v>0</v>
      </c>
      <c r="V687" s="9">
        <v>0</v>
      </c>
      <c r="W687" s="9">
        <v>0</v>
      </c>
      <c r="X687" s="9">
        <v>0</v>
      </c>
      <c r="Y687" s="9">
        <v>0</v>
      </c>
      <c r="Z687" s="9">
        <v>0</v>
      </c>
      <c r="AA687" s="9">
        <v>0</v>
      </c>
      <c r="AB687" s="9">
        <v>0</v>
      </c>
      <c r="AC687" s="9">
        <v>0</v>
      </c>
      <c r="AD687" s="53" t="e">
        <f>#REF!*D687</f>
        <v>#REF!</v>
      </c>
      <c r="AE687" s="53" t="e">
        <f>AD687-#REF!</f>
        <v>#REF!</v>
      </c>
      <c r="AF687" s="9"/>
      <c r="AG687" s="33" t="e">
        <f>#REF!-D687</f>
        <v>#REF!</v>
      </c>
      <c r="AH687" s="9"/>
      <c r="AI687" s="9"/>
      <c r="AJ687" s="9"/>
      <c r="AK687" s="9"/>
    </row>
    <row r="688" spans="1:37" s="12" customFormat="1" ht="29.25" customHeight="1" outlineLevel="1" x14ac:dyDescent="0.2">
      <c r="A688" s="61" t="s">
        <v>3435</v>
      </c>
      <c r="B688" s="80" t="s">
        <v>3117</v>
      </c>
      <c r="C688" s="8" t="s">
        <v>47</v>
      </c>
      <c r="D688" s="25">
        <f t="shared" si="133"/>
        <v>1</v>
      </c>
      <c r="E688" s="54"/>
      <c r="F688" s="9"/>
      <c r="G688" s="9">
        <v>0</v>
      </c>
      <c r="H688" s="9">
        <v>0</v>
      </c>
      <c r="I688" s="9">
        <v>0</v>
      </c>
      <c r="J688" s="9">
        <v>0</v>
      </c>
      <c r="K688" s="9">
        <v>0</v>
      </c>
      <c r="L688" s="9">
        <v>0</v>
      </c>
      <c r="M688" s="9">
        <v>0</v>
      </c>
      <c r="N688" s="9">
        <v>0</v>
      </c>
      <c r="O688" s="9">
        <v>0</v>
      </c>
      <c r="P688" s="9">
        <v>0</v>
      </c>
      <c r="Q688" s="9">
        <v>0</v>
      </c>
      <c r="R688" s="9">
        <v>1</v>
      </c>
      <c r="S688" s="9">
        <v>0</v>
      </c>
      <c r="T688" s="9">
        <v>0</v>
      </c>
      <c r="U688" s="9">
        <v>0</v>
      </c>
      <c r="V688" s="9">
        <v>0</v>
      </c>
      <c r="W688" s="9">
        <v>0</v>
      </c>
      <c r="X688" s="9">
        <v>0</v>
      </c>
      <c r="Y688" s="9">
        <v>0</v>
      </c>
      <c r="Z688" s="9">
        <v>0</v>
      </c>
      <c r="AA688" s="9">
        <v>0</v>
      </c>
      <c r="AB688" s="9">
        <v>0</v>
      </c>
      <c r="AC688" s="9">
        <v>0</v>
      </c>
      <c r="AD688" s="53" t="e">
        <f>#REF!*D688</f>
        <v>#REF!</v>
      </c>
      <c r="AE688" s="53" t="e">
        <f>AD688-#REF!</f>
        <v>#REF!</v>
      </c>
      <c r="AF688" s="9"/>
      <c r="AG688" s="33" t="e">
        <f>#REF!-D688</f>
        <v>#REF!</v>
      </c>
      <c r="AH688" s="9"/>
      <c r="AI688" s="9"/>
      <c r="AJ688" s="9"/>
      <c r="AK688" s="9"/>
    </row>
    <row r="689" spans="1:37" s="12" customFormat="1" ht="20.399999999999999" outlineLevel="1" x14ac:dyDescent="0.2">
      <c r="A689" s="61" t="s">
        <v>3436</v>
      </c>
      <c r="B689" s="47" t="s">
        <v>316</v>
      </c>
      <c r="C689" s="9" t="s">
        <v>47</v>
      </c>
      <c r="D689" s="25">
        <f t="shared" si="133"/>
        <v>3</v>
      </c>
      <c r="E689" s="54"/>
      <c r="F689" s="9"/>
      <c r="G689" s="9">
        <v>0</v>
      </c>
      <c r="H689" s="9">
        <v>0</v>
      </c>
      <c r="I689" s="9">
        <v>0</v>
      </c>
      <c r="J689" s="9">
        <v>0</v>
      </c>
      <c r="K689" s="9">
        <v>0</v>
      </c>
      <c r="L689" s="9">
        <v>0</v>
      </c>
      <c r="M689" s="9">
        <v>0</v>
      </c>
      <c r="N689" s="9">
        <v>0</v>
      </c>
      <c r="O689" s="9">
        <v>0</v>
      </c>
      <c r="P689" s="9">
        <v>0</v>
      </c>
      <c r="Q689" s="9">
        <v>0</v>
      </c>
      <c r="R689" s="9">
        <v>3</v>
      </c>
      <c r="S689" s="9">
        <v>0</v>
      </c>
      <c r="T689" s="9">
        <v>0</v>
      </c>
      <c r="U689" s="9">
        <v>0</v>
      </c>
      <c r="V689" s="9">
        <v>0</v>
      </c>
      <c r="W689" s="9">
        <v>0</v>
      </c>
      <c r="X689" s="9">
        <v>0</v>
      </c>
      <c r="Y689" s="9">
        <v>0</v>
      </c>
      <c r="Z689" s="9">
        <v>0</v>
      </c>
      <c r="AA689" s="9">
        <v>0</v>
      </c>
      <c r="AB689" s="9">
        <v>0</v>
      </c>
      <c r="AC689" s="9">
        <v>0</v>
      </c>
      <c r="AD689" s="53" t="e">
        <f>#REF!*D689</f>
        <v>#REF!</v>
      </c>
      <c r="AE689" s="53" t="e">
        <f>AD689-#REF!</f>
        <v>#REF!</v>
      </c>
      <c r="AF689" s="9"/>
      <c r="AG689" s="33" t="e">
        <f>#REF!-D689</f>
        <v>#REF!</v>
      </c>
      <c r="AH689" s="9"/>
      <c r="AI689" s="9"/>
      <c r="AJ689" s="9"/>
      <c r="AK689" s="9"/>
    </row>
    <row r="690" spans="1:37" s="12" customFormat="1" ht="22.8" outlineLevel="1" x14ac:dyDescent="0.2">
      <c r="A690" s="61" t="s">
        <v>3437</v>
      </c>
      <c r="B690" s="80" t="s">
        <v>234</v>
      </c>
      <c r="C690" s="9" t="s">
        <v>47</v>
      </c>
      <c r="D690" s="25">
        <f t="shared" si="133"/>
        <v>1</v>
      </c>
      <c r="E690" s="54"/>
      <c r="F690" s="9"/>
      <c r="G690" s="9">
        <v>0</v>
      </c>
      <c r="H690" s="9">
        <v>0</v>
      </c>
      <c r="I690" s="9">
        <v>0</v>
      </c>
      <c r="J690" s="9">
        <v>0</v>
      </c>
      <c r="K690" s="9">
        <v>0</v>
      </c>
      <c r="L690" s="9">
        <v>0</v>
      </c>
      <c r="M690" s="9">
        <v>0</v>
      </c>
      <c r="N690" s="9">
        <v>0</v>
      </c>
      <c r="O690" s="9">
        <v>0</v>
      </c>
      <c r="P690" s="9">
        <v>0</v>
      </c>
      <c r="Q690" s="9">
        <v>0</v>
      </c>
      <c r="R690" s="9">
        <v>1</v>
      </c>
      <c r="S690" s="9">
        <v>0</v>
      </c>
      <c r="T690" s="9">
        <v>0</v>
      </c>
      <c r="U690" s="9">
        <v>0</v>
      </c>
      <c r="V690" s="9">
        <v>0</v>
      </c>
      <c r="W690" s="9">
        <v>0</v>
      </c>
      <c r="X690" s="9">
        <v>0</v>
      </c>
      <c r="Y690" s="9">
        <v>0</v>
      </c>
      <c r="Z690" s="9">
        <v>0</v>
      </c>
      <c r="AA690" s="9">
        <v>0</v>
      </c>
      <c r="AB690" s="9">
        <v>0</v>
      </c>
      <c r="AC690" s="9">
        <v>0</v>
      </c>
      <c r="AD690" s="53" t="e">
        <f>#REF!*D690</f>
        <v>#REF!</v>
      </c>
      <c r="AE690" s="53" t="e">
        <f>AD690-#REF!</f>
        <v>#REF!</v>
      </c>
      <c r="AF690" s="9"/>
      <c r="AG690" s="33" t="e">
        <f>#REF!-D690</f>
        <v>#REF!</v>
      </c>
      <c r="AH690" s="9"/>
      <c r="AI690" s="9"/>
      <c r="AJ690" s="9"/>
      <c r="AK690" s="9"/>
    </row>
    <row r="691" spans="1:37" s="12" customFormat="1" ht="10.199999999999999" outlineLevel="1" x14ac:dyDescent="0.2">
      <c r="A691" s="61" t="s">
        <v>3438</v>
      </c>
      <c r="B691" s="99" t="s">
        <v>3183</v>
      </c>
      <c r="C691" s="9" t="s">
        <v>47</v>
      </c>
      <c r="D691" s="25">
        <f t="shared" si="133"/>
        <v>1</v>
      </c>
      <c r="E691" s="54"/>
      <c r="F691" s="9"/>
      <c r="G691" s="9">
        <v>0</v>
      </c>
      <c r="H691" s="9">
        <v>0</v>
      </c>
      <c r="I691" s="9">
        <v>0</v>
      </c>
      <c r="J691" s="9">
        <v>0</v>
      </c>
      <c r="K691" s="9">
        <v>0</v>
      </c>
      <c r="L691" s="9">
        <v>0</v>
      </c>
      <c r="M691" s="9">
        <v>0</v>
      </c>
      <c r="N691" s="9">
        <v>0</v>
      </c>
      <c r="O691" s="9">
        <v>0</v>
      </c>
      <c r="P691" s="9">
        <v>0</v>
      </c>
      <c r="Q691" s="9">
        <v>0</v>
      </c>
      <c r="R691" s="9">
        <v>1</v>
      </c>
      <c r="S691" s="9">
        <v>0</v>
      </c>
      <c r="T691" s="9">
        <v>0</v>
      </c>
      <c r="U691" s="9">
        <v>0</v>
      </c>
      <c r="V691" s="9">
        <v>0</v>
      </c>
      <c r="W691" s="9">
        <v>0</v>
      </c>
      <c r="X691" s="9">
        <v>0</v>
      </c>
      <c r="Y691" s="9">
        <v>0</v>
      </c>
      <c r="Z691" s="9">
        <v>0</v>
      </c>
      <c r="AA691" s="9">
        <v>0</v>
      </c>
      <c r="AB691" s="9">
        <v>0</v>
      </c>
      <c r="AC691" s="9">
        <v>0</v>
      </c>
      <c r="AD691" s="53" t="e">
        <f>#REF!*D691</f>
        <v>#REF!</v>
      </c>
      <c r="AE691" s="53" t="e">
        <f>AD691-#REF!</f>
        <v>#REF!</v>
      </c>
      <c r="AF691" s="9"/>
      <c r="AG691" s="33" t="e">
        <f>#REF!-D691</f>
        <v>#REF!</v>
      </c>
      <c r="AH691" s="9"/>
      <c r="AI691" s="9"/>
      <c r="AJ691" s="9"/>
      <c r="AK691" s="9"/>
    </row>
    <row r="692" spans="1:37" s="12" customFormat="1" ht="10.199999999999999" outlineLevel="1" x14ac:dyDescent="0.2">
      <c r="A692" s="61"/>
      <c r="B692" s="15"/>
      <c r="C692" s="9"/>
      <c r="D692" s="25"/>
      <c r="E692" s="54"/>
      <c r="F692" s="9"/>
      <c r="G692" s="9"/>
      <c r="H692" s="9"/>
      <c r="I692" s="9"/>
      <c r="J692" s="9"/>
      <c r="K692" s="9"/>
      <c r="L692" s="9"/>
      <c r="M692" s="9"/>
      <c r="N692" s="9"/>
      <c r="O692" s="9"/>
      <c r="P692" s="9"/>
      <c r="Q692" s="9"/>
      <c r="R692" s="9"/>
      <c r="S692" s="9"/>
      <c r="T692" s="9"/>
      <c r="U692" s="9"/>
      <c r="V692" s="9"/>
      <c r="W692" s="9"/>
      <c r="X692" s="9"/>
      <c r="Y692" s="9"/>
      <c r="Z692" s="9"/>
      <c r="AA692" s="9"/>
      <c r="AB692" s="9"/>
      <c r="AC692" s="9"/>
      <c r="AD692" s="53" t="e">
        <f>#REF!*D692</f>
        <v>#REF!</v>
      </c>
      <c r="AE692" s="53" t="e">
        <f>AD692-#REF!</f>
        <v>#REF!</v>
      </c>
      <c r="AF692" s="9"/>
      <c r="AG692" s="33" t="e">
        <f>#REF!-D692</f>
        <v>#REF!</v>
      </c>
      <c r="AH692" s="9"/>
      <c r="AI692" s="9"/>
      <c r="AJ692" s="9"/>
      <c r="AK692" s="9"/>
    </row>
    <row r="693" spans="1:37" s="12" customFormat="1" ht="12" x14ac:dyDescent="0.25">
      <c r="A693" s="18" t="s">
        <v>3439</v>
      </c>
      <c r="B693" s="35" t="s">
        <v>2990</v>
      </c>
      <c r="C693" s="18" t="s">
        <v>41</v>
      </c>
      <c r="D693" s="228" t="e">
        <f>#REF!/#REF!*100</f>
        <v>#REF!</v>
      </c>
      <c r="E693" s="54"/>
      <c r="F693" s="9"/>
      <c r="G693" s="9"/>
      <c r="H693" s="9"/>
      <c r="I693" s="9"/>
      <c r="J693" s="9"/>
      <c r="K693" s="9"/>
      <c r="L693" s="9"/>
      <c r="M693" s="9"/>
      <c r="N693" s="9"/>
      <c r="O693" s="9"/>
      <c r="P693" s="9"/>
      <c r="Q693" s="9"/>
      <c r="R693" s="9"/>
      <c r="S693" s="9"/>
      <c r="T693" s="9"/>
      <c r="U693" s="9"/>
      <c r="V693" s="9"/>
      <c r="W693" s="9"/>
      <c r="X693" s="9"/>
      <c r="Y693" s="9"/>
      <c r="Z693" s="9"/>
      <c r="AA693" s="9"/>
      <c r="AB693" s="9"/>
      <c r="AC693" s="9"/>
      <c r="AD693" s="53" t="e">
        <f>#REF!*D693</f>
        <v>#REF!</v>
      </c>
      <c r="AE693" s="53" t="e">
        <f>AD693-#REF!</f>
        <v>#REF!</v>
      </c>
      <c r="AF693" s="9"/>
      <c r="AG693" s="33" t="e">
        <f>#REF!-D693</f>
        <v>#REF!</v>
      </c>
      <c r="AH693" s="9"/>
      <c r="AI693" s="9"/>
      <c r="AJ693" s="9"/>
      <c r="AK693" s="9"/>
    </row>
    <row r="694" spans="1:37" s="12" customFormat="1" ht="24.75" customHeight="1" outlineLevel="1" x14ac:dyDescent="0.2">
      <c r="A694" s="61" t="s">
        <v>3440</v>
      </c>
      <c r="B694" s="95" t="s">
        <v>2605</v>
      </c>
      <c r="C694" s="9" t="s">
        <v>48</v>
      </c>
      <c r="D694" s="25">
        <f>SUM(G694:AC694)*3</f>
        <v>111</v>
      </c>
      <c r="E694" s="54"/>
      <c r="F694" s="9"/>
      <c r="G694" s="9">
        <v>0</v>
      </c>
      <c r="H694" s="9">
        <f>30/3</f>
        <v>10</v>
      </c>
      <c r="I694" s="9">
        <v>0</v>
      </c>
      <c r="J694" s="9">
        <v>0</v>
      </c>
      <c r="K694" s="9">
        <v>0</v>
      </c>
      <c r="L694" s="9">
        <v>0</v>
      </c>
      <c r="M694" s="9">
        <v>0</v>
      </c>
      <c r="N694" s="9">
        <v>0</v>
      </c>
      <c r="O694" s="9">
        <v>0</v>
      </c>
      <c r="P694" s="9">
        <v>0</v>
      </c>
      <c r="Q694" s="9">
        <v>16</v>
      </c>
      <c r="R694" s="9">
        <v>0</v>
      </c>
      <c r="S694" s="9">
        <v>0</v>
      </c>
      <c r="T694" s="9">
        <v>11</v>
      </c>
      <c r="U694" s="9">
        <v>0</v>
      </c>
      <c r="V694" s="9">
        <v>0</v>
      </c>
      <c r="W694" s="9">
        <v>0</v>
      </c>
      <c r="X694" s="9">
        <v>0</v>
      </c>
      <c r="Y694" s="9">
        <v>0</v>
      </c>
      <c r="Z694" s="9">
        <v>0</v>
      </c>
      <c r="AA694" s="9">
        <v>0</v>
      </c>
      <c r="AB694" s="9">
        <v>0</v>
      </c>
      <c r="AC694" s="9">
        <v>0</v>
      </c>
      <c r="AD694" s="53" t="e">
        <f>#REF!*D694</f>
        <v>#REF!</v>
      </c>
      <c r="AE694" s="53" t="e">
        <f>AD694-#REF!</f>
        <v>#REF!</v>
      </c>
      <c r="AF694" s="9"/>
      <c r="AG694" s="33" t="e">
        <f>#REF!-D694</f>
        <v>#REF!</v>
      </c>
      <c r="AH694" s="9"/>
      <c r="AI694" s="9"/>
      <c r="AJ694" s="9"/>
      <c r="AK694" s="9"/>
    </row>
    <row r="695" spans="1:37" s="12" customFormat="1" ht="21.6" outlineLevel="1" x14ac:dyDescent="0.2">
      <c r="A695" s="61" t="s">
        <v>3441</v>
      </c>
      <c r="B695" s="95" t="s">
        <v>295</v>
      </c>
      <c r="C695" s="9" t="s">
        <v>47</v>
      </c>
      <c r="D695" s="25">
        <f t="shared" ref="D695:D701" si="136">SUM(G695:AC695)</f>
        <v>3</v>
      </c>
      <c r="E695" s="54"/>
      <c r="F695" s="9"/>
      <c r="G695" s="9">
        <v>0</v>
      </c>
      <c r="H695" s="9">
        <v>1</v>
      </c>
      <c r="I695" s="9">
        <v>0</v>
      </c>
      <c r="J695" s="9">
        <v>0</v>
      </c>
      <c r="K695" s="9">
        <v>0</v>
      </c>
      <c r="L695" s="9">
        <v>0</v>
      </c>
      <c r="M695" s="9">
        <v>0</v>
      </c>
      <c r="N695" s="9">
        <v>0</v>
      </c>
      <c r="O695" s="9">
        <v>0</v>
      </c>
      <c r="P695" s="9">
        <v>0</v>
      </c>
      <c r="Q695" s="9">
        <v>0</v>
      </c>
      <c r="R695" s="9">
        <v>0</v>
      </c>
      <c r="S695" s="9">
        <v>0</v>
      </c>
      <c r="T695" s="9">
        <v>2</v>
      </c>
      <c r="U695" s="9">
        <v>0</v>
      </c>
      <c r="V695" s="9">
        <v>0</v>
      </c>
      <c r="W695" s="9">
        <v>0</v>
      </c>
      <c r="X695" s="9">
        <v>0</v>
      </c>
      <c r="Y695" s="9">
        <v>0</v>
      </c>
      <c r="Z695" s="9">
        <v>0</v>
      </c>
      <c r="AA695" s="9">
        <v>0</v>
      </c>
      <c r="AB695" s="9">
        <v>0</v>
      </c>
      <c r="AC695" s="9">
        <v>0</v>
      </c>
      <c r="AD695" s="53" t="e">
        <f>#REF!*D695</f>
        <v>#REF!</v>
      </c>
      <c r="AE695" s="53" t="e">
        <f>AD695-#REF!</f>
        <v>#REF!</v>
      </c>
      <c r="AF695" s="9"/>
      <c r="AG695" s="33" t="e">
        <f>#REF!-D695</f>
        <v>#REF!</v>
      </c>
      <c r="AH695" s="9"/>
      <c r="AI695" s="9"/>
      <c r="AJ695" s="9"/>
      <c r="AK695" s="9"/>
    </row>
    <row r="696" spans="1:37" s="12" customFormat="1" ht="20.399999999999999" outlineLevel="1" x14ac:dyDescent="0.2">
      <c r="A696" s="61" t="s">
        <v>3442</v>
      </c>
      <c r="B696" s="95" t="s">
        <v>294</v>
      </c>
      <c r="C696" s="9" t="s">
        <v>47</v>
      </c>
      <c r="D696" s="25">
        <f t="shared" si="136"/>
        <v>6</v>
      </c>
      <c r="E696" s="54"/>
      <c r="F696" s="9"/>
      <c r="G696" s="9">
        <v>0</v>
      </c>
      <c r="H696" s="9">
        <v>2</v>
      </c>
      <c r="I696" s="9">
        <v>0</v>
      </c>
      <c r="J696" s="9">
        <v>0</v>
      </c>
      <c r="K696" s="9">
        <v>0</v>
      </c>
      <c r="L696" s="9">
        <v>0</v>
      </c>
      <c r="M696" s="9">
        <v>0</v>
      </c>
      <c r="N696" s="9">
        <v>0</v>
      </c>
      <c r="O696" s="9">
        <v>0</v>
      </c>
      <c r="P696" s="9">
        <v>0</v>
      </c>
      <c r="Q696" s="9">
        <v>0</v>
      </c>
      <c r="R696" s="9">
        <v>0</v>
      </c>
      <c r="S696" s="9">
        <v>0</v>
      </c>
      <c r="T696" s="9">
        <v>4</v>
      </c>
      <c r="U696" s="9">
        <v>0</v>
      </c>
      <c r="V696" s="9">
        <v>0</v>
      </c>
      <c r="W696" s="9">
        <v>0</v>
      </c>
      <c r="X696" s="9">
        <v>0</v>
      </c>
      <c r="Y696" s="9">
        <v>0</v>
      </c>
      <c r="Z696" s="9">
        <v>0</v>
      </c>
      <c r="AA696" s="9">
        <v>0</v>
      </c>
      <c r="AB696" s="9">
        <v>0</v>
      </c>
      <c r="AC696" s="9">
        <v>0</v>
      </c>
      <c r="AD696" s="53" t="e">
        <f>#REF!*D696</f>
        <v>#REF!</v>
      </c>
      <c r="AE696" s="53" t="e">
        <f>AD696-#REF!</f>
        <v>#REF!</v>
      </c>
      <c r="AF696" s="9"/>
      <c r="AG696" s="33" t="e">
        <f>#REF!-D696</f>
        <v>#REF!</v>
      </c>
      <c r="AH696" s="9"/>
      <c r="AI696" s="9"/>
      <c r="AJ696" s="9"/>
      <c r="AK696" s="9"/>
    </row>
    <row r="697" spans="1:37" s="12" customFormat="1" ht="20.399999999999999" outlineLevel="1" x14ac:dyDescent="0.2">
      <c r="A697" s="61" t="s">
        <v>3443</v>
      </c>
      <c r="B697" s="95" t="s">
        <v>321</v>
      </c>
      <c r="C697" s="9" t="s">
        <v>36</v>
      </c>
      <c r="D697" s="25">
        <f t="shared" si="136"/>
        <v>20</v>
      </c>
      <c r="E697" s="54"/>
      <c r="F697" s="78"/>
      <c r="G697" s="33">
        <v>0</v>
      </c>
      <c r="H697" s="33">
        <v>4</v>
      </c>
      <c r="I697" s="9">
        <v>0</v>
      </c>
      <c r="J697" s="9">
        <v>0</v>
      </c>
      <c r="K697" s="9">
        <v>0</v>
      </c>
      <c r="L697" s="9">
        <v>0</v>
      </c>
      <c r="M697" s="9">
        <v>0</v>
      </c>
      <c r="N697" s="9">
        <v>0</v>
      </c>
      <c r="O697" s="9">
        <v>0</v>
      </c>
      <c r="P697" s="9">
        <v>0</v>
      </c>
      <c r="Q697" s="9">
        <v>8</v>
      </c>
      <c r="R697" s="9">
        <v>0</v>
      </c>
      <c r="S697" s="9">
        <v>0</v>
      </c>
      <c r="T697" s="9">
        <v>8</v>
      </c>
      <c r="U697" s="33">
        <v>0</v>
      </c>
      <c r="V697" s="9">
        <v>0</v>
      </c>
      <c r="W697" s="9">
        <v>0</v>
      </c>
      <c r="X697" s="9">
        <v>0</v>
      </c>
      <c r="Y697" s="9">
        <v>0</v>
      </c>
      <c r="Z697" s="9">
        <v>0</v>
      </c>
      <c r="AA697" s="9">
        <v>0</v>
      </c>
      <c r="AB697" s="9">
        <v>0</v>
      </c>
      <c r="AC697" s="9">
        <v>0</v>
      </c>
      <c r="AD697" s="53" t="e">
        <f>#REF!*D697</f>
        <v>#REF!</v>
      </c>
      <c r="AE697" s="53" t="e">
        <f>AD697-#REF!</f>
        <v>#REF!</v>
      </c>
      <c r="AF697" s="9"/>
      <c r="AG697" s="33" t="e">
        <f>#REF!-D697</f>
        <v>#REF!</v>
      </c>
      <c r="AH697" s="9"/>
      <c r="AI697" s="9"/>
      <c r="AJ697" s="9"/>
      <c r="AK697" s="9"/>
    </row>
    <row r="698" spans="1:37" s="12" customFormat="1" ht="20.399999999999999" outlineLevel="1" x14ac:dyDescent="0.2">
      <c r="A698" s="61" t="s">
        <v>3444</v>
      </c>
      <c r="B698" s="95" t="s">
        <v>2491</v>
      </c>
      <c r="C698" s="9" t="s">
        <v>47</v>
      </c>
      <c r="D698" s="25">
        <f t="shared" si="136"/>
        <v>53</v>
      </c>
      <c r="E698" s="54"/>
      <c r="F698" s="78"/>
      <c r="G698" s="33">
        <v>0</v>
      </c>
      <c r="H698" s="33">
        <v>14</v>
      </c>
      <c r="I698" s="33">
        <f t="shared" ref="I698:P698" si="137">I694*2</f>
        <v>0</v>
      </c>
      <c r="J698" s="33">
        <f t="shared" si="137"/>
        <v>0</v>
      </c>
      <c r="K698" s="33">
        <f t="shared" si="137"/>
        <v>0</v>
      </c>
      <c r="L698" s="33">
        <f t="shared" si="137"/>
        <v>0</v>
      </c>
      <c r="M698" s="33">
        <f t="shared" si="137"/>
        <v>0</v>
      </c>
      <c r="N698" s="33">
        <f t="shared" si="137"/>
        <v>0</v>
      </c>
      <c r="O698" s="33">
        <f t="shared" si="137"/>
        <v>0</v>
      </c>
      <c r="P698" s="33">
        <f t="shared" si="137"/>
        <v>0</v>
      </c>
      <c r="Q698" s="33">
        <v>24</v>
      </c>
      <c r="R698" s="33">
        <f>R694*2</f>
        <v>0</v>
      </c>
      <c r="S698" s="33">
        <f>S694*2</f>
        <v>0</v>
      </c>
      <c r="T698" s="33">
        <v>15</v>
      </c>
      <c r="U698" s="33">
        <v>0</v>
      </c>
      <c r="V698" s="9">
        <v>0</v>
      </c>
      <c r="W698" s="9">
        <v>0</v>
      </c>
      <c r="X698" s="9">
        <v>0</v>
      </c>
      <c r="Y698" s="9">
        <v>0</v>
      </c>
      <c r="Z698" s="9">
        <v>0</v>
      </c>
      <c r="AA698" s="9">
        <v>0</v>
      </c>
      <c r="AB698" s="9">
        <v>0</v>
      </c>
      <c r="AC698" s="9">
        <v>0</v>
      </c>
      <c r="AD698" s="53" t="e">
        <f>#REF!*D698</f>
        <v>#REF!</v>
      </c>
      <c r="AE698" s="53" t="e">
        <f>AD698-#REF!</f>
        <v>#REF!</v>
      </c>
      <c r="AF698" s="9"/>
      <c r="AG698" s="33" t="e">
        <f>#REF!-D698</f>
        <v>#REF!</v>
      </c>
      <c r="AH698" s="9"/>
      <c r="AI698" s="9"/>
      <c r="AJ698" s="9"/>
      <c r="AK698" s="9"/>
    </row>
    <row r="699" spans="1:37" s="12" customFormat="1" ht="30.6" outlineLevel="1" x14ac:dyDescent="0.2">
      <c r="A699" s="61" t="s">
        <v>3445</v>
      </c>
      <c r="B699" s="95" t="s">
        <v>2992</v>
      </c>
      <c r="C699" s="8" t="s">
        <v>47</v>
      </c>
      <c r="D699" s="25">
        <f t="shared" si="136"/>
        <v>9</v>
      </c>
      <c r="E699" s="54"/>
      <c r="F699" s="9"/>
      <c r="G699" s="9">
        <v>0</v>
      </c>
      <c r="H699" s="9">
        <v>2</v>
      </c>
      <c r="I699" s="9">
        <v>0</v>
      </c>
      <c r="J699" s="9">
        <v>0</v>
      </c>
      <c r="K699" s="9">
        <v>0</v>
      </c>
      <c r="L699" s="9">
        <v>0</v>
      </c>
      <c r="M699" s="9">
        <v>0</v>
      </c>
      <c r="N699" s="9">
        <v>0</v>
      </c>
      <c r="O699" s="9">
        <v>0</v>
      </c>
      <c r="P699" s="9">
        <v>0</v>
      </c>
      <c r="Q699" s="9">
        <v>4</v>
      </c>
      <c r="R699" s="9">
        <v>0</v>
      </c>
      <c r="S699" s="9">
        <v>0</v>
      </c>
      <c r="T699" s="9">
        <v>3</v>
      </c>
      <c r="U699" s="9">
        <v>0</v>
      </c>
      <c r="V699" s="9">
        <v>0</v>
      </c>
      <c r="W699" s="9">
        <v>0</v>
      </c>
      <c r="X699" s="9">
        <v>0</v>
      </c>
      <c r="Y699" s="9">
        <v>0</v>
      </c>
      <c r="Z699" s="9">
        <v>0</v>
      </c>
      <c r="AA699" s="9">
        <v>0</v>
      </c>
      <c r="AB699" s="9">
        <v>0</v>
      </c>
      <c r="AC699" s="9">
        <v>0</v>
      </c>
      <c r="AD699" s="53" t="e">
        <f>#REF!*D699</f>
        <v>#REF!</v>
      </c>
      <c r="AE699" s="53" t="e">
        <f>AD699-#REF!</f>
        <v>#REF!</v>
      </c>
      <c r="AF699" s="9"/>
      <c r="AG699" s="33" t="e">
        <f>#REF!-D699</f>
        <v>#REF!</v>
      </c>
      <c r="AH699" s="9"/>
      <c r="AI699" s="9"/>
      <c r="AJ699" s="9"/>
      <c r="AK699" s="9"/>
    </row>
    <row r="700" spans="1:37" s="12" customFormat="1" ht="22.8" outlineLevel="1" x14ac:dyDescent="0.2">
      <c r="A700" s="61" t="s">
        <v>3446</v>
      </c>
      <c r="B700" s="95" t="s">
        <v>3166</v>
      </c>
      <c r="C700" s="9" t="s">
        <v>48</v>
      </c>
      <c r="D700" s="25">
        <f t="shared" si="136"/>
        <v>524.6</v>
      </c>
      <c r="E700" s="54"/>
      <c r="F700" s="9"/>
      <c r="G700" s="9">
        <v>0</v>
      </c>
      <c r="H700" s="9">
        <f>30*4*1.1+3</f>
        <v>135</v>
      </c>
      <c r="I700" s="9">
        <v>0</v>
      </c>
      <c r="J700" s="9">
        <v>0</v>
      </c>
      <c r="K700" s="9">
        <v>0</v>
      </c>
      <c r="L700" s="9">
        <v>0</v>
      </c>
      <c r="M700" s="9">
        <v>0</v>
      </c>
      <c r="N700" s="9">
        <v>0</v>
      </c>
      <c r="O700" s="9">
        <v>0</v>
      </c>
      <c r="P700" s="9">
        <v>0</v>
      </c>
      <c r="Q700" s="9">
        <f>54*4*1.1+2.4</f>
        <v>240.00000000000003</v>
      </c>
      <c r="R700" s="9">
        <v>0</v>
      </c>
      <c r="S700" s="9">
        <v>0</v>
      </c>
      <c r="T700" s="9">
        <f>34*4*1.1</f>
        <v>149.60000000000002</v>
      </c>
      <c r="U700" s="9">
        <v>0</v>
      </c>
      <c r="V700" s="9">
        <v>0</v>
      </c>
      <c r="W700" s="9">
        <v>0</v>
      </c>
      <c r="X700" s="9">
        <v>0</v>
      </c>
      <c r="Y700" s="9">
        <v>0</v>
      </c>
      <c r="Z700" s="9">
        <v>0</v>
      </c>
      <c r="AA700" s="9">
        <v>0</v>
      </c>
      <c r="AB700" s="9">
        <v>0</v>
      </c>
      <c r="AC700" s="9">
        <v>0</v>
      </c>
      <c r="AD700" s="53" t="e">
        <f>#REF!*D700</f>
        <v>#REF!</v>
      </c>
      <c r="AE700" s="53" t="e">
        <f>AD700-#REF!</f>
        <v>#REF!</v>
      </c>
      <c r="AF700" s="9"/>
      <c r="AG700" s="33" t="e">
        <f>#REF!-D700</f>
        <v>#REF!</v>
      </c>
      <c r="AH700" s="9"/>
      <c r="AI700" s="9"/>
      <c r="AJ700" s="9"/>
      <c r="AK700" s="9"/>
    </row>
    <row r="701" spans="1:37" s="12" customFormat="1" ht="25.5" customHeight="1" outlineLevel="1" x14ac:dyDescent="0.2">
      <c r="A701" s="61" t="s">
        <v>3447</v>
      </c>
      <c r="B701" s="95" t="s">
        <v>413</v>
      </c>
      <c r="C701" s="9" t="s">
        <v>48</v>
      </c>
      <c r="D701" s="25">
        <f t="shared" si="136"/>
        <v>110</v>
      </c>
      <c r="E701" s="54"/>
      <c r="F701" s="9"/>
      <c r="G701" s="9">
        <v>0</v>
      </c>
      <c r="H701" s="9">
        <v>30</v>
      </c>
      <c r="I701" s="9">
        <v>0</v>
      </c>
      <c r="J701" s="9">
        <v>0</v>
      </c>
      <c r="K701" s="9">
        <v>0</v>
      </c>
      <c r="L701" s="9">
        <v>0</v>
      </c>
      <c r="M701" s="9">
        <v>0</v>
      </c>
      <c r="N701" s="9">
        <v>0</v>
      </c>
      <c r="O701" s="9">
        <v>0</v>
      </c>
      <c r="P701" s="9">
        <v>0</v>
      </c>
      <c r="Q701" s="9">
        <v>55</v>
      </c>
      <c r="R701" s="9">
        <v>0</v>
      </c>
      <c r="S701" s="9">
        <v>0</v>
      </c>
      <c r="T701" s="9">
        <v>25</v>
      </c>
      <c r="U701" s="9">
        <v>0</v>
      </c>
      <c r="V701" s="9">
        <v>0</v>
      </c>
      <c r="W701" s="9">
        <v>0</v>
      </c>
      <c r="X701" s="9">
        <v>0</v>
      </c>
      <c r="Y701" s="9">
        <v>0</v>
      </c>
      <c r="Z701" s="9">
        <v>0</v>
      </c>
      <c r="AA701" s="9">
        <v>0</v>
      </c>
      <c r="AB701" s="9">
        <v>0</v>
      </c>
      <c r="AC701" s="9">
        <v>0</v>
      </c>
      <c r="AD701" s="53" t="e">
        <f>#REF!*D701</f>
        <v>#REF!</v>
      </c>
      <c r="AE701" s="53" t="e">
        <f>AD701-#REF!</f>
        <v>#REF!</v>
      </c>
      <c r="AF701" s="9"/>
      <c r="AG701" s="33" t="e">
        <f>#REF!-D701</f>
        <v>#REF!</v>
      </c>
      <c r="AH701" s="9"/>
      <c r="AI701" s="9"/>
      <c r="AJ701" s="9"/>
      <c r="AK701" s="9"/>
    </row>
    <row r="702" spans="1:37" s="12" customFormat="1" ht="10.199999999999999" outlineLevel="1" x14ac:dyDescent="0.2">
      <c r="A702" s="61"/>
      <c r="B702" s="15"/>
      <c r="C702" s="9"/>
      <c r="D702" s="25"/>
      <c r="E702" s="54"/>
      <c r="F702" s="9"/>
      <c r="G702" s="9"/>
      <c r="H702" s="9"/>
      <c r="I702" s="9"/>
      <c r="J702" s="9"/>
      <c r="K702" s="9"/>
      <c r="L702" s="9"/>
      <c r="M702" s="9"/>
      <c r="N702" s="9"/>
      <c r="O702" s="9"/>
      <c r="P702" s="9"/>
      <c r="Q702" s="9"/>
      <c r="R702" s="9"/>
      <c r="S702" s="9"/>
      <c r="T702" s="9"/>
      <c r="U702" s="9"/>
      <c r="V702" s="9"/>
      <c r="W702" s="9"/>
      <c r="X702" s="9"/>
      <c r="Y702" s="9"/>
      <c r="Z702" s="9"/>
      <c r="AA702" s="9"/>
      <c r="AB702" s="9"/>
      <c r="AC702" s="9"/>
      <c r="AD702" s="53" t="e">
        <f>#REF!*D702</f>
        <v>#REF!</v>
      </c>
      <c r="AE702" s="53" t="e">
        <f>AD702-#REF!</f>
        <v>#REF!</v>
      </c>
      <c r="AF702" s="9"/>
      <c r="AG702" s="33" t="e">
        <f>#REF!-D702</f>
        <v>#REF!</v>
      </c>
      <c r="AH702" s="9"/>
      <c r="AI702" s="9"/>
      <c r="AJ702" s="9"/>
      <c r="AK702" s="9"/>
    </row>
    <row r="703" spans="1:37" s="12" customFormat="1" ht="12" x14ac:dyDescent="0.25">
      <c r="A703" s="18" t="s">
        <v>3448</v>
      </c>
      <c r="B703" s="35" t="s">
        <v>2975</v>
      </c>
      <c r="C703" s="18" t="s">
        <v>41</v>
      </c>
      <c r="D703" s="228" t="e">
        <f>#REF!/#REF!*100</f>
        <v>#REF!</v>
      </c>
      <c r="E703" s="54"/>
      <c r="F703" s="9"/>
      <c r="G703" s="9"/>
      <c r="H703" s="9"/>
      <c r="I703" s="9"/>
      <c r="J703" s="9"/>
      <c r="K703" s="9"/>
      <c r="L703" s="9"/>
      <c r="M703" s="9"/>
      <c r="N703" s="9"/>
      <c r="O703" s="9"/>
      <c r="P703" s="9"/>
      <c r="Q703" s="9"/>
      <c r="R703" s="9"/>
      <c r="S703" s="9"/>
      <c r="T703" s="9"/>
      <c r="U703" s="9"/>
      <c r="V703" s="9"/>
      <c r="W703" s="9"/>
      <c r="X703" s="9"/>
      <c r="Y703" s="9"/>
      <c r="Z703" s="9"/>
      <c r="AA703" s="9"/>
      <c r="AB703" s="9"/>
      <c r="AC703" s="9"/>
      <c r="AD703" s="53" t="e">
        <f>#REF!*D703</f>
        <v>#REF!</v>
      </c>
      <c r="AE703" s="53" t="e">
        <f>AD703-#REF!</f>
        <v>#REF!</v>
      </c>
      <c r="AF703" s="9"/>
      <c r="AG703" s="33" t="e">
        <f>#REF!-D703</f>
        <v>#REF!</v>
      </c>
      <c r="AH703" s="9"/>
      <c r="AI703" s="9"/>
      <c r="AJ703" s="9"/>
      <c r="AK703" s="9"/>
    </row>
    <row r="704" spans="1:37" s="12" customFormat="1" ht="52.2" hidden="1" outlineLevel="1" x14ac:dyDescent="0.2">
      <c r="A704" s="61" t="s">
        <v>3449</v>
      </c>
      <c r="B704" s="223" t="s">
        <v>3169</v>
      </c>
      <c r="C704" s="9" t="s">
        <v>47</v>
      </c>
      <c r="D704" s="25">
        <f t="shared" ref="D704:D713" si="138">SUM(G704:AC704)</f>
        <v>3</v>
      </c>
      <c r="E704" s="54"/>
      <c r="F704" s="9"/>
      <c r="G704" s="9">
        <v>3</v>
      </c>
      <c r="H704" s="9">
        <v>0</v>
      </c>
      <c r="I704" s="9">
        <v>0</v>
      </c>
      <c r="J704" s="9">
        <v>0</v>
      </c>
      <c r="K704" s="9">
        <v>0</v>
      </c>
      <c r="L704" s="9">
        <v>0</v>
      </c>
      <c r="M704" s="9">
        <v>0</v>
      </c>
      <c r="N704" s="9">
        <v>0</v>
      </c>
      <c r="O704" s="9">
        <v>0</v>
      </c>
      <c r="P704" s="9">
        <v>0</v>
      </c>
      <c r="Q704" s="9">
        <v>0</v>
      </c>
      <c r="R704" s="9">
        <v>0</v>
      </c>
      <c r="S704" s="9">
        <v>0</v>
      </c>
      <c r="T704" s="9">
        <v>0</v>
      </c>
      <c r="U704" s="9">
        <v>0</v>
      </c>
      <c r="V704" s="9">
        <v>0</v>
      </c>
      <c r="W704" s="9">
        <v>0</v>
      </c>
      <c r="X704" s="9">
        <v>0</v>
      </c>
      <c r="Y704" s="9">
        <v>0</v>
      </c>
      <c r="Z704" s="9">
        <v>0</v>
      </c>
      <c r="AA704" s="9">
        <v>0</v>
      </c>
      <c r="AB704" s="9">
        <v>0</v>
      </c>
      <c r="AC704" s="9">
        <v>0</v>
      </c>
      <c r="AD704" s="53" t="e">
        <f>#REF!*D704</f>
        <v>#REF!</v>
      </c>
      <c r="AE704" s="53" t="e">
        <f>AD704-#REF!</f>
        <v>#REF!</v>
      </c>
      <c r="AF704" s="9"/>
      <c r="AG704" s="33" t="e">
        <f>#REF!-D704</f>
        <v>#REF!</v>
      </c>
      <c r="AH704" s="9"/>
      <c r="AI704" s="9"/>
      <c r="AJ704" s="9"/>
      <c r="AK704" s="9"/>
    </row>
    <row r="705" spans="1:37" s="12" customFormat="1" ht="58.5" hidden="1" customHeight="1" outlineLevel="1" x14ac:dyDescent="0.2">
      <c r="A705" s="61" t="s">
        <v>3450</v>
      </c>
      <c r="B705" s="223" t="s">
        <v>3170</v>
      </c>
      <c r="C705" s="9" t="s">
        <v>47</v>
      </c>
      <c r="D705" s="25">
        <f t="shared" si="138"/>
        <v>5</v>
      </c>
      <c r="E705" s="54"/>
      <c r="F705" s="9"/>
      <c r="G705" s="9">
        <v>5</v>
      </c>
      <c r="H705" s="9">
        <v>0</v>
      </c>
      <c r="I705" s="9">
        <v>0</v>
      </c>
      <c r="J705" s="9">
        <v>0</v>
      </c>
      <c r="K705" s="9">
        <v>0</v>
      </c>
      <c r="L705" s="9">
        <v>0</v>
      </c>
      <c r="M705" s="9">
        <v>0</v>
      </c>
      <c r="N705" s="9">
        <v>0</v>
      </c>
      <c r="O705" s="9">
        <v>0</v>
      </c>
      <c r="P705" s="9">
        <v>0</v>
      </c>
      <c r="Q705" s="9">
        <v>0</v>
      </c>
      <c r="R705" s="9">
        <v>0</v>
      </c>
      <c r="S705" s="9">
        <v>0</v>
      </c>
      <c r="T705" s="9">
        <v>0</v>
      </c>
      <c r="U705" s="9">
        <v>0</v>
      </c>
      <c r="V705" s="9">
        <v>0</v>
      </c>
      <c r="W705" s="9">
        <v>0</v>
      </c>
      <c r="X705" s="9">
        <v>0</v>
      </c>
      <c r="Y705" s="9">
        <v>0</v>
      </c>
      <c r="Z705" s="9">
        <v>0</v>
      </c>
      <c r="AA705" s="9">
        <v>0</v>
      </c>
      <c r="AB705" s="9">
        <v>0</v>
      </c>
      <c r="AC705" s="9">
        <v>0</v>
      </c>
      <c r="AD705" s="53" t="e">
        <f>#REF!*D705</f>
        <v>#REF!</v>
      </c>
      <c r="AE705" s="53" t="e">
        <f>AD705-#REF!</f>
        <v>#REF!</v>
      </c>
      <c r="AF705" s="9"/>
      <c r="AG705" s="33" t="e">
        <f>#REF!-D705</f>
        <v>#REF!</v>
      </c>
      <c r="AH705" s="9"/>
      <c r="AI705" s="9"/>
      <c r="AJ705" s="9"/>
      <c r="AK705" s="9"/>
    </row>
    <row r="706" spans="1:37" s="12" customFormat="1" ht="51" hidden="1" outlineLevel="1" x14ac:dyDescent="0.2">
      <c r="A706" s="61" t="s">
        <v>3451</v>
      </c>
      <c r="B706" s="223" t="s">
        <v>3167</v>
      </c>
      <c r="C706" s="9" t="s">
        <v>47</v>
      </c>
      <c r="D706" s="25">
        <f t="shared" si="138"/>
        <v>1</v>
      </c>
      <c r="E706" s="54"/>
      <c r="F706" s="9"/>
      <c r="G706" s="9">
        <v>1</v>
      </c>
      <c r="H706" s="9">
        <v>0</v>
      </c>
      <c r="I706" s="9">
        <v>0</v>
      </c>
      <c r="J706" s="9">
        <v>0</v>
      </c>
      <c r="K706" s="9">
        <v>0</v>
      </c>
      <c r="L706" s="9">
        <v>0</v>
      </c>
      <c r="M706" s="9">
        <v>0</v>
      </c>
      <c r="N706" s="9">
        <v>0</v>
      </c>
      <c r="O706" s="9">
        <v>0</v>
      </c>
      <c r="P706" s="9">
        <v>0</v>
      </c>
      <c r="Q706" s="9">
        <v>0</v>
      </c>
      <c r="R706" s="9">
        <v>0</v>
      </c>
      <c r="S706" s="9">
        <v>0</v>
      </c>
      <c r="T706" s="9">
        <v>0</v>
      </c>
      <c r="U706" s="9">
        <v>0</v>
      </c>
      <c r="V706" s="9">
        <v>0</v>
      </c>
      <c r="W706" s="9">
        <v>0</v>
      </c>
      <c r="X706" s="9">
        <v>0</v>
      </c>
      <c r="Y706" s="9">
        <v>0</v>
      </c>
      <c r="Z706" s="9">
        <v>0</v>
      </c>
      <c r="AA706" s="9">
        <v>0</v>
      </c>
      <c r="AB706" s="9">
        <v>0</v>
      </c>
      <c r="AC706" s="9">
        <v>0</v>
      </c>
      <c r="AD706" s="53" t="e">
        <f>#REF!*D706</f>
        <v>#REF!</v>
      </c>
      <c r="AE706" s="53" t="e">
        <f>AD706-#REF!</f>
        <v>#REF!</v>
      </c>
      <c r="AF706" s="9"/>
      <c r="AG706" s="33" t="e">
        <f>#REF!-D706</f>
        <v>#REF!</v>
      </c>
      <c r="AH706" s="9"/>
      <c r="AI706" s="9"/>
      <c r="AJ706" s="9"/>
      <c r="AK706" s="9"/>
    </row>
    <row r="707" spans="1:37" s="12" customFormat="1" ht="20.399999999999999" hidden="1" outlineLevel="1" x14ac:dyDescent="0.2">
      <c r="A707" s="61" t="s">
        <v>3452</v>
      </c>
      <c r="B707" s="223" t="s">
        <v>2599</v>
      </c>
      <c r="C707" s="9" t="s">
        <v>47</v>
      </c>
      <c r="D707" s="25">
        <f t="shared" si="138"/>
        <v>5</v>
      </c>
      <c r="E707" s="54"/>
      <c r="F707" s="9"/>
      <c r="G707" s="9">
        <v>5</v>
      </c>
      <c r="H707" s="9">
        <v>0</v>
      </c>
      <c r="I707" s="9">
        <v>0</v>
      </c>
      <c r="J707" s="9">
        <v>0</v>
      </c>
      <c r="K707" s="9">
        <v>0</v>
      </c>
      <c r="L707" s="9">
        <v>0</v>
      </c>
      <c r="M707" s="9">
        <v>0</v>
      </c>
      <c r="N707" s="9">
        <v>0</v>
      </c>
      <c r="O707" s="9">
        <v>0</v>
      </c>
      <c r="P707" s="9">
        <v>0</v>
      </c>
      <c r="Q707" s="9">
        <v>0</v>
      </c>
      <c r="R707" s="9">
        <v>0</v>
      </c>
      <c r="S707" s="9">
        <v>0</v>
      </c>
      <c r="T707" s="9">
        <v>0</v>
      </c>
      <c r="U707" s="9">
        <v>0</v>
      </c>
      <c r="V707" s="9">
        <v>0</v>
      </c>
      <c r="W707" s="9">
        <v>0</v>
      </c>
      <c r="X707" s="9">
        <v>0</v>
      </c>
      <c r="Y707" s="9">
        <v>0</v>
      </c>
      <c r="Z707" s="9">
        <v>0</v>
      </c>
      <c r="AA707" s="9">
        <v>0</v>
      </c>
      <c r="AB707" s="9">
        <v>0</v>
      </c>
      <c r="AC707" s="9">
        <v>0</v>
      </c>
      <c r="AD707" s="53" t="e">
        <f>#REF!*D707</f>
        <v>#REF!</v>
      </c>
      <c r="AE707" s="53" t="e">
        <f>AD707-#REF!</f>
        <v>#REF!</v>
      </c>
      <c r="AF707" s="9"/>
      <c r="AG707" s="33" t="e">
        <f>#REF!-D707</f>
        <v>#REF!</v>
      </c>
      <c r="AH707" s="9"/>
      <c r="AI707" s="9"/>
      <c r="AJ707" s="9"/>
      <c r="AK707" s="9"/>
    </row>
    <row r="708" spans="1:37" s="12" customFormat="1" ht="10.199999999999999" hidden="1" outlineLevel="1" x14ac:dyDescent="0.2">
      <c r="A708" s="61" t="s">
        <v>3453</v>
      </c>
      <c r="B708" s="223" t="s">
        <v>2600</v>
      </c>
      <c r="C708" s="9" t="s">
        <v>2601</v>
      </c>
      <c r="D708" s="25">
        <f t="shared" si="138"/>
        <v>600</v>
      </c>
      <c r="E708" s="54"/>
      <c r="F708" s="9"/>
      <c r="G708" s="9">
        <v>600</v>
      </c>
      <c r="H708" s="9">
        <v>0</v>
      </c>
      <c r="I708" s="9">
        <v>0</v>
      </c>
      <c r="J708" s="9">
        <v>0</v>
      </c>
      <c r="K708" s="9">
        <v>0</v>
      </c>
      <c r="L708" s="9">
        <v>0</v>
      </c>
      <c r="M708" s="9">
        <v>0</v>
      </c>
      <c r="N708" s="9">
        <v>0</v>
      </c>
      <c r="O708" s="9">
        <v>0</v>
      </c>
      <c r="P708" s="9">
        <v>0</v>
      </c>
      <c r="Q708" s="9">
        <v>0</v>
      </c>
      <c r="R708" s="9">
        <v>0</v>
      </c>
      <c r="S708" s="9">
        <v>0</v>
      </c>
      <c r="T708" s="9">
        <v>0</v>
      </c>
      <c r="U708" s="9">
        <v>0</v>
      </c>
      <c r="V708" s="9">
        <v>0</v>
      </c>
      <c r="W708" s="9">
        <v>0</v>
      </c>
      <c r="X708" s="9">
        <v>0</v>
      </c>
      <c r="Y708" s="9">
        <v>0</v>
      </c>
      <c r="Z708" s="9">
        <v>0</v>
      </c>
      <c r="AA708" s="9">
        <v>0</v>
      </c>
      <c r="AB708" s="9">
        <v>0</v>
      </c>
      <c r="AC708" s="9">
        <v>0</v>
      </c>
      <c r="AD708" s="53" t="e">
        <f>#REF!*D708</f>
        <v>#REF!</v>
      </c>
      <c r="AE708" s="53" t="e">
        <f>AD708-#REF!</f>
        <v>#REF!</v>
      </c>
      <c r="AF708" s="9"/>
      <c r="AG708" s="33" t="e">
        <f>#REF!-D708</f>
        <v>#REF!</v>
      </c>
      <c r="AH708" s="9"/>
      <c r="AI708" s="9"/>
      <c r="AJ708" s="9"/>
      <c r="AK708" s="9"/>
    </row>
    <row r="709" spans="1:37" s="12" customFormat="1" ht="10.199999999999999" hidden="1" outlineLevel="1" x14ac:dyDescent="0.2">
      <c r="A709" s="61" t="s">
        <v>3454</v>
      </c>
      <c r="B709" s="223" t="s">
        <v>3122</v>
      </c>
      <c r="C709" s="9" t="s">
        <v>47</v>
      </c>
      <c r="D709" s="25">
        <f t="shared" si="138"/>
        <v>5</v>
      </c>
      <c r="E709" s="54"/>
      <c r="F709" s="9"/>
      <c r="G709" s="9">
        <v>5</v>
      </c>
      <c r="H709" s="9">
        <v>0</v>
      </c>
      <c r="I709" s="9">
        <v>0</v>
      </c>
      <c r="J709" s="9">
        <v>0</v>
      </c>
      <c r="K709" s="9">
        <v>0</v>
      </c>
      <c r="L709" s="9">
        <v>0</v>
      </c>
      <c r="M709" s="9">
        <v>0</v>
      </c>
      <c r="N709" s="9">
        <v>0</v>
      </c>
      <c r="O709" s="9">
        <v>0</v>
      </c>
      <c r="P709" s="9">
        <v>0</v>
      </c>
      <c r="Q709" s="9">
        <v>0</v>
      </c>
      <c r="R709" s="9">
        <v>0</v>
      </c>
      <c r="S709" s="9">
        <v>0</v>
      </c>
      <c r="T709" s="9">
        <v>0</v>
      </c>
      <c r="U709" s="9">
        <v>0</v>
      </c>
      <c r="V709" s="9">
        <v>0</v>
      </c>
      <c r="W709" s="9">
        <v>0</v>
      </c>
      <c r="X709" s="9">
        <v>0</v>
      </c>
      <c r="Y709" s="9">
        <v>0</v>
      </c>
      <c r="Z709" s="9">
        <v>0</v>
      </c>
      <c r="AA709" s="9">
        <v>0</v>
      </c>
      <c r="AB709" s="9">
        <v>0</v>
      </c>
      <c r="AC709" s="9">
        <v>0</v>
      </c>
      <c r="AD709" s="53" t="e">
        <f>#REF!*D709</f>
        <v>#REF!</v>
      </c>
      <c r="AE709" s="53" t="e">
        <f>AD709-#REF!</f>
        <v>#REF!</v>
      </c>
      <c r="AF709" s="9"/>
      <c r="AG709" s="33" t="e">
        <f>#REF!-D709</f>
        <v>#REF!</v>
      </c>
      <c r="AH709" s="9"/>
      <c r="AI709" s="9"/>
      <c r="AJ709" s="9"/>
      <c r="AK709" s="9"/>
    </row>
    <row r="710" spans="1:37" s="12" customFormat="1" ht="10.199999999999999" hidden="1" outlineLevel="1" x14ac:dyDescent="0.2">
      <c r="A710" s="61" t="s">
        <v>3455</v>
      </c>
      <c r="B710" s="223" t="s">
        <v>2602</v>
      </c>
      <c r="C710" s="9" t="s">
        <v>47</v>
      </c>
      <c r="D710" s="25">
        <f t="shared" si="138"/>
        <v>1</v>
      </c>
      <c r="E710" s="54"/>
      <c r="F710" s="9"/>
      <c r="G710" s="9">
        <v>1</v>
      </c>
      <c r="H710" s="9">
        <v>0</v>
      </c>
      <c r="I710" s="9">
        <v>0</v>
      </c>
      <c r="J710" s="9">
        <v>0</v>
      </c>
      <c r="K710" s="9">
        <v>0</v>
      </c>
      <c r="L710" s="9">
        <v>0</v>
      </c>
      <c r="M710" s="9">
        <v>0</v>
      </c>
      <c r="N710" s="9">
        <v>0</v>
      </c>
      <c r="O710" s="9">
        <v>0</v>
      </c>
      <c r="P710" s="9">
        <v>0</v>
      </c>
      <c r="Q710" s="9">
        <v>0</v>
      </c>
      <c r="R710" s="9">
        <v>0</v>
      </c>
      <c r="S710" s="9">
        <v>0</v>
      </c>
      <c r="T710" s="9">
        <v>0</v>
      </c>
      <c r="U710" s="9">
        <v>0</v>
      </c>
      <c r="V710" s="9">
        <v>0</v>
      </c>
      <c r="W710" s="9">
        <v>0</v>
      </c>
      <c r="X710" s="9">
        <v>0</v>
      </c>
      <c r="Y710" s="9">
        <v>0</v>
      </c>
      <c r="Z710" s="9">
        <v>0</v>
      </c>
      <c r="AA710" s="9">
        <v>0</v>
      </c>
      <c r="AB710" s="9">
        <v>0</v>
      </c>
      <c r="AC710" s="9">
        <v>0</v>
      </c>
      <c r="AD710" s="53" t="e">
        <f>#REF!*D710</f>
        <v>#REF!</v>
      </c>
      <c r="AE710" s="53" t="e">
        <f>AD710-#REF!</f>
        <v>#REF!</v>
      </c>
      <c r="AF710" s="9"/>
      <c r="AG710" s="33" t="e">
        <f>#REF!-D710</f>
        <v>#REF!</v>
      </c>
      <c r="AH710" s="9"/>
      <c r="AI710" s="9"/>
      <c r="AJ710" s="9"/>
      <c r="AK710" s="9"/>
    </row>
    <row r="711" spans="1:37" s="12" customFormat="1" ht="30.6" hidden="1" outlineLevel="1" x14ac:dyDescent="0.2">
      <c r="A711" s="61" t="s">
        <v>3456</v>
      </c>
      <c r="B711" s="223" t="s">
        <v>3181</v>
      </c>
      <c r="C711" s="9" t="s">
        <v>47</v>
      </c>
      <c r="D711" s="25">
        <f t="shared" si="138"/>
        <v>5</v>
      </c>
      <c r="E711" s="54"/>
      <c r="F711" s="9"/>
      <c r="G711" s="9">
        <v>5</v>
      </c>
      <c r="H711" s="9">
        <v>0</v>
      </c>
      <c r="I711" s="9">
        <v>0</v>
      </c>
      <c r="J711" s="9">
        <v>0</v>
      </c>
      <c r="K711" s="9">
        <v>0</v>
      </c>
      <c r="L711" s="9">
        <v>0</v>
      </c>
      <c r="M711" s="9">
        <v>0</v>
      </c>
      <c r="N711" s="9">
        <v>0</v>
      </c>
      <c r="O711" s="9">
        <v>0</v>
      </c>
      <c r="P711" s="9">
        <v>0</v>
      </c>
      <c r="Q711" s="9">
        <v>0</v>
      </c>
      <c r="R711" s="9">
        <v>0</v>
      </c>
      <c r="S711" s="9">
        <v>0</v>
      </c>
      <c r="T711" s="9">
        <v>0</v>
      </c>
      <c r="U711" s="9">
        <v>0</v>
      </c>
      <c r="V711" s="9">
        <v>0</v>
      </c>
      <c r="W711" s="9">
        <v>0</v>
      </c>
      <c r="X711" s="9">
        <v>0</v>
      </c>
      <c r="Y711" s="9">
        <v>0</v>
      </c>
      <c r="Z711" s="9">
        <v>0</v>
      </c>
      <c r="AA711" s="9">
        <v>0</v>
      </c>
      <c r="AB711" s="9">
        <v>0</v>
      </c>
      <c r="AC711" s="9">
        <v>0</v>
      </c>
      <c r="AD711" s="53" t="e">
        <f>#REF!*D711</f>
        <v>#REF!</v>
      </c>
      <c r="AE711" s="53" t="e">
        <f>AD711-#REF!</f>
        <v>#REF!</v>
      </c>
      <c r="AF711" s="9"/>
      <c r="AG711" s="33" t="e">
        <f>#REF!-D711</f>
        <v>#REF!</v>
      </c>
      <c r="AH711" s="9"/>
      <c r="AI711" s="9"/>
      <c r="AJ711" s="9"/>
      <c r="AK711" s="9"/>
    </row>
    <row r="712" spans="1:37" s="12" customFormat="1" ht="30.6" hidden="1" outlineLevel="1" x14ac:dyDescent="0.2">
      <c r="A712" s="61" t="s">
        <v>3457</v>
      </c>
      <c r="B712" s="223" t="s">
        <v>3180</v>
      </c>
      <c r="C712" s="9" t="s">
        <v>47</v>
      </c>
      <c r="D712" s="25">
        <f t="shared" si="138"/>
        <v>1</v>
      </c>
      <c r="E712" s="54"/>
      <c r="F712" s="9"/>
      <c r="G712" s="9">
        <v>1</v>
      </c>
      <c r="H712" s="9">
        <v>0</v>
      </c>
      <c r="I712" s="9">
        <v>0</v>
      </c>
      <c r="J712" s="9">
        <v>0</v>
      </c>
      <c r="K712" s="9">
        <v>0</v>
      </c>
      <c r="L712" s="9">
        <v>0</v>
      </c>
      <c r="M712" s="9">
        <v>0</v>
      </c>
      <c r="N712" s="9">
        <v>0</v>
      </c>
      <c r="O712" s="9">
        <v>0</v>
      </c>
      <c r="P712" s="9">
        <v>0</v>
      </c>
      <c r="Q712" s="9">
        <v>0</v>
      </c>
      <c r="R712" s="9">
        <v>0</v>
      </c>
      <c r="S712" s="9">
        <v>0</v>
      </c>
      <c r="T712" s="9">
        <v>0</v>
      </c>
      <c r="U712" s="9">
        <v>0</v>
      </c>
      <c r="V712" s="9">
        <v>0</v>
      </c>
      <c r="W712" s="9">
        <v>0</v>
      </c>
      <c r="X712" s="9">
        <v>0</v>
      </c>
      <c r="Y712" s="9">
        <v>0</v>
      </c>
      <c r="Z712" s="9">
        <v>0</v>
      </c>
      <c r="AA712" s="9">
        <v>0</v>
      </c>
      <c r="AB712" s="9">
        <v>0</v>
      </c>
      <c r="AC712" s="9">
        <v>0</v>
      </c>
      <c r="AD712" s="53" t="e">
        <f>#REF!*D712</f>
        <v>#REF!</v>
      </c>
      <c r="AE712" s="53" t="e">
        <f>AD712-#REF!</f>
        <v>#REF!</v>
      </c>
      <c r="AF712" s="9"/>
      <c r="AG712" s="33" t="e">
        <f>#REF!-D712</f>
        <v>#REF!</v>
      </c>
      <c r="AH712" s="9"/>
      <c r="AI712" s="9"/>
      <c r="AJ712" s="9"/>
      <c r="AK712" s="9"/>
    </row>
    <row r="713" spans="1:37" s="12" customFormat="1" ht="20.399999999999999" hidden="1" outlineLevel="1" x14ac:dyDescent="0.2">
      <c r="A713" s="61" t="s">
        <v>3458</v>
      </c>
      <c r="B713" s="223" t="s">
        <v>3123</v>
      </c>
      <c r="C713" s="9" t="s">
        <v>20</v>
      </c>
      <c r="D713" s="25">
        <f t="shared" si="138"/>
        <v>1</v>
      </c>
      <c r="E713" s="54"/>
      <c r="F713" s="9"/>
      <c r="G713" s="9">
        <v>1</v>
      </c>
      <c r="H713" s="9">
        <v>0</v>
      </c>
      <c r="I713" s="9">
        <v>0</v>
      </c>
      <c r="J713" s="9">
        <v>0</v>
      </c>
      <c r="K713" s="9">
        <v>0</v>
      </c>
      <c r="L713" s="9">
        <v>0</v>
      </c>
      <c r="M713" s="9">
        <v>0</v>
      </c>
      <c r="N713" s="9">
        <v>0</v>
      </c>
      <c r="O713" s="9">
        <v>0</v>
      </c>
      <c r="P713" s="9">
        <v>0</v>
      </c>
      <c r="Q713" s="9">
        <v>0</v>
      </c>
      <c r="R713" s="9">
        <v>0</v>
      </c>
      <c r="S713" s="9">
        <v>0</v>
      </c>
      <c r="T713" s="9">
        <v>0</v>
      </c>
      <c r="U713" s="9">
        <v>0</v>
      </c>
      <c r="V713" s="9">
        <v>0</v>
      </c>
      <c r="W713" s="9">
        <v>0</v>
      </c>
      <c r="X713" s="9">
        <v>0</v>
      </c>
      <c r="Y713" s="9">
        <v>0</v>
      </c>
      <c r="Z713" s="9">
        <v>0</v>
      </c>
      <c r="AA713" s="9">
        <v>0</v>
      </c>
      <c r="AB713" s="9">
        <v>0</v>
      </c>
      <c r="AC713" s="9">
        <v>0</v>
      </c>
      <c r="AD713" s="53" t="e">
        <f>#REF!*D713</f>
        <v>#REF!</v>
      </c>
      <c r="AE713" s="53" t="e">
        <f>AD713-#REF!</f>
        <v>#REF!</v>
      </c>
      <c r="AF713" s="9"/>
      <c r="AG713" s="33" t="e">
        <f>#REF!-D713</f>
        <v>#REF!</v>
      </c>
      <c r="AH713" s="9"/>
      <c r="AI713" s="9"/>
      <c r="AJ713" s="9"/>
      <c r="AK713" s="9"/>
    </row>
    <row r="714" spans="1:37" s="12" customFormat="1" ht="24.75" hidden="1" customHeight="1" outlineLevel="1" x14ac:dyDescent="0.2">
      <c r="A714" s="61" t="s">
        <v>3459</v>
      </c>
      <c r="B714" s="95" t="s">
        <v>2605</v>
      </c>
      <c r="C714" s="9" t="s">
        <v>48</v>
      </c>
      <c r="D714" s="25">
        <f>SUM(G714:AC714)*3</f>
        <v>27</v>
      </c>
      <c r="E714" s="54"/>
      <c r="F714" s="9"/>
      <c r="G714" s="9">
        <f>27/3</f>
        <v>9</v>
      </c>
      <c r="H714" s="9">
        <v>0</v>
      </c>
      <c r="I714" s="9">
        <v>0</v>
      </c>
      <c r="J714" s="9">
        <v>0</v>
      </c>
      <c r="K714" s="9">
        <v>0</v>
      </c>
      <c r="L714" s="9">
        <v>0</v>
      </c>
      <c r="M714" s="9">
        <v>0</v>
      </c>
      <c r="N714" s="9">
        <v>0</v>
      </c>
      <c r="O714" s="9">
        <v>0</v>
      </c>
      <c r="P714" s="9">
        <v>0</v>
      </c>
      <c r="Q714" s="9">
        <v>0</v>
      </c>
      <c r="R714" s="9">
        <v>0</v>
      </c>
      <c r="S714" s="9">
        <v>0</v>
      </c>
      <c r="T714" s="9">
        <v>0</v>
      </c>
      <c r="U714" s="9">
        <v>0</v>
      </c>
      <c r="V714" s="9">
        <v>0</v>
      </c>
      <c r="W714" s="9">
        <v>0</v>
      </c>
      <c r="X714" s="9">
        <v>0</v>
      </c>
      <c r="Y714" s="9">
        <v>0</v>
      </c>
      <c r="Z714" s="9">
        <v>0</v>
      </c>
      <c r="AA714" s="9">
        <v>0</v>
      </c>
      <c r="AB714" s="9">
        <v>0</v>
      </c>
      <c r="AC714" s="9">
        <v>0</v>
      </c>
      <c r="AD714" s="53" t="e">
        <f>#REF!*D714</f>
        <v>#REF!</v>
      </c>
      <c r="AE714" s="53" t="e">
        <f>AD714-#REF!</f>
        <v>#REF!</v>
      </c>
      <c r="AF714" s="9"/>
      <c r="AG714" s="33" t="e">
        <f>#REF!-D714</f>
        <v>#REF!</v>
      </c>
      <c r="AH714" s="9"/>
      <c r="AI714" s="9"/>
      <c r="AJ714" s="9"/>
      <c r="AK714" s="9"/>
    </row>
    <row r="715" spans="1:37" s="12" customFormat="1" ht="21.6" hidden="1" outlineLevel="1" x14ac:dyDescent="0.2">
      <c r="A715" s="61" t="s">
        <v>3460</v>
      </c>
      <c r="B715" s="95" t="s">
        <v>295</v>
      </c>
      <c r="C715" s="9" t="s">
        <v>47</v>
      </c>
      <c r="D715" s="25">
        <f t="shared" ref="D715:D758" si="139">SUM(G715:AC715)</f>
        <v>6</v>
      </c>
      <c r="E715" s="54"/>
      <c r="F715" s="9"/>
      <c r="G715" s="9">
        <v>6</v>
      </c>
      <c r="H715" s="9">
        <v>0</v>
      </c>
      <c r="I715" s="9">
        <v>0</v>
      </c>
      <c r="J715" s="9">
        <v>0</v>
      </c>
      <c r="K715" s="9">
        <v>0</v>
      </c>
      <c r="L715" s="9">
        <v>0</v>
      </c>
      <c r="M715" s="9">
        <v>0</v>
      </c>
      <c r="N715" s="9">
        <v>0</v>
      </c>
      <c r="O715" s="9">
        <v>0</v>
      </c>
      <c r="P715" s="9">
        <v>0</v>
      </c>
      <c r="Q715" s="9">
        <v>0</v>
      </c>
      <c r="R715" s="9">
        <v>0</v>
      </c>
      <c r="S715" s="9">
        <v>0</v>
      </c>
      <c r="T715" s="9">
        <v>0</v>
      </c>
      <c r="U715" s="9">
        <v>0</v>
      </c>
      <c r="V715" s="9">
        <v>0</v>
      </c>
      <c r="W715" s="9">
        <v>0</v>
      </c>
      <c r="X715" s="9">
        <v>0</v>
      </c>
      <c r="Y715" s="9">
        <v>0</v>
      </c>
      <c r="Z715" s="9">
        <v>0</v>
      </c>
      <c r="AA715" s="9">
        <v>0</v>
      </c>
      <c r="AB715" s="9">
        <v>0</v>
      </c>
      <c r="AC715" s="9">
        <v>0</v>
      </c>
      <c r="AD715" s="53" t="e">
        <f>#REF!*D715</f>
        <v>#REF!</v>
      </c>
      <c r="AE715" s="53" t="e">
        <f>AD715-#REF!</f>
        <v>#REF!</v>
      </c>
      <c r="AF715" s="9"/>
      <c r="AG715" s="33" t="e">
        <f>#REF!-D715</f>
        <v>#REF!</v>
      </c>
      <c r="AH715" s="9"/>
      <c r="AI715" s="9"/>
      <c r="AJ715" s="9"/>
      <c r="AK715" s="9"/>
    </row>
    <row r="716" spans="1:37" s="12" customFormat="1" ht="20.399999999999999" hidden="1" outlineLevel="1" x14ac:dyDescent="0.2">
      <c r="A716" s="61" t="s">
        <v>3461</v>
      </c>
      <c r="B716" s="95" t="s">
        <v>294</v>
      </c>
      <c r="C716" s="9" t="s">
        <v>47</v>
      </c>
      <c r="D716" s="25">
        <f t="shared" si="139"/>
        <v>12</v>
      </c>
      <c r="E716" s="54"/>
      <c r="F716" s="9"/>
      <c r="G716" s="9">
        <v>12</v>
      </c>
      <c r="H716" s="9">
        <v>0</v>
      </c>
      <c r="I716" s="9">
        <v>0</v>
      </c>
      <c r="J716" s="9">
        <v>0</v>
      </c>
      <c r="K716" s="9">
        <v>0</v>
      </c>
      <c r="L716" s="9">
        <v>0</v>
      </c>
      <c r="M716" s="9">
        <v>0</v>
      </c>
      <c r="N716" s="9">
        <v>0</v>
      </c>
      <c r="O716" s="9">
        <v>0</v>
      </c>
      <c r="P716" s="9">
        <v>0</v>
      </c>
      <c r="Q716" s="9">
        <v>0</v>
      </c>
      <c r="R716" s="9">
        <v>0</v>
      </c>
      <c r="S716" s="9">
        <v>0</v>
      </c>
      <c r="T716" s="9">
        <v>0</v>
      </c>
      <c r="U716" s="9">
        <v>0</v>
      </c>
      <c r="V716" s="9">
        <v>0</v>
      </c>
      <c r="W716" s="9">
        <v>0</v>
      </c>
      <c r="X716" s="9">
        <v>0</v>
      </c>
      <c r="Y716" s="9">
        <v>0</v>
      </c>
      <c r="Z716" s="9">
        <v>0</v>
      </c>
      <c r="AA716" s="9">
        <v>0</v>
      </c>
      <c r="AB716" s="9">
        <v>0</v>
      </c>
      <c r="AC716" s="9">
        <v>0</v>
      </c>
      <c r="AD716" s="53" t="e">
        <f>#REF!*D716</f>
        <v>#REF!</v>
      </c>
      <c r="AE716" s="53" t="e">
        <f>AD716-#REF!</f>
        <v>#REF!</v>
      </c>
      <c r="AF716" s="9"/>
      <c r="AG716" s="33" t="e">
        <f>#REF!-D716</f>
        <v>#REF!</v>
      </c>
      <c r="AH716" s="9"/>
      <c r="AI716" s="9"/>
      <c r="AJ716" s="9"/>
      <c r="AK716" s="9"/>
    </row>
    <row r="717" spans="1:37" s="17" customFormat="1" ht="30.6" hidden="1" outlineLevel="1" x14ac:dyDescent="0.2">
      <c r="A717" s="61" t="s">
        <v>3462</v>
      </c>
      <c r="B717" s="95" t="s">
        <v>1031</v>
      </c>
      <c r="C717" s="9" t="s">
        <v>48</v>
      </c>
      <c r="D717" s="25">
        <f t="shared" si="139"/>
        <v>24</v>
      </c>
      <c r="E717" s="54"/>
      <c r="F717" s="9"/>
      <c r="G717" s="33">
        <v>24</v>
      </c>
      <c r="H717" s="33">
        <v>0</v>
      </c>
      <c r="I717" s="9">
        <v>0</v>
      </c>
      <c r="J717" s="9">
        <v>0</v>
      </c>
      <c r="K717" s="9">
        <v>0</v>
      </c>
      <c r="L717" s="9">
        <v>0</v>
      </c>
      <c r="M717" s="9">
        <v>0</v>
      </c>
      <c r="N717" s="9">
        <v>0</v>
      </c>
      <c r="O717" s="9">
        <v>0</v>
      </c>
      <c r="P717" s="9">
        <v>0</v>
      </c>
      <c r="Q717" s="9">
        <v>0</v>
      </c>
      <c r="R717" s="9">
        <v>0</v>
      </c>
      <c r="S717" s="9">
        <v>0</v>
      </c>
      <c r="T717" s="9">
        <v>0</v>
      </c>
      <c r="U717" s="33">
        <v>0</v>
      </c>
      <c r="V717" s="9">
        <v>0</v>
      </c>
      <c r="W717" s="9">
        <v>0</v>
      </c>
      <c r="X717" s="9">
        <v>0</v>
      </c>
      <c r="Y717" s="9">
        <v>0</v>
      </c>
      <c r="Z717" s="9">
        <v>0</v>
      </c>
      <c r="AA717" s="9">
        <v>0</v>
      </c>
      <c r="AB717" s="9">
        <v>0</v>
      </c>
      <c r="AC717" s="9">
        <v>0</v>
      </c>
      <c r="AD717" s="53" t="e">
        <f>#REF!*D717</f>
        <v>#REF!</v>
      </c>
      <c r="AE717" s="53" t="e">
        <f>AD717-#REF!</f>
        <v>#REF!</v>
      </c>
      <c r="AF717" s="8"/>
      <c r="AG717" s="33" t="e">
        <f>#REF!-D717</f>
        <v>#REF!</v>
      </c>
      <c r="AH717" s="8"/>
      <c r="AI717" s="8"/>
      <c r="AJ717" s="8"/>
      <c r="AK717" s="8"/>
    </row>
    <row r="718" spans="1:37" s="17" customFormat="1" ht="35.25" hidden="1" customHeight="1" outlineLevel="1" x14ac:dyDescent="0.2">
      <c r="A718" s="61" t="s">
        <v>3463</v>
      </c>
      <c r="B718" s="95" t="s">
        <v>393</v>
      </c>
      <c r="C718" s="9" t="s">
        <v>48</v>
      </c>
      <c r="D718" s="25">
        <f t="shared" si="139"/>
        <v>24</v>
      </c>
      <c r="E718" s="54"/>
      <c r="F718" s="9"/>
      <c r="G718" s="88">
        <f t="shared" ref="G718:P719" si="140">G717</f>
        <v>24</v>
      </c>
      <c r="H718" s="88">
        <f t="shared" si="140"/>
        <v>0</v>
      </c>
      <c r="I718" s="88">
        <f t="shared" si="140"/>
        <v>0</v>
      </c>
      <c r="J718" s="88">
        <f t="shared" si="140"/>
        <v>0</v>
      </c>
      <c r="K718" s="88">
        <f t="shared" si="140"/>
        <v>0</v>
      </c>
      <c r="L718" s="88">
        <f t="shared" si="140"/>
        <v>0</v>
      </c>
      <c r="M718" s="88">
        <f t="shared" si="140"/>
        <v>0</v>
      </c>
      <c r="N718" s="88">
        <f t="shared" si="140"/>
        <v>0</v>
      </c>
      <c r="O718" s="88">
        <f t="shared" si="140"/>
        <v>0</v>
      </c>
      <c r="P718" s="88">
        <f t="shared" si="140"/>
        <v>0</v>
      </c>
      <c r="Q718" s="88">
        <f t="shared" ref="Q718:Z719" si="141">Q717</f>
        <v>0</v>
      </c>
      <c r="R718" s="88">
        <f t="shared" si="141"/>
        <v>0</v>
      </c>
      <c r="S718" s="88">
        <f t="shared" si="141"/>
        <v>0</v>
      </c>
      <c r="T718" s="88">
        <f t="shared" si="141"/>
        <v>0</v>
      </c>
      <c r="U718" s="88">
        <f t="shared" si="141"/>
        <v>0</v>
      </c>
      <c r="V718" s="88">
        <f t="shared" si="141"/>
        <v>0</v>
      </c>
      <c r="W718" s="88">
        <f t="shared" si="141"/>
        <v>0</v>
      </c>
      <c r="X718" s="88">
        <f t="shared" si="141"/>
        <v>0</v>
      </c>
      <c r="Y718" s="88">
        <f t="shared" si="141"/>
        <v>0</v>
      </c>
      <c r="Z718" s="88">
        <f t="shared" si="141"/>
        <v>0</v>
      </c>
      <c r="AA718" s="88">
        <f t="shared" ref="AA718:AC719" si="142">AA717</f>
        <v>0</v>
      </c>
      <c r="AB718" s="88">
        <f t="shared" si="142"/>
        <v>0</v>
      </c>
      <c r="AC718" s="88">
        <f t="shared" si="142"/>
        <v>0</v>
      </c>
      <c r="AD718" s="53" t="e">
        <f>#REF!*D718</f>
        <v>#REF!</v>
      </c>
      <c r="AE718" s="53" t="e">
        <f>AD718-#REF!</f>
        <v>#REF!</v>
      </c>
      <c r="AF718" s="8"/>
      <c r="AG718" s="33" t="e">
        <f>#REF!-D718</f>
        <v>#REF!</v>
      </c>
      <c r="AH718" s="8"/>
      <c r="AI718" s="8"/>
      <c r="AJ718" s="8"/>
      <c r="AK718" s="8"/>
    </row>
    <row r="719" spans="1:37" s="17" customFormat="1" ht="37.5" hidden="1" customHeight="1" outlineLevel="1" x14ac:dyDescent="0.2">
      <c r="A719" s="61" t="s">
        <v>3464</v>
      </c>
      <c r="B719" s="95" t="s">
        <v>2980</v>
      </c>
      <c r="C719" s="9" t="s">
        <v>48</v>
      </c>
      <c r="D719" s="25">
        <f t="shared" si="139"/>
        <v>24</v>
      </c>
      <c r="E719" s="54"/>
      <c r="F719" s="9"/>
      <c r="G719" s="88">
        <f t="shared" si="140"/>
        <v>24</v>
      </c>
      <c r="H719" s="88">
        <f t="shared" si="140"/>
        <v>0</v>
      </c>
      <c r="I719" s="88">
        <f t="shared" si="140"/>
        <v>0</v>
      </c>
      <c r="J719" s="88">
        <f t="shared" si="140"/>
        <v>0</v>
      </c>
      <c r="K719" s="88">
        <f t="shared" si="140"/>
        <v>0</v>
      </c>
      <c r="L719" s="88">
        <f t="shared" si="140"/>
        <v>0</v>
      </c>
      <c r="M719" s="88">
        <f t="shared" si="140"/>
        <v>0</v>
      </c>
      <c r="N719" s="88">
        <f t="shared" si="140"/>
        <v>0</v>
      </c>
      <c r="O719" s="88">
        <f t="shared" si="140"/>
        <v>0</v>
      </c>
      <c r="P719" s="88">
        <f t="shared" si="140"/>
        <v>0</v>
      </c>
      <c r="Q719" s="88">
        <f t="shared" si="141"/>
        <v>0</v>
      </c>
      <c r="R719" s="88">
        <f t="shared" si="141"/>
        <v>0</v>
      </c>
      <c r="S719" s="88">
        <f t="shared" si="141"/>
        <v>0</v>
      </c>
      <c r="T719" s="88">
        <f t="shared" si="141"/>
        <v>0</v>
      </c>
      <c r="U719" s="88">
        <f t="shared" si="141"/>
        <v>0</v>
      </c>
      <c r="V719" s="88">
        <f t="shared" si="141"/>
        <v>0</v>
      </c>
      <c r="W719" s="88">
        <f t="shared" si="141"/>
        <v>0</v>
      </c>
      <c r="X719" s="88">
        <f t="shared" si="141"/>
        <v>0</v>
      </c>
      <c r="Y719" s="88">
        <f t="shared" si="141"/>
        <v>0</v>
      </c>
      <c r="Z719" s="88">
        <f t="shared" si="141"/>
        <v>0</v>
      </c>
      <c r="AA719" s="88">
        <f t="shared" si="142"/>
        <v>0</v>
      </c>
      <c r="AB719" s="88">
        <f t="shared" si="142"/>
        <v>0</v>
      </c>
      <c r="AC719" s="88">
        <f t="shared" si="142"/>
        <v>0</v>
      </c>
      <c r="AD719" s="53" t="e">
        <f>#REF!*D719</f>
        <v>#REF!</v>
      </c>
      <c r="AE719" s="53" t="e">
        <f>AD719-#REF!</f>
        <v>#REF!</v>
      </c>
      <c r="AF719" s="8"/>
      <c r="AG719" s="33" t="e">
        <f>#REF!-D719</f>
        <v>#REF!</v>
      </c>
      <c r="AH719" s="8"/>
      <c r="AI719" s="8"/>
      <c r="AJ719" s="8"/>
      <c r="AK719" s="8"/>
    </row>
    <row r="720" spans="1:37" s="12" customFormat="1" ht="30.6" hidden="1" outlineLevel="1" x14ac:dyDescent="0.2">
      <c r="A720" s="61" t="s">
        <v>3465</v>
      </c>
      <c r="B720" s="95" t="s">
        <v>2981</v>
      </c>
      <c r="C720" s="9" t="s">
        <v>47</v>
      </c>
      <c r="D720" s="25">
        <f t="shared" si="139"/>
        <v>3</v>
      </c>
      <c r="E720" s="54"/>
      <c r="F720" s="9"/>
      <c r="G720" s="9">
        <v>3</v>
      </c>
      <c r="H720" s="9">
        <v>0</v>
      </c>
      <c r="I720" s="9">
        <v>0</v>
      </c>
      <c r="J720" s="9">
        <v>0</v>
      </c>
      <c r="K720" s="9">
        <v>0</v>
      </c>
      <c r="L720" s="9">
        <v>0</v>
      </c>
      <c r="M720" s="9">
        <v>0</v>
      </c>
      <c r="N720" s="9">
        <v>0</v>
      </c>
      <c r="O720" s="9">
        <v>0</v>
      </c>
      <c r="P720" s="9">
        <v>0</v>
      </c>
      <c r="Q720" s="9">
        <v>0</v>
      </c>
      <c r="R720" s="9">
        <v>0</v>
      </c>
      <c r="S720" s="9">
        <v>0</v>
      </c>
      <c r="T720" s="9">
        <v>0</v>
      </c>
      <c r="U720" s="9">
        <v>0</v>
      </c>
      <c r="V720" s="9">
        <v>0</v>
      </c>
      <c r="W720" s="9">
        <v>0</v>
      </c>
      <c r="X720" s="9">
        <v>0</v>
      </c>
      <c r="Y720" s="9">
        <v>0</v>
      </c>
      <c r="Z720" s="9">
        <v>0</v>
      </c>
      <c r="AA720" s="9">
        <v>0</v>
      </c>
      <c r="AB720" s="9">
        <v>0</v>
      </c>
      <c r="AC720" s="9">
        <v>0</v>
      </c>
      <c r="AD720" s="53" t="e">
        <f>#REF!*D720</f>
        <v>#REF!</v>
      </c>
      <c r="AE720" s="53" t="e">
        <f>AD720-#REF!</f>
        <v>#REF!</v>
      </c>
      <c r="AF720" s="9"/>
      <c r="AG720" s="33" t="e">
        <f>#REF!-D720</f>
        <v>#REF!</v>
      </c>
      <c r="AH720" s="9"/>
      <c r="AI720" s="9"/>
      <c r="AJ720" s="9"/>
      <c r="AK720" s="9"/>
    </row>
    <row r="721" spans="1:37" s="17" customFormat="1" ht="30.6" hidden="1" outlineLevel="1" x14ac:dyDescent="0.2">
      <c r="A721" s="61" t="s">
        <v>3466</v>
      </c>
      <c r="B721" s="95" t="s">
        <v>399</v>
      </c>
      <c r="C721" s="8" t="s">
        <v>47</v>
      </c>
      <c r="D721" s="25">
        <f t="shared" si="139"/>
        <v>1</v>
      </c>
      <c r="E721" s="54"/>
      <c r="F721" s="9"/>
      <c r="G721" s="33">
        <v>1</v>
      </c>
      <c r="H721" s="33">
        <v>0</v>
      </c>
      <c r="I721" s="9">
        <v>0</v>
      </c>
      <c r="J721" s="9">
        <v>0</v>
      </c>
      <c r="K721" s="9">
        <v>0</v>
      </c>
      <c r="L721" s="9">
        <v>0</v>
      </c>
      <c r="M721" s="9">
        <v>0</v>
      </c>
      <c r="N721" s="9">
        <v>0</v>
      </c>
      <c r="O721" s="9">
        <v>0</v>
      </c>
      <c r="P721" s="9">
        <v>0</v>
      </c>
      <c r="Q721" s="9">
        <v>0</v>
      </c>
      <c r="R721" s="9">
        <v>0</v>
      </c>
      <c r="S721" s="9">
        <v>0</v>
      </c>
      <c r="T721" s="9">
        <v>0</v>
      </c>
      <c r="U721" s="33">
        <v>0</v>
      </c>
      <c r="V721" s="9">
        <v>0</v>
      </c>
      <c r="W721" s="9">
        <v>0</v>
      </c>
      <c r="X721" s="9">
        <v>0</v>
      </c>
      <c r="Y721" s="9">
        <v>0</v>
      </c>
      <c r="Z721" s="9">
        <v>0</v>
      </c>
      <c r="AA721" s="9">
        <v>0</v>
      </c>
      <c r="AB721" s="9">
        <v>0</v>
      </c>
      <c r="AC721" s="9">
        <v>0</v>
      </c>
      <c r="AD721" s="53" t="e">
        <f>#REF!*D721</f>
        <v>#REF!</v>
      </c>
      <c r="AE721" s="53" t="e">
        <f>AD721-#REF!</f>
        <v>#REF!</v>
      </c>
      <c r="AF721" s="8"/>
      <c r="AG721" s="33" t="e">
        <f>#REF!-D721</f>
        <v>#REF!</v>
      </c>
      <c r="AH721" s="8"/>
      <c r="AI721" s="8"/>
      <c r="AJ721" s="8"/>
      <c r="AK721" s="8"/>
    </row>
    <row r="722" spans="1:37" s="12" customFormat="1" ht="30.6" hidden="1" outlineLevel="1" x14ac:dyDescent="0.2">
      <c r="A722" s="61" t="s">
        <v>3467</v>
      </c>
      <c r="B722" s="95" t="s">
        <v>2979</v>
      </c>
      <c r="C722" s="9" t="s">
        <v>47</v>
      </c>
      <c r="D722" s="25">
        <f t="shared" si="139"/>
        <v>3</v>
      </c>
      <c r="E722" s="54"/>
      <c r="F722" s="9"/>
      <c r="G722" s="9">
        <v>3</v>
      </c>
      <c r="H722" s="9">
        <v>0</v>
      </c>
      <c r="I722" s="9">
        <v>0</v>
      </c>
      <c r="J722" s="9">
        <v>0</v>
      </c>
      <c r="K722" s="9">
        <v>0</v>
      </c>
      <c r="L722" s="9">
        <v>0</v>
      </c>
      <c r="M722" s="9">
        <v>0</v>
      </c>
      <c r="N722" s="9">
        <v>0</v>
      </c>
      <c r="O722" s="9">
        <v>0</v>
      </c>
      <c r="P722" s="9">
        <v>0</v>
      </c>
      <c r="Q722" s="9">
        <v>0</v>
      </c>
      <c r="R722" s="9">
        <v>0</v>
      </c>
      <c r="S722" s="9">
        <v>0</v>
      </c>
      <c r="T722" s="9">
        <v>0</v>
      </c>
      <c r="U722" s="9">
        <v>0</v>
      </c>
      <c r="V722" s="9">
        <v>0</v>
      </c>
      <c r="W722" s="9">
        <v>0</v>
      </c>
      <c r="X722" s="9">
        <v>0</v>
      </c>
      <c r="Y722" s="9">
        <v>0</v>
      </c>
      <c r="Z722" s="9">
        <v>0</v>
      </c>
      <c r="AA722" s="9">
        <v>0</v>
      </c>
      <c r="AB722" s="9">
        <v>0</v>
      </c>
      <c r="AC722" s="9">
        <v>0</v>
      </c>
      <c r="AD722" s="53" t="e">
        <f>#REF!*D722</f>
        <v>#REF!</v>
      </c>
      <c r="AE722" s="53" t="e">
        <f>AD722-#REF!</f>
        <v>#REF!</v>
      </c>
      <c r="AF722" s="9"/>
      <c r="AG722" s="33" t="e">
        <f>#REF!-D722</f>
        <v>#REF!</v>
      </c>
      <c r="AH722" s="9"/>
      <c r="AI722" s="9"/>
      <c r="AJ722" s="9"/>
      <c r="AK722" s="9"/>
    </row>
    <row r="723" spans="1:37" s="12" customFormat="1" ht="30.6" hidden="1" outlineLevel="1" x14ac:dyDescent="0.2">
      <c r="A723" s="61" t="s">
        <v>3468</v>
      </c>
      <c r="B723" s="95" t="s">
        <v>2982</v>
      </c>
      <c r="C723" s="9" t="s">
        <v>47</v>
      </c>
      <c r="D723" s="25">
        <f t="shared" si="139"/>
        <v>1</v>
      </c>
      <c r="E723" s="54"/>
      <c r="F723" s="9"/>
      <c r="G723" s="9">
        <v>1</v>
      </c>
      <c r="H723" s="9">
        <v>0</v>
      </c>
      <c r="I723" s="9">
        <v>0</v>
      </c>
      <c r="J723" s="9">
        <v>0</v>
      </c>
      <c r="K723" s="9">
        <v>0</v>
      </c>
      <c r="L723" s="9">
        <v>0</v>
      </c>
      <c r="M723" s="9">
        <v>0</v>
      </c>
      <c r="N723" s="9">
        <v>0</v>
      </c>
      <c r="O723" s="9">
        <v>0</v>
      </c>
      <c r="P723" s="9">
        <v>0</v>
      </c>
      <c r="Q723" s="9">
        <v>0</v>
      </c>
      <c r="R723" s="9">
        <v>0</v>
      </c>
      <c r="S723" s="9">
        <v>0</v>
      </c>
      <c r="T723" s="9">
        <v>0</v>
      </c>
      <c r="U723" s="9">
        <v>0</v>
      </c>
      <c r="V723" s="9">
        <v>0</v>
      </c>
      <c r="W723" s="9">
        <v>0</v>
      </c>
      <c r="X723" s="9">
        <v>0</v>
      </c>
      <c r="Y723" s="9">
        <v>0</v>
      </c>
      <c r="Z723" s="9">
        <v>0</v>
      </c>
      <c r="AA723" s="9">
        <v>0</v>
      </c>
      <c r="AB723" s="9">
        <v>0</v>
      </c>
      <c r="AC723" s="9">
        <v>0</v>
      </c>
      <c r="AD723" s="53" t="e">
        <f>#REF!*D723</f>
        <v>#REF!</v>
      </c>
      <c r="AE723" s="53" t="e">
        <f>AD723-#REF!</f>
        <v>#REF!</v>
      </c>
      <c r="AF723" s="9"/>
      <c r="AG723" s="33" t="e">
        <f>#REF!-D723</f>
        <v>#REF!</v>
      </c>
      <c r="AH723" s="9"/>
      <c r="AI723" s="9"/>
      <c r="AJ723" s="9"/>
      <c r="AK723" s="9"/>
    </row>
    <row r="724" spans="1:37" s="17" customFormat="1" ht="30.6" hidden="1" outlineLevel="1" x14ac:dyDescent="0.2">
      <c r="A724" s="61" t="s">
        <v>3469</v>
      </c>
      <c r="B724" s="95" t="s">
        <v>1066</v>
      </c>
      <c r="C724" s="9" t="s">
        <v>48</v>
      </c>
      <c r="D724" s="25">
        <f t="shared" si="139"/>
        <v>15</v>
      </c>
      <c r="E724" s="54"/>
      <c r="F724" s="9"/>
      <c r="G724" s="33">
        <v>15</v>
      </c>
      <c r="H724" s="33">
        <v>0</v>
      </c>
      <c r="I724" s="9">
        <v>0</v>
      </c>
      <c r="J724" s="9">
        <v>0</v>
      </c>
      <c r="K724" s="9">
        <v>0</v>
      </c>
      <c r="L724" s="9">
        <v>0</v>
      </c>
      <c r="M724" s="9">
        <v>0</v>
      </c>
      <c r="N724" s="9">
        <v>0</v>
      </c>
      <c r="O724" s="9">
        <v>0</v>
      </c>
      <c r="P724" s="9">
        <v>0</v>
      </c>
      <c r="Q724" s="9">
        <v>0</v>
      </c>
      <c r="R724" s="9">
        <v>0</v>
      </c>
      <c r="S724" s="9">
        <v>0</v>
      </c>
      <c r="T724" s="9">
        <v>0</v>
      </c>
      <c r="U724" s="33">
        <v>0</v>
      </c>
      <c r="V724" s="9">
        <v>0</v>
      </c>
      <c r="W724" s="9">
        <v>0</v>
      </c>
      <c r="X724" s="9">
        <v>0</v>
      </c>
      <c r="Y724" s="9">
        <v>0</v>
      </c>
      <c r="Z724" s="9">
        <v>0</v>
      </c>
      <c r="AA724" s="9">
        <v>0</v>
      </c>
      <c r="AB724" s="9">
        <v>0</v>
      </c>
      <c r="AC724" s="9">
        <v>0</v>
      </c>
      <c r="AD724" s="53" t="e">
        <f>#REF!*D724</f>
        <v>#REF!</v>
      </c>
      <c r="AE724" s="53" t="e">
        <f>AD724-#REF!</f>
        <v>#REF!</v>
      </c>
      <c r="AF724" s="8"/>
      <c r="AG724" s="33" t="e">
        <f>#REF!-D724</f>
        <v>#REF!</v>
      </c>
      <c r="AH724" s="8"/>
      <c r="AI724" s="8"/>
      <c r="AJ724" s="8"/>
      <c r="AK724" s="8"/>
    </row>
    <row r="725" spans="1:37" s="17" customFormat="1" ht="35.25" hidden="1" customHeight="1" outlineLevel="1" x14ac:dyDescent="0.2">
      <c r="A725" s="61" t="s">
        <v>3470</v>
      </c>
      <c r="B725" s="95" t="s">
        <v>394</v>
      </c>
      <c r="C725" s="9" t="s">
        <v>48</v>
      </c>
      <c r="D725" s="25">
        <f t="shared" si="139"/>
        <v>15</v>
      </c>
      <c r="E725" s="54"/>
      <c r="F725" s="9"/>
      <c r="G725" s="88">
        <f t="shared" ref="G725:AC725" si="143">G724</f>
        <v>15</v>
      </c>
      <c r="H725" s="88">
        <f t="shared" si="143"/>
        <v>0</v>
      </c>
      <c r="I725" s="88">
        <f t="shared" si="143"/>
        <v>0</v>
      </c>
      <c r="J725" s="88">
        <f t="shared" si="143"/>
        <v>0</v>
      </c>
      <c r="K725" s="88">
        <f t="shared" si="143"/>
        <v>0</v>
      </c>
      <c r="L725" s="88">
        <f t="shared" si="143"/>
        <v>0</v>
      </c>
      <c r="M725" s="88">
        <f t="shared" si="143"/>
        <v>0</v>
      </c>
      <c r="N725" s="88">
        <f t="shared" si="143"/>
        <v>0</v>
      </c>
      <c r="O725" s="88">
        <f t="shared" si="143"/>
        <v>0</v>
      </c>
      <c r="P725" s="88">
        <f t="shared" si="143"/>
        <v>0</v>
      </c>
      <c r="Q725" s="88">
        <f t="shared" si="143"/>
        <v>0</v>
      </c>
      <c r="R725" s="88">
        <f t="shared" si="143"/>
        <v>0</v>
      </c>
      <c r="S725" s="88">
        <f t="shared" si="143"/>
        <v>0</v>
      </c>
      <c r="T725" s="88">
        <f t="shared" si="143"/>
        <v>0</v>
      </c>
      <c r="U725" s="88">
        <f t="shared" si="143"/>
        <v>0</v>
      </c>
      <c r="V725" s="88">
        <f t="shared" si="143"/>
        <v>0</v>
      </c>
      <c r="W725" s="88">
        <f t="shared" si="143"/>
        <v>0</v>
      </c>
      <c r="X725" s="88">
        <f t="shared" si="143"/>
        <v>0</v>
      </c>
      <c r="Y725" s="88">
        <f t="shared" si="143"/>
        <v>0</v>
      </c>
      <c r="Z725" s="88">
        <f t="shared" si="143"/>
        <v>0</v>
      </c>
      <c r="AA725" s="88">
        <f t="shared" si="143"/>
        <v>0</v>
      </c>
      <c r="AB725" s="88">
        <f t="shared" si="143"/>
        <v>0</v>
      </c>
      <c r="AC725" s="88">
        <f t="shared" si="143"/>
        <v>0</v>
      </c>
      <c r="AD725" s="53" t="e">
        <f>#REF!*D725</f>
        <v>#REF!</v>
      </c>
      <c r="AE725" s="53" t="e">
        <f>AD725-#REF!</f>
        <v>#REF!</v>
      </c>
      <c r="AF725" s="8"/>
      <c r="AG725" s="33" t="e">
        <f>#REF!-D725</f>
        <v>#REF!</v>
      </c>
      <c r="AH725" s="8"/>
      <c r="AI725" s="8"/>
      <c r="AJ725" s="8"/>
      <c r="AK725" s="8"/>
    </row>
    <row r="726" spans="1:37" s="12" customFormat="1" ht="30.6" hidden="1" outlineLevel="1" x14ac:dyDescent="0.2">
      <c r="A726" s="61" t="s">
        <v>3471</v>
      </c>
      <c r="B726" s="95" t="s">
        <v>2983</v>
      </c>
      <c r="C726" s="8" t="s">
        <v>47</v>
      </c>
      <c r="D726" s="25">
        <f t="shared" si="139"/>
        <v>2</v>
      </c>
      <c r="E726" s="54"/>
      <c r="F726" s="9"/>
      <c r="G726" s="9">
        <v>2</v>
      </c>
      <c r="H726" s="9">
        <v>0</v>
      </c>
      <c r="I726" s="9">
        <v>0</v>
      </c>
      <c r="J726" s="9">
        <v>0</v>
      </c>
      <c r="K726" s="9">
        <v>0</v>
      </c>
      <c r="L726" s="9">
        <v>0</v>
      </c>
      <c r="M726" s="9">
        <v>0</v>
      </c>
      <c r="N726" s="9">
        <v>0</v>
      </c>
      <c r="O726" s="9">
        <v>0</v>
      </c>
      <c r="P726" s="9">
        <v>0</v>
      </c>
      <c r="Q726" s="9">
        <v>0</v>
      </c>
      <c r="R726" s="9">
        <v>0</v>
      </c>
      <c r="S726" s="9">
        <v>0</v>
      </c>
      <c r="T726" s="9">
        <v>0</v>
      </c>
      <c r="U726" s="9">
        <v>0</v>
      </c>
      <c r="V726" s="9">
        <v>0</v>
      </c>
      <c r="W726" s="9">
        <v>0</v>
      </c>
      <c r="X726" s="9">
        <v>0</v>
      </c>
      <c r="Y726" s="9">
        <v>0</v>
      </c>
      <c r="Z726" s="9">
        <v>0</v>
      </c>
      <c r="AA726" s="9">
        <v>0</v>
      </c>
      <c r="AB726" s="9">
        <v>0</v>
      </c>
      <c r="AC726" s="9">
        <v>0</v>
      </c>
      <c r="AD726" s="53" t="e">
        <f>#REF!*D726</f>
        <v>#REF!</v>
      </c>
      <c r="AE726" s="53" t="e">
        <f>AD726-#REF!</f>
        <v>#REF!</v>
      </c>
      <c r="AF726" s="9"/>
      <c r="AG726" s="33" t="e">
        <f>#REF!-D726</f>
        <v>#REF!</v>
      </c>
      <c r="AH726" s="9"/>
      <c r="AI726" s="9"/>
      <c r="AJ726" s="9"/>
      <c r="AK726" s="9"/>
    </row>
    <row r="727" spans="1:37" s="12" customFormat="1" ht="30.6" hidden="1" outlineLevel="1" x14ac:dyDescent="0.2">
      <c r="A727" s="61" t="s">
        <v>3472</v>
      </c>
      <c r="B727" s="95" t="s">
        <v>2984</v>
      </c>
      <c r="C727" s="9" t="s">
        <v>47</v>
      </c>
      <c r="D727" s="25">
        <f t="shared" si="139"/>
        <v>2</v>
      </c>
      <c r="E727" s="54"/>
      <c r="F727" s="9"/>
      <c r="G727" s="9">
        <v>2</v>
      </c>
      <c r="H727" s="9">
        <v>0</v>
      </c>
      <c r="I727" s="9">
        <v>0</v>
      </c>
      <c r="J727" s="9">
        <v>0</v>
      </c>
      <c r="K727" s="9">
        <v>0</v>
      </c>
      <c r="L727" s="9">
        <v>0</v>
      </c>
      <c r="M727" s="9">
        <v>0</v>
      </c>
      <c r="N727" s="9">
        <v>0</v>
      </c>
      <c r="O727" s="9">
        <v>0</v>
      </c>
      <c r="P727" s="9">
        <v>0</v>
      </c>
      <c r="Q727" s="9">
        <v>0</v>
      </c>
      <c r="R727" s="9">
        <v>0</v>
      </c>
      <c r="S727" s="9">
        <v>0</v>
      </c>
      <c r="T727" s="9">
        <v>0</v>
      </c>
      <c r="U727" s="9">
        <v>0</v>
      </c>
      <c r="V727" s="9">
        <v>0</v>
      </c>
      <c r="W727" s="9">
        <v>0</v>
      </c>
      <c r="X727" s="9">
        <v>0</v>
      </c>
      <c r="Y727" s="9">
        <v>0</v>
      </c>
      <c r="Z727" s="9">
        <v>0</v>
      </c>
      <c r="AA727" s="9">
        <v>0</v>
      </c>
      <c r="AB727" s="9">
        <v>0</v>
      </c>
      <c r="AC727" s="9">
        <v>0</v>
      </c>
      <c r="AD727" s="53" t="e">
        <f>#REF!*D727</f>
        <v>#REF!</v>
      </c>
      <c r="AE727" s="53" t="e">
        <f>AD727-#REF!</f>
        <v>#REF!</v>
      </c>
      <c r="AF727" s="9"/>
      <c r="AG727" s="33" t="e">
        <f>#REF!-D727</f>
        <v>#REF!</v>
      </c>
      <c r="AH727" s="9"/>
      <c r="AI727" s="9"/>
      <c r="AJ727" s="9"/>
      <c r="AK727" s="9"/>
    </row>
    <row r="728" spans="1:37" s="12" customFormat="1" ht="30.6" hidden="1" outlineLevel="1" x14ac:dyDescent="0.2">
      <c r="A728" s="61" t="s">
        <v>3473</v>
      </c>
      <c r="B728" s="95" t="s">
        <v>2985</v>
      </c>
      <c r="C728" s="9" t="s">
        <v>47</v>
      </c>
      <c r="D728" s="25">
        <f t="shared" si="139"/>
        <v>4</v>
      </c>
      <c r="E728" s="54"/>
      <c r="F728" s="9"/>
      <c r="G728" s="9">
        <v>4</v>
      </c>
      <c r="H728" s="9">
        <v>0</v>
      </c>
      <c r="I728" s="9">
        <v>0</v>
      </c>
      <c r="J728" s="9">
        <v>0</v>
      </c>
      <c r="K728" s="9">
        <v>0</v>
      </c>
      <c r="L728" s="9">
        <v>0</v>
      </c>
      <c r="M728" s="9">
        <v>0</v>
      </c>
      <c r="N728" s="9">
        <v>0</v>
      </c>
      <c r="O728" s="9">
        <v>0</v>
      </c>
      <c r="P728" s="9">
        <v>0</v>
      </c>
      <c r="Q728" s="9">
        <v>0</v>
      </c>
      <c r="R728" s="9">
        <v>0</v>
      </c>
      <c r="S728" s="9">
        <v>0</v>
      </c>
      <c r="T728" s="9">
        <v>0</v>
      </c>
      <c r="U728" s="9">
        <v>0</v>
      </c>
      <c r="V728" s="9">
        <v>0</v>
      </c>
      <c r="W728" s="9">
        <v>0</v>
      </c>
      <c r="X728" s="9">
        <v>0</v>
      </c>
      <c r="Y728" s="9">
        <v>0</v>
      </c>
      <c r="Z728" s="9">
        <v>0</v>
      </c>
      <c r="AA728" s="9">
        <v>0</v>
      </c>
      <c r="AB728" s="9">
        <v>0</v>
      </c>
      <c r="AC728" s="9">
        <v>0</v>
      </c>
      <c r="AD728" s="53" t="e">
        <f>#REF!*D728</f>
        <v>#REF!</v>
      </c>
      <c r="AE728" s="53" t="e">
        <f>AD728-#REF!</f>
        <v>#REF!</v>
      </c>
      <c r="AF728" s="9"/>
      <c r="AG728" s="33" t="e">
        <f>#REF!-D728</f>
        <v>#REF!</v>
      </c>
      <c r="AH728" s="9"/>
      <c r="AI728" s="9"/>
      <c r="AJ728" s="9"/>
      <c r="AK728" s="9"/>
    </row>
    <row r="729" spans="1:37" s="12" customFormat="1" ht="30.6" hidden="1" outlineLevel="1" x14ac:dyDescent="0.2">
      <c r="A729" s="61" t="s">
        <v>3474</v>
      </c>
      <c r="B729" s="95" t="s">
        <v>3121</v>
      </c>
      <c r="C729" s="9" t="s">
        <v>47</v>
      </c>
      <c r="D729" s="25">
        <f t="shared" si="139"/>
        <v>5</v>
      </c>
      <c r="E729" s="54"/>
      <c r="F729" s="9"/>
      <c r="G729" s="9">
        <v>5</v>
      </c>
      <c r="H729" s="9">
        <v>0</v>
      </c>
      <c r="I729" s="9">
        <v>0</v>
      </c>
      <c r="J729" s="9">
        <v>0</v>
      </c>
      <c r="K729" s="9">
        <v>0</v>
      </c>
      <c r="L729" s="9">
        <v>0</v>
      </c>
      <c r="M729" s="9">
        <v>0</v>
      </c>
      <c r="N729" s="9">
        <v>0</v>
      </c>
      <c r="O729" s="9">
        <v>0</v>
      </c>
      <c r="P729" s="9">
        <v>0</v>
      </c>
      <c r="Q729" s="9">
        <v>0</v>
      </c>
      <c r="R729" s="9">
        <v>0</v>
      </c>
      <c r="S729" s="9">
        <v>0</v>
      </c>
      <c r="T729" s="9">
        <v>0</v>
      </c>
      <c r="U729" s="9">
        <v>0</v>
      </c>
      <c r="V729" s="9">
        <v>0</v>
      </c>
      <c r="W729" s="9">
        <v>0</v>
      </c>
      <c r="X729" s="9">
        <v>0</v>
      </c>
      <c r="Y729" s="9">
        <v>0</v>
      </c>
      <c r="Z729" s="9">
        <v>0</v>
      </c>
      <c r="AA729" s="9">
        <v>0</v>
      </c>
      <c r="AB729" s="9">
        <v>0</v>
      </c>
      <c r="AC729" s="9">
        <v>0</v>
      </c>
      <c r="AD729" s="53" t="e">
        <f>#REF!*D729</f>
        <v>#REF!</v>
      </c>
      <c r="AE729" s="53" t="e">
        <f>AD729-#REF!</f>
        <v>#REF!</v>
      </c>
      <c r="AF729" s="9"/>
      <c r="AG729" s="33" t="e">
        <f>#REF!-D729</f>
        <v>#REF!</v>
      </c>
      <c r="AH729" s="9"/>
      <c r="AI729" s="9"/>
      <c r="AJ729" s="9"/>
      <c r="AK729" s="9"/>
    </row>
    <row r="730" spans="1:37" s="17" customFormat="1" ht="30.6" hidden="1" outlineLevel="1" x14ac:dyDescent="0.2">
      <c r="A730" s="61" t="s">
        <v>3475</v>
      </c>
      <c r="B730" s="95" t="s">
        <v>3124</v>
      </c>
      <c r="C730" s="9" t="s">
        <v>48</v>
      </c>
      <c r="D730" s="25">
        <f t="shared" si="139"/>
        <v>18</v>
      </c>
      <c r="E730" s="54"/>
      <c r="F730" s="9"/>
      <c r="G730" s="33">
        <v>18</v>
      </c>
      <c r="H730" s="33">
        <v>0</v>
      </c>
      <c r="I730" s="9">
        <v>0</v>
      </c>
      <c r="J730" s="9">
        <v>0</v>
      </c>
      <c r="K730" s="9">
        <v>0</v>
      </c>
      <c r="L730" s="9">
        <v>0</v>
      </c>
      <c r="M730" s="9">
        <v>0</v>
      </c>
      <c r="N730" s="9">
        <v>0</v>
      </c>
      <c r="O730" s="9">
        <v>0</v>
      </c>
      <c r="P730" s="9">
        <v>0</v>
      </c>
      <c r="Q730" s="9">
        <v>0</v>
      </c>
      <c r="R730" s="9">
        <v>0</v>
      </c>
      <c r="S730" s="9">
        <v>0</v>
      </c>
      <c r="T730" s="9">
        <v>0</v>
      </c>
      <c r="U730" s="33">
        <v>0</v>
      </c>
      <c r="V730" s="9">
        <v>0</v>
      </c>
      <c r="W730" s="9">
        <v>0</v>
      </c>
      <c r="X730" s="9">
        <v>0</v>
      </c>
      <c r="Y730" s="9">
        <v>0</v>
      </c>
      <c r="Z730" s="9">
        <v>0</v>
      </c>
      <c r="AA730" s="9">
        <v>0</v>
      </c>
      <c r="AB730" s="9">
        <v>0</v>
      </c>
      <c r="AC730" s="9">
        <v>0</v>
      </c>
      <c r="AD730" s="53" t="e">
        <f>#REF!*D730</f>
        <v>#REF!</v>
      </c>
      <c r="AE730" s="53" t="e">
        <f>AD730-#REF!</f>
        <v>#REF!</v>
      </c>
      <c r="AF730" s="8"/>
      <c r="AG730" s="33" t="e">
        <f>#REF!-D730</f>
        <v>#REF!</v>
      </c>
      <c r="AH730" s="8"/>
      <c r="AI730" s="8"/>
      <c r="AJ730" s="8"/>
      <c r="AK730" s="8"/>
    </row>
    <row r="731" spans="1:37" s="17" customFormat="1" ht="35.25" hidden="1" customHeight="1" outlineLevel="1" x14ac:dyDescent="0.2">
      <c r="A731" s="61" t="s">
        <v>3476</v>
      </c>
      <c r="B731" s="95" t="s">
        <v>2986</v>
      </c>
      <c r="C731" s="9" t="s">
        <v>48</v>
      </c>
      <c r="D731" s="25">
        <f t="shared" si="139"/>
        <v>18</v>
      </c>
      <c r="E731" s="54"/>
      <c r="F731" s="9"/>
      <c r="G731" s="88">
        <f t="shared" ref="G731:AC731" si="144">G730</f>
        <v>18</v>
      </c>
      <c r="H731" s="88">
        <f t="shared" si="144"/>
        <v>0</v>
      </c>
      <c r="I731" s="88">
        <f t="shared" si="144"/>
        <v>0</v>
      </c>
      <c r="J731" s="88">
        <f t="shared" si="144"/>
        <v>0</v>
      </c>
      <c r="K731" s="88">
        <f t="shared" si="144"/>
        <v>0</v>
      </c>
      <c r="L731" s="88">
        <f t="shared" si="144"/>
        <v>0</v>
      </c>
      <c r="M731" s="88">
        <f t="shared" si="144"/>
        <v>0</v>
      </c>
      <c r="N731" s="88">
        <f t="shared" si="144"/>
        <v>0</v>
      </c>
      <c r="O731" s="88">
        <f t="shared" si="144"/>
        <v>0</v>
      </c>
      <c r="P731" s="88">
        <f t="shared" si="144"/>
        <v>0</v>
      </c>
      <c r="Q731" s="88">
        <f t="shared" si="144"/>
        <v>0</v>
      </c>
      <c r="R731" s="88">
        <f t="shared" si="144"/>
        <v>0</v>
      </c>
      <c r="S731" s="88">
        <f t="shared" si="144"/>
        <v>0</v>
      </c>
      <c r="T731" s="88">
        <f t="shared" si="144"/>
        <v>0</v>
      </c>
      <c r="U731" s="88">
        <f t="shared" si="144"/>
        <v>0</v>
      </c>
      <c r="V731" s="88">
        <f t="shared" si="144"/>
        <v>0</v>
      </c>
      <c r="W731" s="88">
        <f t="shared" si="144"/>
        <v>0</v>
      </c>
      <c r="X731" s="88">
        <f t="shared" si="144"/>
        <v>0</v>
      </c>
      <c r="Y731" s="88">
        <f t="shared" si="144"/>
        <v>0</v>
      </c>
      <c r="Z731" s="88">
        <f t="shared" si="144"/>
        <v>0</v>
      </c>
      <c r="AA731" s="88">
        <f t="shared" si="144"/>
        <v>0</v>
      </c>
      <c r="AB731" s="88">
        <f t="shared" si="144"/>
        <v>0</v>
      </c>
      <c r="AC731" s="88">
        <f t="shared" si="144"/>
        <v>0</v>
      </c>
      <c r="AD731" s="53" t="e">
        <f>#REF!*D731</f>
        <v>#REF!</v>
      </c>
      <c r="AE731" s="53" t="e">
        <f>AD731-#REF!</f>
        <v>#REF!</v>
      </c>
      <c r="AF731" s="8"/>
      <c r="AG731" s="33" t="e">
        <f>#REF!-D731</f>
        <v>#REF!</v>
      </c>
      <c r="AH731" s="8"/>
      <c r="AI731" s="8"/>
      <c r="AJ731" s="8"/>
      <c r="AK731" s="8"/>
    </row>
    <row r="732" spans="1:37" s="12" customFormat="1" ht="30.6" hidden="1" outlineLevel="1" x14ac:dyDescent="0.2">
      <c r="A732" s="61" t="s">
        <v>3477</v>
      </c>
      <c r="B732" s="95" t="s">
        <v>3125</v>
      </c>
      <c r="C732" s="8" t="s">
        <v>47</v>
      </c>
      <c r="D732" s="25">
        <f t="shared" si="139"/>
        <v>2</v>
      </c>
      <c r="E732" s="54"/>
      <c r="F732" s="9"/>
      <c r="G732" s="9">
        <v>2</v>
      </c>
      <c r="H732" s="9">
        <v>0</v>
      </c>
      <c r="I732" s="9">
        <v>0</v>
      </c>
      <c r="J732" s="9">
        <v>0</v>
      </c>
      <c r="K732" s="9">
        <v>0</v>
      </c>
      <c r="L732" s="9">
        <v>0</v>
      </c>
      <c r="M732" s="9">
        <v>0</v>
      </c>
      <c r="N732" s="9">
        <v>0</v>
      </c>
      <c r="O732" s="9">
        <v>0</v>
      </c>
      <c r="P732" s="9">
        <v>0</v>
      </c>
      <c r="Q732" s="9">
        <v>0</v>
      </c>
      <c r="R732" s="9">
        <v>0</v>
      </c>
      <c r="S732" s="9">
        <v>0</v>
      </c>
      <c r="T732" s="9">
        <v>0</v>
      </c>
      <c r="U732" s="9">
        <v>0</v>
      </c>
      <c r="V732" s="9">
        <v>0</v>
      </c>
      <c r="W732" s="9">
        <v>0</v>
      </c>
      <c r="X732" s="9">
        <v>0</v>
      </c>
      <c r="Y732" s="9">
        <v>0</v>
      </c>
      <c r="Z732" s="9">
        <v>0</v>
      </c>
      <c r="AA732" s="9">
        <v>0</v>
      </c>
      <c r="AB732" s="9">
        <v>0</v>
      </c>
      <c r="AC732" s="9">
        <v>0</v>
      </c>
      <c r="AD732" s="53" t="e">
        <f>#REF!*D732</f>
        <v>#REF!</v>
      </c>
      <c r="AE732" s="53" t="e">
        <f>AD732-#REF!</f>
        <v>#REF!</v>
      </c>
      <c r="AF732" s="9"/>
      <c r="AG732" s="33" t="e">
        <f>#REF!-D732</f>
        <v>#REF!</v>
      </c>
      <c r="AH732" s="9"/>
      <c r="AI732" s="9"/>
      <c r="AJ732" s="9"/>
      <c r="AK732" s="9"/>
    </row>
    <row r="733" spans="1:37" s="12" customFormat="1" ht="30.6" hidden="1" outlineLevel="1" x14ac:dyDescent="0.2">
      <c r="A733" s="61" t="s">
        <v>3478</v>
      </c>
      <c r="B733" s="95" t="s">
        <v>3126</v>
      </c>
      <c r="C733" s="9" t="s">
        <v>47</v>
      </c>
      <c r="D733" s="25">
        <f t="shared" si="139"/>
        <v>2</v>
      </c>
      <c r="E733" s="54"/>
      <c r="F733" s="9"/>
      <c r="G733" s="9">
        <v>2</v>
      </c>
      <c r="H733" s="9">
        <v>0</v>
      </c>
      <c r="I733" s="9">
        <v>0</v>
      </c>
      <c r="J733" s="9">
        <v>0</v>
      </c>
      <c r="K733" s="9">
        <v>0</v>
      </c>
      <c r="L733" s="9">
        <v>0</v>
      </c>
      <c r="M733" s="9">
        <v>0</v>
      </c>
      <c r="N733" s="9">
        <v>0</v>
      </c>
      <c r="O733" s="9">
        <v>0</v>
      </c>
      <c r="P733" s="9">
        <v>0</v>
      </c>
      <c r="Q733" s="9">
        <v>0</v>
      </c>
      <c r="R733" s="9">
        <v>0</v>
      </c>
      <c r="S733" s="9">
        <v>0</v>
      </c>
      <c r="T733" s="9">
        <v>0</v>
      </c>
      <c r="U733" s="9">
        <v>0</v>
      </c>
      <c r="V733" s="9">
        <v>0</v>
      </c>
      <c r="W733" s="9">
        <v>0</v>
      </c>
      <c r="X733" s="9">
        <v>0</v>
      </c>
      <c r="Y733" s="9">
        <v>0</v>
      </c>
      <c r="Z733" s="9">
        <v>0</v>
      </c>
      <c r="AA733" s="9">
        <v>0</v>
      </c>
      <c r="AB733" s="9">
        <v>0</v>
      </c>
      <c r="AC733" s="9">
        <v>0</v>
      </c>
      <c r="AD733" s="53" t="e">
        <f>#REF!*D733</f>
        <v>#REF!</v>
      </c>
      <c r="AE733" s="53" t="e">
        <f>AD733-#REF!</f>
        <v>#REF!</v>
      </c>
      <c r="AF733" s="9"/>
      <c r="AG733" s="33" t="e">
        <f>#REF!-D733</f>
        <v>#REF!</v>
      </c>
      <c r="AH733" s="9"/>
      <c r="AI733" s="9"/>
      <c r="AJ733" s="9"/>
      <c r="AK733" s="9"/>
    </row>
    <row r="734" spans="1:37" s="17" customFormat="1" ht="30.6" hidden="1" outlineLevel="1" x14ac:dyDescent="0.2">
      <c r="A734" s="61" t="s">
        <v>3479</v>
      </c>
      <c r="B734" s="95" t="s">
        <v>2987</v>
      </c>
      <c r="C734" s="8" t="s">
        <v>47</v>
      </c>
      <c r="D734" s="25">
        <f t="shared" si="139"/>
        <v>2</v>
      </c>
      <c r="E734" s="54"/>
      <c r="F734" s="9"/>
      <c r="G734" s="33">
        <v>2</v>
      </c>
      <c r="H734" s="33">
        <v>0</v>
      </c>
      <c r="I734" s="9">
        <v>0</v>
      </c>
      <c r="J734" s="9">
        <v>0</v>
      </c>
      <c r="K734" s="9">
        <v>0</v>
      </c>
      <c r="L734" s="9">
        <v>0</v>
      </c>
      <c r="M734" s="9">
        <v>0</v>
      </c>
      <c r="N734" s="9">
        <v>0</v>
      </c>
      <c r="O734" s="9">
        <v>0</v>
      </c>
      <c r="P734" s="9">
        <v>0</v>
      </c>
      <c r="Q734" s="9">
        <v>0</v>
      </c>
      <c r="R734" s="9">
        <v>0</v>
      </c>
      <c r="S734" s="9">
        <v>0</v>
      </c>
      <c r="T734" s="9">
        <v>0</v>
      </c>
      <c r="U734" s="33">
        <v>0</v>
      </c>
      <c r="V734" s="9">
        <v>0</v>
      </c>
      <c r="W734" s="9">
        <v>0</v>
      </c>
      <c r="X734" s="9">
        <v>0</v>
      </c>
      <c r="Y734" s="9">
        <v>0</v>
      </c>
      <c r="Z734" s="9">
        <v>0</v>
      </c>
      <c r="AA734" s="9">
        <v>0</v>
      </c>
      <c r="AB734" s="9">
        <v>0</v>
      </c>
      <c r="AC734" s="9">
        <v>0</v>
      </c>
      <c r="AD734" s="53" t="e">
        <f>#REF!*D734</f>
        <v>#REF!</v>
      </c>
      <c r="AE734" s="53" t="e">
        <f>AD734-#REF!</f>
        <v>#REF!</v>
      </c>
      <c r="AF734" s="8"/>
      <c r="AG734" s="33" t="e">
        <f>#REF!-D734</f>
        <v>#REF!</v>
      </c>
      <c r="AH734" s="8"/>
      <c r="AI734" s="8"/>
      <c r="AJ734" s="8"/>
      <c r="AK734" s="8"/>
    </row>
    <row r="735" spans="1:37" s="12" customFormat="1" ht="30.6" hidden="1" outlineLevel="1" x14ac:dyDescent="0.2">
      <c r="A735" s="61" t="s">
        <v>3480</v>
      </c>
      <c r="B735" s="95" t="s">
        <v>2988</v>
      </c>
      <c r="C735" s="9" t="s">
        <v>47</v>
      </c>
      <c r="D735" s="25">
        <f t="shared" si="139"/>
        <v>2</v>
      </c>
      <c r="E735" s="54"/>
      <c r="F735" s="9"/>
      <c r="G735" s="9">
        <v>2</v>
      </c>
      <c r="H735" s="9">
        <v>0</v>
      </c>
      <c r="I735" s="9">
        <v>0</v>
      </c>
      <c r="J735" s="9">
        <v>0</v>
      </c>
      <c r="K735" s="9">
        <v>0</v>
      </c>
      <c r="L735" s="9">
        <v>0</v>
      </c>
      <c r="M735" s="9">
        <v>0</v>
      </c>
      <c r="N735" s="9">
        <v>0</v>
      </c>
      <c r="O735" s="9">
        <v>0</v>
      </c>
      <c r="P735" s="9">
        <v>0</v>
      </c>
      <c r="Q735" s="9">
        <v>0</v>
      </c>
      <c r="R735" s="9">
        <v>0</v>
      </c>
      <c r="S735" s="9">
        <v>0</v>
      </c>
      <c r="T735" s="9">
        <v>0</v>
      </c>
      <c r="U735" s="9">
        <v>0</v>
      </c>
      <c r="V735" s="9">
        <v>0</v>
      </c>
      <c r="W735" s="9">
        <v>0</v>
      </c>
      <c r="X735" s="9">
        <v>0</v>
      </c>
      <c r="Y735" s="9">
        <v>0</v>
      </c>
      <c r="Z735" s="9">
        <v>0</v>
      </c>
      <c r="AA735" s="9">
        <v>0</v>
      </c>
      <c r="AB735" s="9">
        <v>0</v>
      </c>
      <c r="AC735" s="9">
        <v>0</v>
      </c>
      <c r="AD735" s="53" t="e">
        <f>#REF!*D735</f>
        <v>#REF!</v>
      </c>
      <c r="AE735" s="53" t="e">
        <f>AD735-#REF!</f>
        <v>#REF!</v>
      </c>
      <c r="AF735" s="9"/>
      <c r="AG735" s="33" t="e">
        <f>#REF!-D735</f>
        <v>#REF!</v>
      </c>
      <c r="AH735" s="9"/>
      <c r="AI735" s="9"/>
      <c r="AJ735" s="9"/>
      <c r="AK735" s="9"/>
    </row>
    <row r="736" spans="1:37" s="17" customFormat="1" ht="40.799999999999997" hidden="1" outlineLevel="1" x14ac:dyDescent="0.2">
      <c r="A736" s="61" t="s">
        <v>3481</v>
      </c>
      <c r="B736" s="95" t="s">
        <v>422</v>
      </c>
      <c r="C736" s="8" t="s">
        <v>47</v>
      </c>
      <c r="D736" s="25">
        <f t="shared" si="139"/>
        <v>16</v>
      </c>
      <c r="E736" s="54"/>
      <c r="F736" s="9"/>
      <c r="G736" s="88">
        <f>G717/1.5</f>
        <v>16</v>
      </c>
      <c r="H736" s="88">
        <f t="shared" ref="H736:AC736" si="145">H725/1.5</f>
        <v>0</v>
      </c>
      <c r="I736" s="88">
        <f t="shared" si="145"/>
        <v>0</v>
      </c>
      <c r="J736" s="88">
        <f t="shared" si="145"/>
        <v>0</v>
      </c>
      <c r="K736" s="88">
        <f t="shared" si="145"/>
        <v>0</v>
      </c>
      <c r="L736" s="88">
        <f t="shared" si="145"/>
        <v>0</v>
      </c>
      <c r="M736" s="88">
        <f t="shared" si="145"/>
        <v>0</v>
      </c>
      <c r="N736" s="88">
        <f t="shared" si="145"/>
        <v>0</v>
      </c>
      <c r="O736" s="88">
        <f t="shared" si="145"/>
        <v>0</v>
      </c>
      <c r="P736" s="88">
        <f t="shared" si="145"/>
        <v>0</v>
      </c>
      <c r="Q736" s="88">
        <f t="shared" si="145"/>
        <v>0</v>
      </c>
      <c r="R736" s="88">
        <f t="shared" si="145"/>
        <v>0</v>
      </c>
      <c r="S736" s="88">
        <f t="shared" si="145"/>
        <v>0</v>
      </c>
      <c r="T736" s="88">
        <f t="shared" si="145"/>
        <v>0</v>
      </c>
      <c r="U736" s="88">
        <f t="shared" si="145"/>
        <v>0</v>
      </c>
      <c r="V736" s="88">
        <f t="shared" si="145"/>
        <v>0</v>
      </c>
      <c r="W736" s="88">
        <f t="shared" si="145"/>
        <v>0</v>
      </c>
      <c r="X736" s="88">
        <f t="shared" si="145"/>
        <v>0</v>
      </c>
      <c r="Y736" s="88">
        <f t="shared" si="145"/>
        <v>0</v>
      </c>
      <c r="Z736" s="88">
        <f t="shared" si="145"/>
        <v>0</v>
      </c>
      <c r="AA736" s="88">
        <f t="shared" si="145"/>
        <v>0</v>
      </c>
      <c r="AB736" s="88">
        <f t="shared" si="145"/>
        <v>0</v>
      </c>
      <c r="AC736" s="88">
        <f t="shared" si="145"/>
        <v>0</v>
      </c>
      <c r="AD736" s="53" t="e">
        <f>#REF!*D736</f>
        <v>#REF!</v>
      </c>
      <c r="AE736" s="53" t="e">
        <f>AD736-#REF!</f>
        <v>#REF!</v>
      </c>
      <c r="AF736" s="8"/>
      <c r="AG736" s="33" t="e">
        <f>#REF!-D736</f>
        <v>#REF!</v>
      </c>
      <c r="AH736" s="8"/>
      <c r="AI736" s="8"/>
      <c r="AJ736" s="8"/>
      <c r="AK736" s="8"/>
    </row>
    <row r="737" spans="1:37" s="17" customFormat="1" ht="40.799999999999997" hidden="1" outlineLevel="1" x14ac:dyDescent="0.2">
      <c r="A737" s="61" t="s">
        <v>3482</v>
      </c>
      <c r="B737" s="95" t="s">
        <v>423</v>
      </c>
      <c r="C737" s="8" t="s">
        <v>47</v>
      </c>
      <c r="D737" s="25">
        <f t="shared" si="139"/>
        <v>10</v>
      </c>
      <c r="E737" s="54"/>
      <c r="F737" s="9"/>
      <c r="G737" s="88">
        <f>G724/1.5</f>
        <v>10</v>
      </c>
      <c r="H737" s="88">
        <f t="shared" ref="H737:AC737" si="146">H730/1.5</f>
        <v>0</v>
      </c>
      <c r="I737" s="88">
        <f t="shared" si="146"/>
        <v>0</v>
      </c>
      <c r="J737" s="88">
        <f t="shared" si="146"/>
        <v>0</v>
      </c>
      <c r="K737" s="88">
        <f t="shared" si="146"/>
        <v>0</v>
      </c>
      <c r="L737" s="88">
        <f t="shared" si="146"/>
        <v>0</v>
      </c>
      <c r="M737" s="88">
        <f t="shared" si="146"/>
        <v>0</v>
      </c>
      <c r="N737" s="88">
        <f t="shared" si="146"/>
        <v>0</v>
      </c>
      <c r="O737" s="88">
        <f t="shared" si="146"/>
        <v>0</v>
      </c>
      <c r="P737" s="88">
        <f t="shared" si="146"/>
        <v>0</v>
      </c>
      <c r="Q737" s="88">
        <f t="shared" si="146"/>
        <v>0</v>
      </c>
      <c r="R737" s="88">
        <f t="shared" si="146"/>
        <v>0</v>
      </c>
      <c r="S737" s="88">
        <f t="shared" si="146"/>
        <v>0</v>
      </c>
      <c r="T737" s="88">
        <f t="shared" si="146"/>
        <v>0</v>
      </c>
      <c r="U737" s="88">
        <f t="shared" si="146"/>
        <v>0</v>
      </c>
      <c r="V737" s="88">
        <f t="shared" si="146"/>
        <v>0</v>
      </c>
      <c r="W737" s="88">
        <f t="shared" si="146"/>
        <v>0</v>
      </c>
      <c r="X737" s="88">
        <f t="shared" si="146"/>
        <v>0</v>
      </c>
      <c r="Y737" s="88">
        <f t="shared" si="146"/>
        <v>0</v>
      </c>
      <c r="Z737" s="88">
        <f t="shared" si="146"/>
        <v>0</v>
      </c>
      <c r="AA737" s="88">
        <f t="shared" si="146"/>
        <v>0</v>
      </c>
      <c r="AB737" s="88">
        <f t="shared" si="146"/>
        <v>0</v>
      </c>
      <c r="AC737" s="88">
        <f t="shared" si="146"/>
        <v>0</v>
      </c>
      <c r="AD737" s="53" t="e">
        <f>#REF!*D737</f>
        <v>#REF!</v>
      </c>
      <c r="AE737" s="53" t="e">
        <f>AD737-#REF!</f>
        <v>#REF!</v>
      </c>
      <c r="AF737" s="8"/>
      <c r="AG737" s="33" t="e">
        <f>#REF!-D737</f>
        <v>#REF!</v>
      </c>
      <c r="AH737" s="8"/>
      <c r="AI737" s="8"/>
      <c r="AJ737" s="8"/>
      <c r="AK737" s="8"/>
    </row>
    <row r="738" spans="1:37" s="17" customFormat="1" ht="30.6" hidden="1" outlineLevel="1" x14ac:dyDescent="0.2">
      <c r="A738" s="61" t="s">
        <v>3483</v>
      </c>
      <c r="B738" s="95" t="s">
        <v>421</v>
      </c>
      <c r="C738" s="8" t="s">
        <v>47</v>
      </c>
      <c r="D738" s="25">
        <f t="shared" si="139"/>
        <v>38</v>
      </c>
      <c r="E738" s="54"/>
      <c r="F738" s="9"/>
      <c r="G738" s="88">
        <f>(G730+G724+G717)/3*2</f>
        <v>38</v>
      </c>
      <c r="H738" s="88">
        <f t="shared" ref="H738:AC738" si="147">(H730+H725)/3*2</f>
        <v>0</v>
      </c>
      <c r="I738" s="88">
        <f t="shared" si="147"/>
        <v>0</v>
      </c>
      <c r="J738" s="88">
        <f t="shared" si="147"/>
        <v>0</v>
      </c>
      <c r="K738" s="88">
        <f t="shared" si="147"/>
        <v>0</v>
      </c>
      <c r="L738" s="88">
        <f t="shared" si="147"/>
        <v>0</v>
      </c>
      <c r="M738" s="88">
        <f t="shared" si="147"/>
        <v>0</v>
      </c>
      <c r="N738" s="88">
        <f t="shared" si="147"/>
        <v>0</v>
      </c>
      <c r="O738" s="88">
        <f t="shared" si="147"/>
        <v>0</v>
      </c>
      <c r="P738" s="88">
        <f t="shared" si="147"/>
        <v>0</v>
      </c>
      <c r="Q738" s="88">
        <f t="shared" si="147"/>
        <v>0</v>
      </c>
      <c r="R738" s="88">
        <f t="shared" si="147"/>
        <v>0</v>
      </c>
      <c r="S738" s="88">
        <f t="shared" si="147"/>
        <v>0</v>
      </c>
      <c r="T738" s="88">
        <f t="shared" si="147"/>
        <v>0</v>
      </c>
      <c r="U738" s="88">
        <f t="shared" si="147"/>
        <v>0</v>
      </c>
      <c r="V738" s="88">
        <f t="shared" si="147"/>
        <v>0</v>
      </c>
      <c r="W738" s="88">
        <f t="shared" si="147"/>
        <v>0</v>
      </c>
      <c r="X738" s="88">
        <f t="shared" si="147"/>
        <v>0</v>
      </c>
      <c r="Y738" s="88">
        <f t="shared" si="147"/>
        <v>0</v>
      </c>
      <c r="Z738" s="88">
        <f t="shared" si="147"/>
        <v>0</v>
      </c>
      <c r="AA738" s="88">
        <f t="shared" si="147"/>
        <v>0</v>
      </c>
      <c r="AB738" s="88">
        <f t="shared" si="147"/>
        <v>0</v>
      </c>
      <c r="AC738" s="88">
        <f t="shared" si="147"/>
        <v>0</v>
      </c>
      <c r="AD738" s="53" t="e">
        <f>#REF!*D738</f>
        <v>#REF!</v>
      </c>
      <c r="AE738" s="53" t="e">
        <f>AD738-#REF!</f>
        <v>#REF!</v>
      </c>
      <c r="AF738" s="8"/>
      <c r="AG738" s="33" t="e">
        <f>#REF!-D738</f>
        <v>#REF!</v>
      </c>
      <c r="AH738" s="8"/>
      <c r="AI738" s="8"/>
      <c r="AJ738" s="8"/>
      <c r="AK738" s="8"/>
    </row>
    <row r="739" spans="1:37" s="17" customFormat="1" ht="20.399999999999999" hidden="1" outlineLevel="1" x14ac:dyDescent="0.2">
      <c r="A739" s="61" t="s">
        <v>3484</v>
      </c>
      <c r="B739" s="95" t="s">
        <v>424</v>
      </c>
      <c r="C739" s="8" t="s">
        <v>47</v>
      </c>
      <c r="D739" s="25">
        <f t="shared" si="139"/>
        <v>26</v>
      </c>
      <c r="E739" s="54"/>
      <c r="F739" s="9"/>
      <c r="G739" s="88">
        <f>G736+G737</f>
        <v>26</v>
      </c>
      <c r="H739" s="88">
        <f t="shared" ref="H739:S739" si="148">H736+H737+H747</f>
        <v>0</v>
      </c>
      <c r="I739" s="88">
        <f t="shared" si="148"/>
        <v>0</v>
      </c>
      <c r="J739" s="88">
        <f t="shared" si="148"/>
        <v>0</v>
      </c>
      <c r="K739" s="88">
        <f t="shared" si="148"/>
        <v>0</v>
      </c>
      <c r="L739" s="88">
        <f t="shared" si="148"/>
        <v>0</v>
      </c>
      <c r="M739" s="88">
        <f t="shared" si="148"/>
        <v>0</v>
      </c>
      <c r="N739" s="88">
        <f t="shared" si="148"/>
        <v>0</v>
      </c>
      <c r="O739" s="88">
        <f t="shared" si="148"/>
        <v>0</v>
      </c>
      <c r="P739" s="88">
        <f t="shared" si="148"/>
        <v>0</v>
      </c>
      <c r="Q739" s="88">
        <f t="shared" si="148"/>
        <v>0</v>
      </c>
      <c r="R739" s="88">
        <f t="shared" si="148"/>
        <v>0</v>
      </c>
      <c r="S739" s="88">
        <f t="shared" si="148"/>
        <v>0</v>
      </c>
      <c r="T739" s="88">
        <f>T736+T737</f>
        <v>0</v>
      </c>
      <c r="U739" s="88">
        <f t="shared" ref="U739:AB739" si="149">U736+U737+U747</f>
        <v>0</v>
      </c>
      <c r="V739" s="88">
        <f t="shared" si="149"/>
        <v>0</v>
      </c>
      <c r="W739" s="88">
        <f t="shared" si="149"/>
        <v>0</v>
      </c>
      <c r="X739" s="88">
        <f t="shared" si="149"/>
        <v>0</v>
      </c>
      <c r="Y739" s="88">
        <f t="shared" si="149"/>
        <v>0</v>
      </c>
      <c r="Z739" s="88">
        <f t="shared" si="149"/>
        <v>0</v>
      </c>
      <c r="AA739" s="88">
        <f t="shared" si="149"/>
        <v>0</v>
      </c>
      <c r="AB739" s="88">
        <f t="shared" si="149"/>
        <v>0</v>
      </c>
      <c r="AC739" s="88">
        <f>AC736+AC737</f>
        <v>0</v>
      </c>
      <c r="AD739" s="53" t="e">
        <f>#REF!*D739</f>
        <v>#REF!</v>
      </c>
      <c r="AE739" s="53" t="e">
        <f>AD739-#REF!</f>
        <v>#REF!</v>
      </c>
      <c r="AF739" s="8"/>
      <c r="AG739" s="33" t="e">
        <f>#REF!-D739</f>
        <v>#REF!</v>
      </c>
      <c r="AH739" s="8"/>
      <c r="AI739" s="8"/>
      <c r="AJ739" s="8"/>
      <c r="AK739" s="8"/>
    </row>
    <row r="740" spans="1:37" s="12" customFormat="1" ht="20.399999999999999" hidden="1" outlineLevel="1" x14ac:dyDescent="0.2">
      <c r="A740" s="61" t="s">
        <v>3485</v>
      </c>
      <c r="B740" s="95" t="s">
        <v>69</v>
      </c>
      <c r="C740" s="9" t="s">
        <v>47</v>
      </c>
      <c r="D740" s="25">
        <f t="shared" si="139"/>
        <v>52</v>
      </c>
      <c r="E740" s="54"/>
      <c r="F740" s="78"/>
      <c r="G740" s="88">
        <f t="shared" ref="G740:AC740" si="150">G739*2</f>
        <v>52</v>
      </c>
      <c r="H740" s="88">
        <f t="shared" si="150"/>
        <v>0</v>
      </c>
      <c r="I740" s="88">
        <f t="shared" si="150"/>
        <v>0</v>
      </c>
      <c r="J740" s="88">
        <f t="shared" si="150"/>
        <v>0</v>
      </c>
      <c r="K740" s="88">
        <f t="shared" si="150"/>
        <v>0</v>
      </c>
      <c r="L740" s="88">
        <f t="shared" si="150"/>
        <v>0</v>
      </c>
      <c r="M740" s="88">
        <f t="shared" si="150"/>
        <v>0</v>
      </c>
      <c r="N740" s="88">
        <f t="shared" si="150"/>
        <v>0</v>
      </c>
      <c r="O740" s="88">
        <f t="shared" si="150"/>
        <v>0</v>
      </c>
      <c r="P740" s="88">
        <f t="shared" si="150"/>
        <v>0</v>
      </c>
      <c r="Q740" s="88">
        <f t="shared" si="150"/>
        <v>0</v>
      </c>
      <c r="R740" s="88">
        <f t="shared" si="150"/>
        <v>0</v>
      </c>
      <c r="S740" s="88">
        <f t="shared" si="150"/>
        <v>0</v>
      </c>
      <c r="T740" s="88">
        <f t="shared" si="150"/>
        <v>0</v>
      </c>
      <c r="U740" s="88">
        <f t="shared" si="150"/>
        <v>0</v>
      </c>
      <c r="V740" s="88">
        <f t="shared" si="150"/>
        <v>0</v>
      </c>
      <c r="W740" s="88">
        <f t="shared" si="150"/>
        <v>0</v>
      </c>
      <c r="X740" s="88">
        <f t="shared" si="150"/>
        <v>0</v>
      </c>
      <c r="Y740" s="88">
        <f t="shared" si="150"/>
        <v>0</v>
      </c>
      <c r="Z740" s="88">
        <f t="shared" si="150"/>
        <v>0</v>
      </c>
      <c r="AA740" s="88">
        <f t="shared" si="150"/>
        <v>0</v>
      </c>
      <c r="AB740" s="88">
        <f t="shared" si="150"/>
        <v>0</v>
      </c>
      <c r="AC740" s="88">
        <f t="shared" si="150"/>
        <v>0</v>
      </c>
      <c r="AD740" s="53" t="e">
        <f>#REF!*D740</f>
        <v>#REF!</v>
      </c>
      <c r="AE740" s="53" t="e">
        <f>AD740-#REF!</f>
        <v>#REF!</v>
      </c>
      <c r="AF740" s="9"/>
      <c r="AG740" s="33" t="e">
        <f>#REF!-D740</f>
        <v>#REF!</v>
      </c>
      <c r="AH740" s="9"/>
      <c r="AI740" s="9"/>
      <c r="AJ740" s="9"/>
      <c r="AK740" s="9"/>
    </row>
    <row r="741" spans="1:37" s="12" customFormat="1" ht="20.399999999999999" hidden="1" outlineLevel="1" x14ac:dyDescent="0.2">
      <c r="A741" s="61" t="s">
        <v>3486</v>
      </c>
      <c r="B741" s="95" t="s">
        <v>1032</v>
      </c>
      <c r="C741" s="9" t="s">
        <v>47</v>
      </c>
      <c r="D741" s="25">
        <f t="shared" si="139"/>
        <v>156</v>
      </c>
      <c r="E741" s="54"/>
      <c r="F741" s="78"/>
      <c r="G741" s="88">
        <f t="shared" ref="G741:AC741" si="151">G739*6</f>
        <v>156</v>
      </c>
      <c r="H741" s="88">
        <f t="shared" si="151"/>
        <v>0</v>
      </c>
      <c r="I741" s="88">
        <f t="shared" si="151"/>
        <v>0</v>
      </c>
      <c r="J741" s="88">
        <f t="shared" si="151"/>
        <v>0</v>
      </c>
      <c r="K741" s="88">
        <f t="shared" si="151"/>
        <v>0</v>
      </c>
      <c r="L741" s="88">
        <f t="shared" si="151"/>
        <v>0</v>
      </c>
      <c r="M741" s="88">
        <f t="shared" si="151"/>
        <v>0</v>
      </c>
      <c r="N741" s="88">
        <f t="shared" si="151"/>
        <v>0</v>
      </c>
      <c r="O741" s="88">
        <f t="shared" si="151"/>
        <v>0</v>
      </c>
      <c r="P741" s="88">
        <f t="shared" si="151"/>
        <v>0</v>
      </c>
      <c r="Q741" s="88">
        <f t="shared" si="151"/>
        <v>0</v>
      </c>
      <c r="R741" s="88">
        <f t="shared" si="151"/>
        <v>0</v>
      </c>
      <c r="S741" s="88">
        <f t="shared" si="151"/>
        <v>0</v>
      </c>
      <c r="T741" s="88">
        <f t="shared" si="151"/>
        <v>0</v>
      </c>
      <c r="U741" s="88">
        <f t="shared" si="151"/>
        <v>0</v>
      </c>
      <c r="V741" s="88">
        <f t="shared" si="151"/>
        <v>0</v>
      </c>
      <c r="W741" s="88">
        <f t="shared" si="151"/>
        <v>0</v>
      </c>
      <c r="X741" s="88">
        <f t="shared" si="151"/>
        <v>0</v>
      </c>
      <c r="Y741" s="88">
        <f t="shared" si="151"/>
        <v>0</v>
      </c>
      <c r="Z741" s="88">
        <f t="shared" si="151"/>
        <v>0</v>
      </c>
      <c r="AA741" s="88">
        <f t="shared" si="151"/>
        <v>0</v>
      </c>
      <c r="AB741" s="88">
        <f t="shared" si="151"/>
        <v>0</v>
      </c>
      <c r="AC741" s="88">
        <f t="shared" si="151"/>
        <v>0</v>
      </c>
      <c r="AD741" s="53" t="e">
        <f>#REF!*D741</f>
        <v>#REF!</v>
      </c>
      <c r="AE741" s="53" t="e">
        <f>AD741-#REF!</f>
        <v>#REF!</v>
      </c>
      <c r="AF741" s="9"/>
      <c r="AG741" s="33" t="e">
        <f>#REF!-D741</f>
        <v>#REF!</v>
      </c>
      <c r="AH741" s="9"/>
      <c r="AI741" s="9"/>
      <c r="AJ741" s="9"/>
      <c r="AK741" s="9"/>
    </row>
    <row r="742" spans="1:37" s="17" customFormat="1" ht="20.399999999999999" hidden="1" outlineLevel="1" x14ac:dyDescent="0.2">
      <c r="A742" s="61" t="s">
        <v>3487</v>
      </c>
      <c r="B742" s="95" t="s">
        <v>1033</v>
      </c>
      <c r="C742" s="8" t="s">
        <v>48</v>
      </c>
      <c r="D742" s="25">
        <f t="shared" si="139"/>
        <v>15</v>
      </c>
      <c r="E742" s="54"/>
      <c r="F742" s="9"/>
      <c r="G742" s="88">
        <f>MROUND(G739*0.55,3)</f>
        <v>15</v>
      </c>
      <c r="H742" s="88">
        <f t="shared" ref="H742:AC742" si="152">MROUND(H736*0.55,3)</f>
        <v>0</v>
      </c>
      <c r="I742" s="88">
        <f t="shared" si="152"/>
        <v>0</v>
      </c>
      <c r="J742" s="88">
        <f t="shared" si="152"/>
        <v>0</v>
      </c>
      <c r="K742" s="88">
        <f t="shared" si="152"/>
        <v>0</v>
      </c>
      <c r="L742" s="88">
        <f t="shared" si="152"/>
        <v>0</v>
      </c>
      <c r="M742" s="88">
        <f t="shared" si="152"/>
        <v>0</v>
      </c>
      <c r="N742" s="88">
        <f t="shared" si="152"/>
        <v>0</v>
      </c>
      <c r="O742" s="88">
        <f t="shared" si="152"/>
        <v>0</v>
      </c>
      <c r="P742" s="88">
        <f t="shared" si="152"/>
        <v>0</v>
      </c>
      <c r="Q742" s="88">
        <f t="shared" si="152"/>
        <v>0</v>
      </c>
      <c r="R742" s="88">
        <f t="shared" si="152"/>
        <v>0</v>
      </c>
      <c r="S742" s="88">
        <f t="shared" si="152"/>
        <v>0</v>
      </c>
      <c r="T742" s="88">
        <f t="shared" si="152"/>
        <v>0</v>
      </c>
      <c r="U742" s="88">
        <f t="shared" si="152"/>
        <v>0</v>
      </c>
      <c r="V742" s="88">
        <f t="shared" si="152"/>
        <v>0</v>
      </c>
      <c r="W742" s="88">
        <f t="shared" si="152"/>
        <v>0</v>
      </c>
      <c r="X742" s="88">
        <f t="shared" si="152"/>
        <v>0</v>
      </c>
      <c r="Y742" s="88">
        <f t="shared" si="152"/>
        <v>0</v>
      </c>
      <c r="Z742" s="88">
        <f t="shared" si="152"/>
        <v>0</v>
      </c>
      <c r="AA742" s="88">
        <f t="shared" si="152"/>
        <v>0</v>
      </c>
      <c r="AB742" s="88">
        <f t="shared" si="152"/>
        <v>0</v>
      </c>
      <c r="AC742" s="88">
        <f t="shared" si="152"/>
        <v>0</v>
      </c>
      <c r="AD742" s="53" t="e">
        <f>#REF!*D742</f>
        <v>#REF!</v>
      </c>
      <c r="AE742" s="53" t="e">
        <f>AD742-#REF!</f>
        <v>#REF!</v>
      </c>
      <c r="AF742" s="8"/>
      <c r="AG742" s="33" t="e">
        <f>#REF!-D742</f>
        <v>#REF!</v>
      </c>
      <c r="AH742" s="8"/>
      <c r="AI742" s="8"/>
      <c r="AJ742" s="8"/>
      <c r="AK742" s="8"/>
    </row>
    <row r="743" spans="1:37" s="17" customFormat="1" ht="29.25" hidden="1" customHeight="1" outlineLevel="1" x14ac:dyDescent="0.2">
      <c r="A743" s="61" t="s">
        <v>3488</v>
      </c>
      <c r="B743" s="95" t="s">
        <v>425</v>
      </c>
      <c r="C743" s="8" t="s">
        <v>47</v>
      </c>
      <c r="D743" s="25">
        <f t="shared" si="139"/>
        <v>596</v>
      </c>
      <c r="E743" s="54"/>
      <c r="F743" s="9"/>
      <c r="G743" s="88">
        <f>G738*8+G735*12+G734*18+G728*18+G727*12+G726*12+G722*18+G721*18+G720*12+4</f>
        <v>596</v>
      </c>
      <c r="H743" s="88">
        <f t="shared" ref="H743:AC743" si="153">H738*8+H745*4+H746*6+H748*2+H749*2</f>
        <v>0</v>
      </c>
      <c r="I743" s="88">
        <f t="shared" si="153"/>
        <v>0</v>
      </c>
      <c r="J743" s="88">
        <f t="shared" si="153"/>
        <v>0</v>
      </c>
      <c r="K743" s="88">
        <f t="shared" si="153"/>
        <v>0</v>
      </c>
      <c r="L743" s="88">
        <f t="shared" si="153"/>
        <v>0</v>
      </c>
      <c r="M743" s="88">
        <f t="shared" si="153"/>
        <v>0</v>
      </c>
      <c r="N743" s="88">
        <f t="shared" si="153"/>
        <v>0</v>
      </c>
      <c r="O743" s="88">
        <f t="shared" si="153"/>
        <v>0</v>
      </c>
      <c r="P743" s="88">
        <f t="shared" si="153"/>
        <v>0</v>
      </c>
      <c r="Q743" s="88">
        <f t="shared" si="153"/>
        <v>0</v>
      </c>
      <c r="R743" s="88">
        <f t="shared" si="153"/>
        <v>0</v>
      </c>
      <c r="S743" s="88">
        <f t="shared" si="153"/>
        <v>0</v>
      </c>
      <c r="T743" s="88">
        <f t="shared" si="153"/>
        <v>0</v>
      </c>
      <c r="U743" s="88">
        <f t="shared" si="153"/>
        <v>0</v>
      </c>
      <c r="V743" s="88">
        <f t="shared" si="153"/>
        <v>0</v>
      </c>
      <c r="W743" s="88">
        <f t="shared" si="153"/>
        <v>0</v>
      </c>
      <c r="X743" s="88">
        <f t="shared" si="153"/>
        <v>0</v>
      </c>
      <c r="Y743" s="88">
        <f t="shared" si="153"/>
        <v>0</v>
      </c>
      <c r="Z743" s="88">
        <f t="shared" si="153"/>
        <v>0</v>
      </c>
      <c r="AA743" s="88">
        <f t="shared" si="153"/>
        <v>0</v>
      </c>
      <c r="AB743" s="88">
        <f t="shared" si="153"/>
        <v>0</v>
      </c>
      <c r="AC743" s="88">
        <f t="shared" si="153"/>
        <v>0</v>
      </c>
      <c r="AD743" s="53" t="e">
        <f>#REF!*D743</f>
        <v>#REF!</v>
      </c>
      <c r="AE743" s="53" t="e">
        <f>AD743-#REF!</f>
        <v>#REF!</v>
      </c>
      <c r="AF743" s="8"/>
      <c r="AG743" s="33" t="e">
        <f>#REF!-D743</f>
        <v>#REF!</v>
      </c>
      <c r="AH743" s="8"/>
      <c r="AI743" s="8"/>
      <c r="AJ743" s="8"/>
      <c r="AK743" s="8"/>
    </row>
    <row r="744" spans="1:37" s="12" customFormat="1" ht="22.8" hidden="1" outlineLevel="1" x14ac:dyDescent="0.2">
      <c r="A744" s="61" t="s">
        <v>3489</v>
      </c>
      <c r="B744" s="95" t="s">
        <v>3168</v>
      </c>
      <c r="C744" s="9" t="s">
        <v>48</v>
      </c>
      <c r="D744" s="25">
        <f t="shared" si="139"/>
        <v>160</v>
      </c>
      <c r="E744" s="54"/>
      <c r="F744" s="9"/>
      <c r="G744" s="9">
        <v>160</v>
      </c>
      <c r="H744" s="9">
        <v>0</v>
      </c>
      <c r="I744" s="9">
        <v>0</v>
      </c>
      <c r="J744" s="9">
        <v>0</v>
      </c>
      <c r="K744" s="9">
        <v>0</v>
      </c>
      <c r="L744" s="9">
        <v>0</v>
      </c>
      <c r="M744" s="9">
        <v>0</v>
      </c>
      <c r="N744" s="9">
        <v>0</v>
      </c>
      <c r="O744" s="9">
        <v>0</v>
      </c>
      <c r="P744" s="9">
        <v>0</v>
      </c>
      <c r="Q744" s="9">
        <v>0</v>
      </c>
      <c r="R744" s="9">
        <v>0</v>
      </c>
      <c r="S744" s="9">
        <v>0</v>
      </c>
      <c r="T744" s="9">
        <v>0</v>
      </c>
      <c r="U744" s="9">
        <v>0</v>
      </c>
      <c r="V744" s="9">
        <v>0</v>
      </c>
      <c r="W744" s="9">
        <v>0</v>
      </c>
      <c r="X744" s="9">
        <v>0</v>
      </c>
      <c r="Y744" s="9">
        <v>0</v>
      </c>
      <c r="Z744" s="9">
        <v>0</v>
      </c>
      <c r="AA744" s="9">
        <v>0</v>
      </c>
      <c r="AB744" s="9">
        <v>0</v>
      </c>
      <c r="AC744" s="9">
        <v>0</v>
      </c>
      <c r="AD744" s="53" t="e">
        <f>#REF!*D744</f>
        <v>#REF!</v>
      </c>
      <c r="AE744" s="53" t="e">
        <f>AD744-#REF!</f>
        <v>#REF!</v>
      </c>
      <c r="AF744" s="9"/>
      <c r="AG744" s="33" t="e">
        <f>#REF!-D744</f>
        <v>#REF!</v>
      </c>
      <c r="AH744" s="9"/>
      <c r="AI744" s="9"/>
      <c r="AJ744" s="9"/>
      <c r="AK744" s="9"/>
    </row>
    <row r="745" spans="1:37" s="12" customFormat="1" ht="26.25" hidden="1" customHeight="1" outlineLevel="1" x14ac:dyDescent="0.2">
      <c r="A745" s="61" t="s">
        <v>3490</v>
      </c>
      <c r="B745" s="95" t="s">
        <v>414</v>
      </c>
      <c r="C745" s="9" t="s">
        <v>48</v>
      </c>
      <c r="D745" s="25">
        <f t="shared" si="139"/>
        <v>50</v>
      </c>
      <c r="E745" s="54"/>
      <c r="F745" s="9"/>
      <c r="G745" s="9">
        <v>50</v>
      </c>
      <c r="H745" s="9">
        <v>0</v>
      </c>
      <c r="I745" s="9">
        <v>0</v>
      </c>
      <c r="J745" s="9">
        <v>0</v>
      </c>
      <c r="K745" s="9">
        <v>0</v>
      </c>
      <c r="L745" s="9">
        <v>0</v>
      </c>
      <c r="M745" s="9">
        <v>0</v>
      </c>
      <c r="N745" s="9">
        <v>0</v>
      </c>
      <c r="O745" s="9">
        <v>0</v>
      </c>
      <c r="P745" s="9">
        <v>0</v>
      </c>
      <c r="Q745" s="9">
        <v>0</v>
      </c>
      <c r="R745" s="9">
        <v>0</v>
      </c>
      <c r="S745" s="9">
        <v>0</v>
      </c>
      <c r="T745" s="9">
        <v>0</v>
      </c>
      <c r="U745" s="9">
        <v>0</v>
      </c>
      <c r="V745" s="9">
        <v>0</v>
      </c>
      <c r="W745" s="9">
        <v>0</v>
      </c>
      <c r="X745" s="9">
        <v>0</v>
      </c>
      <c r="Y745" s="9">
        <v>0</v>
      </c>
      <c r="Z745" s="9">
        <v>0</v>
      </c>
      <c r="AA745" s="9">
        <v>0</v>
      </c>
      <c r="AB745" s="9">
        <v>0</v>
      </c>
      <c r="AC745" s="9">
        <v>0</v>
      </c>
      <c r="AD745" s="53" t="e">
        <f>#REF!*D745</f>
        <v>#REF!</v>
      </c>
      <c r="AE745" s="53" t="e">
        <f>AD745-#REF!</f>
        <v>#REF!</v>
      </c>
      <c r="AF745" s="9"/>
      <c r="AG745" s="33" t="e">
        <f>#REF!-D745</f>
        <v>#REF!</v>
      </c>
      <c r="AH745" s="9"/>
      <c r="AI745" s="9"/>
      <c r="AJ745" s="9"/>
      <c r="AK745" s="9"/>
    </row>
    <row r="746" spans="1:37" s="12" customFormat="1" ht="25.5" hidden="1" customHeight="1" outlineLevel="1" x14ac:dyDescent="0.2">
      <c r="A746" s="61" t="s">
        <v>3491</v>
      </c>
      <c r="B746" s="95" t="s">
        <v>413</v>
      </c>
      <c r="C746" s="9" t="s">
        <v>48</v>
      </c>
      <c r="D746" s="25">
        <f t="shared" si="139"/>
        <v>110</v>
      </c>
      <c r="E746" s="54"/>
      <c r="F746" s="9"/>
      <c r="G746" s="9">
        <v>110</v>
      </c>
      <c r="H746" s="9">
        <v>0</v>
      </c>
      <c r="I746" s="9">
        <v>0</v>
      </c>
      <c r="J746" s="9">
        <v>0</v>
      </c>
      <c r="K746" s="9">
        <v>0</v>
      </c>
      <c r="L746" s="9">
        <v>0</v>
      </c>
      <c r="M746" s="9">
        <v>0</v>
      </c>
      <c r="N746" s="9">
        <v>0</v>
      </c>
      <c r="O746" s="9">
        <v>0</v>
      </c>
      <c r="P746" s="9">
        <v>0</v>
      </c>
      <c r="Q746" s="9">
        <v>0</v>
      </c>
      <c r="R746" s="9">
        <v>0</v>
      </c>
      <c r="S746" s="9">
        <v>0</v>
      </c>
      <c r="T746" s="9">
        <v>0</v>
      </c>
      <c r="U746" s="9">
        <v>0</v>
      </c>
      <c r="V746" s="9">
        <v>0</v>
      </c>
      <c r="W746" s="9">
        <v>0</v>
      </c>
      <c r="X746" s="9">
        <v>0</v>
      </c>
      <c r="Y746" s="9">
        <v>0</v>
      </c>
      <c r="Z746" s="9">
        <v>0</v>
      </c>
      <c r="AA746" s="9">
        <v>0</v>
      </c>
      <c r="AB746" s="9">
        <v>0</v>
      </c>
      <c r="AC746" s="9">
        <v>0</v>
      </c>
      <c r="AD746" s="53" t="e">
        <f>#REF!*D746</f>
        <v>#REF!</v>
      </c>
      <c r="AE746" s="53" t="e">
        <f>AD746-#REF!</f>
        <v>#REF!</v>
      </c>
      <c r="AF746" s="9"/>
      <c r="AG746" s="33" t="e">
        <f>#REF!-D746</f>
        <v>#REF!</v>
      </c>
      <c r="AH746" s="9"/>
      <c r="AI746" s="9"/>
      <c r="AJ746" s="9"/>
      <c r="AK746" s="9"/>
    </row>
    <row r="747" spans="1:37" s="12" customFormat="1" ht="20.399999999999999" hidden="1" outlineLevel="1" x14ac:dyDescent="0.2">
      <c r="A747" s="61" t="s">
        <v>3492</v>
      </c>
      <c r="B747" s="95" t="s">
        <v>2976</v>
      </c>
      <c r="C747" s="9" t="s">
        <v>48</v>
      </c>
      <c r="D747" s="25">
        <f t="shared" si="139"/>
        <v>860</v>
      </c>
      <c r="E747" s="54"/>
      <c r="F747" s="9"/>
      <c r="G747" s="9">
        <v>860</v>
      </c>
      <c r="H747" s="9">
        <v>0</v>
      </c>
      <c r="I747" s="9">
        <v>0</v>
      </c>
      <c r="J747" s="9">
        <v>0</v>
      </c>
      <c r="K747" s="9">
        <v>0</v>
      </c>
      <c r="L747" s="9">
        <v>0</v>
      </c>
      <c r="M747" s="9">
        <v>0</v>
      </c>
      <c r="N747" s="9">
        <v>0</v>
      </c>
      <c r="O747" s="9">
        <v>0</v>
      </c>
      <c r="P747" s="9">
        <v>0</v>
      </c>
      <c r="Q747" s="9">
        <v>0</v>
      </c>
      <c r="R747" s="9">
        <v>0</v>
      </c>
      <c r="S747" s="9">
        <v>0</v>
      </c>
      <c r="T747" s="9">
        <v>0</v>
      </c>
      <c r="U747" s="9">
        <v>0</v>
      </c>
      <c r="V747" s="9">
        <v>0</v>
      </c>
      <c r="W747" s="9">
        <v>0</v>
      </c>
      <c r="X747" s="9">
        <v>0</v>
      </c>
      <c r="Y747" s="9">
        <v>0</v>
      </c>
      <c r="Z747" s="9">
        <v>0</v>
      </c>
      <c r="AA747" s="9">
        <v>0</v>
      </c>
      <c r="AB747" s="9">
        <v>0</v>
      </c>
      <c r="AC747" s="9">
        <v>0</v>
      </c>
      <c r="AD747" s="53" t="e">
        <f>#REF!*D747</f>
        <v>#REF!</v>
      </c>
      <c r="AE747" s="53" t="e">
        <f>AD747-#REF!</f>
        <v>#REF!</v>
      </c>
      <c r="AF747" s="9"/>
      <c r="AG747" s="33" t="e">
        <f>#REF!-D747</f>
        <v>#REF!</v>
      </c>
      <c r="AH747" s="9"/>
      <c r="AI747" s="9"/>
      <c r="AJ747" s="9"/>
      <c r="AK747" s="9"/>
    </row>
    <row r="748" spans="1:37" s="12" customFormat="1" ht="20.399999999999999" hidden="1" outlineLevel="1" x14ac:dyDescent="0.2">
      <c r="A748" s="61" t="s">
        <v>3493</v>
      </c>
      <c r="B748" s="95" t="s">
        <v>2977</v>
      </c>
      <c r="C748" s="9" t="s">
        <v>48</v>
      </c>
      <c r="D748" s="25">
        <f t="shared" si="139"/>
        <v>65</v>
      </c>
      <c r="E748" s="54"/>
      <c r="F748" s="9"/>
      <c r="G748" s="9">
        <v>65</v>
      </c>
      <c r="H748" s="9">
        <v>0</v>
      </c>
      <c r="I748" s="9">
        <v>0</v>
      </c>
      <c r="J748" s="9">
        <v>0</v>
      </c>
      <c r="K748" s="9">
        <v>0</v>
      </c>
      <c r="L748" s="9">
        <v>0</v>
      </c>
      <c r="M748" s="9">
        <v>0</v>
      </c>
      <c r="N748" s="9">
        <v>0</v>
      </c>
      <c r="O748" s="9">
        <v>0</v>
      </c>
      <c r="P748" s="9">
        <v>0</v>
      </c>
      <c r="Q748" s="9">
        <v>0</v>
      </c>
      <c r="R748" s="9">
        <v>0</v>
      </c>
      <c r="S748" s="9">
        <v>0</v>
      </c>
      <c r="T748" s="9">
        <v>0</v>
      </c>
      <c r="U748" s="9">
        <v>0</v>
      </c>
      <c r="V748" s="9">
        <v>0</v>
      </c>
      <c r="W748" s="9">
        <v>0</v>
      </c>
      <c r="X748" s="9">
        <v>0</v>
      </c>
      <c r="Y748" s="9">
        <v>0</v>
      </c>
      <c r="Z748" s="9">
        <v>0</v>
      </c>
      <c r="AA748" s="9">
        <v>0</v>
      </c>
      <c r="AB748" s="9">
        <v>0</v>
      </c>
      <c r="AC748" s="9">
        <v>0</v>
      </c>
      <c r="AD748" s="53" t="e">
        <f>#REF!*D748</f>
        <v>#REF!</v>
      </c>
      <c r="AE748" s="53" t="e">
        <f>AD748-#REF!</f>
        <v>#REF!</v>
      </c>
      <c r="AF748" s="9"/>
      <c r="AG748" s="33" t="e">
        <f>#REF!-D748</f>
        <v>#REF!</v>
      </c>
      <c r="AH748" s="9"/>
      <c r="AI748" s="9"/>
      <c r="AJ748" s="9"/>
      <c r="AK748" s="9"/>
    </row>
    <row r="749" spans="1:37" s="12" customFormat="1" ht="25.5" hidden="1" customHeight="1" outlineLevel="1" x14ac:dyDescent="0.2">
      <c r="A749" s="61" t="s">
        <v>3494</v>
      </c>
      <c r="B749" s="95" t="s">
        <v>3171</v>
      </c>
      <c r="C749" s="9" t="s">
        <v>48</v>
      </c>
      <c r="D749" s="25">
        <f t="shared" si="139"/>
        <v>280</v>
      </c>
      <c r="E749" s="54"/>
      <c r="F749" s="9"/>
      <c r="G749" s="9">
        <v>280</v>
      </c>
      <c r="H749" s="9">
        <v>0</v>
      </c>
      <c r="I749" s="9">
        <v>0</v>
      </c>
      <c r="J749" s="9">
        <v>0</v>
      </c>
      <c r="K749" s="9">
        <v>0</v>
      </c>
      <c r="L749" s="9">
        <v>0</v>
      </c>
      <c r="M749" s="9">
        <v>0</v>
      </c>
      <c r="N749" s="9">
        <v>0</v>
      </c>
      <c r="O749" s="9">
        <v>0</v>
      </c>
      <c r="P749" s="9">
        <v>0</v>
      </c>
      <c r="Q749" s="9">
        <v>0</v>
      </c>
      <c r="R749" s="9">
        <v>0</v>
      </c>
      <c r="S749" s="9">
        <v>0</v>
      </c>
      <c r="T749" s="9">
        <v>0</v>
      </c>
      <c r="U749" s="9">
        <v>0</v>
      </c>
      <c r="V749" s="9">
        <v>0</v>
      </c>
      <c r="W749" s="9">
        <v>0</v>
      </c>
      <c r="X749" s="9">
        <v>0</v>
      </c>
      <c r="Y749" s="9">
        <v>0</v>
      </c>
      <c r="Z749" s="9">
        <v>0</v>
      </c>
      <c r="AA749" s="9">
        <v>0</v>
      </c>
      <c r="AB749" s="9">
        <v>0</v>
      </c>
      <c r="AC749" s="9">
        <v>0</v>
      </c>
      <c r="AD749" s="53" t="e">
        <f>#REF!*D749</f>
        <v>#REF!</v>
      </c>
      <c r="AE749" s="53" t="e">
        <f>AD749-#REF!</f>
        <v>#REF!</v>
      </c>
      <c r="AF749" s="9"/>
      <c r="AG749" s="33" t="e">
        <f>#REF!-D749</f>
        <v>#REF!</v>
      </c>
      <c r="AH749" s="9"/>
      <c r="AI749" s="9"/>
      <c r="AJ749" s="9"/>
      <c r="AK749" s="9"/>
    </row>
    <row r="750" spans="1:37" s="12" customFormat="1" ht="24" hidden="1" customHeight="1" outlineLevel="1" x14ac:dyDescent="0.2">
      <c r="A750" s="61" t="s">
        <v>3495</v>
      </c>
      <c r="B750" s="95" t="s">
        <v>3172</v>
      </c>
      <c r="C750" s="9" t="s">
        <v>48</v>
      </c>
      <c r="D750" s="25">
        <f t="shared" si="139"/>
        <v>70</v>
      </c>
      <c r="E750" s="54"/>
      <c r="F750" s="9"/>
      <c r="G750" s="9">
        <v>70</v>
      </c>
      <c r="H750" s="9">
        <v>0</v>
      </c>
      <c r="I750" s="9">
        <v>0</v>
      </c>
      <c r="J750" s="9">
        <v>0</v>
      </c>
      <c r="K750" s="9">
        <v>0</v>
      </c>
      <c r="L750" s="9">
        <v>0</v>
      </c>
      <c r="M750" s="9">
        <v>0</v>
      </c>
      <c r="N750" s="9">
        <v>0</v>
      </c>
      <c r="O750" s="9">
        <v>0</v>
      </c>
      <c r="P750" s="9">
        <v>0</v>
      </c>
      <c r="Q750" s="9">
        <v>0</v>
      </c>
      <c r="R750" s="9">
        <v>0</v>
      </c>
      <c r="S750" s="9">
        <v>0</v>
      </c>
      <c r="T750" s="9">
        <v>0</v>
      </c>
      <c r="U750" s="9">
        <v>0</v>
      </c>
      <c r="V750" s="9">
        <v>0</v>
      </c>
      <c r="W750" s="9">
        <v>0</v>
      </c>
      <c r="X750" s="9">
        <v>0</v>
      </c>
      <c r="Y750" s="9">
        <v>0</v>
      </c>
      <c r="Z750" s="9">
        <v>0</v>
      </c>
      <c r="AA750" s="9">
        <v>0</v>
      </c>
      <c r="AB750" s="9">
        <v>0</v>
      </c>
      <c r="AC750" s="9">
        <v>0</v>
      </c>
      <c r="AD750" s="53" t="e">
        <f>#REF!*D750</f>
        <v>#REF!</v>
      </c>
      <c r="AE750" s="53" t="e">
        <f>AD750-#REF!</f>
        <v>#REF!</v>
      </c>
      <c r="AF750" s="9"/>
      <c r="AG750" s="33" t="e">
        <f>#REF!-D750</f>
        <v>#REF!</v>
      </c>
      <c r="AH750" s="9"/>
      <c r="AI750" s="9"/>
      <c r="AJ750" s="9"/>
      <c r="AK750" s="9"/>
    </row>
    <row r="751" spans="1:37" s="12" customFormat="1" ht="24" hidden="1" customHeight="1" outlineLevel="1" x14ac:dyDescent="0.2">
      <c r="A751" s="61" t="s">
        <v>3496</v>
      </c>
      <c r="B751" s="95" t="s">
        <v>3173</v>
      </c>
      <c r="C751" s="9" t="s">
        <v>48</v>
      </c>
      <c r="D751" s="25">
        <f t="shared" si="139"/>
        <v>70</v>
      </c>
      <c r="E751" s="54"/>
      <c r="F751" s="9"/>
      <c r="G751" s="9">
        <v>70</v>
      </c>
      <c r="H751" s="9">
        <v>0</v>
      </c>
      <c r="I751" s="9">
        <v>0</v>
      </c>
      <c r="J751" s="9">
        <v>0</v>
      </c>
      <c r="K751" s="9">
        <v>0</v>
      </c>
      <c r="L751" s="9">
        <v>0</v>
      </c>
      <c r="M751" s="9">
        <v>0</v>
      </c>
      <c r="N751" s="9">
        <v>0</v>
      </c>
      <c r="O751" s="9">
        <v>0</v>
      </c>
      <c r="P751" s="9">
        <v>0</v>
      </c>
      <c r="Q751" s="9">
        <v>0</v>
      </c>
      <c r="R751" s="9">
        <v>0</v>
      </c>
      <c r="S751" s="9">
        <v>0</v>
      </c>
      <c r="T751" s="9">
        <v>0</v>
      </c>
      <c r="U751" s="9">
        <v>0</v>
      </c>
      <c r="V751" s="9">
        <v>0</v>
      </c>
      <c r="W751" s="9">
        <v>0</v>
      </c>
      <c r="X751" s="9">
        <v>0</v>
      </c>
      <c r="Y751" s="9">
        <v>0</v>
      </c>
      <c r="Z751" s="9">
        <v>0</v>
      </c>
      <c r="AA751" s="9">
        <v>0</v>
      </c>
      <c r="AB751" s="9">
        <v>0</v>
      </c>
      <c r="AC751" s="9">
        <v>0</v>
      </c>
      <c r="AD751" s="53" t="e">
        <f>#REF!*D751</f>
        <v>#REF!</v>
      </c>
      <c r="AE751" s="53" t="e">
        <f>AD751-#REF!</f>
        <v>#REF!</v>
      </c>
      <c r="AF751" s="9"/>
      <c r="AG751" s="33" t="e">
        <f>#REF!-D751</f>
        <v>#REF!</v>
      </c>
      <c r="AH751" s="9"/>
      <c r="AI751" s="9"/>
      <c r="AJ751" s="9"/>
      <c r="AK751" s="9"/>
    </row>
    <row r="752" spans="1:37" s="12" customFormat="1" ht="24" hidden="1" customHeight="1" outlineLevel="1" x14ac:dyDescent="0.2">
      <c r="A752" s="61" t="s">
        <v>3497</v>
      </c>
      <c r="B752" s="95" t="s">
        <v>3174</v>
      </c>
      <c r="C752" s="9" t="s">
        <v>48</v>
      </c>
      <c r="D752" s="25">
        <f t="shared" si="139"/>
        <v>70</v>
      </c>
      <c r="E752" s="54"/>
      <c r="F752" s="9"/>
      <c r="G752" s="9">
        <v>70</v>
      </c>
      <c r="H752" s="9">
        <v>0</v>
      </c>
      <c r="I752" s="9">
        <v>0</v>
      </c>
      <c r="J752" s="9">
        <v>0</v>
      </c>
      <c r="K752" s="9">
        <v>0</v>
      </c>
      <c r="L752" s="9">
        <v>0</v>
      </c>
      <c r="M752" s="9">
        <v>0</v>
      </c>
      <c r="N752" s="9">
        <v>0</v>
      </c>
      <c r="O752" s="9">
        <v>0</v>
      </c>
      <c r="P752" s="9">
        <v>0</v>
      </c>
      <c r="Q752" s="9">
        <v>0</v>
      </c>
      <c r="R752" s="9">
        <v>0</v>
      </c>
      <c r="S752" s="9">
        <v>0</v>
      </c>
      <c r="T752" s="9">
        <v>0</v>
      </c>
      <c r="U752" s="9">
        <v>0</v>
      </c>
      <c r="V752" s="9">
        <v>0</v>
      </c>
      <c r="W752" s="9">
        <v>0</v>
      </c>
      <c r="X752" s="9">
        <v>0</v>
      </c>
      <c r="Y752" s="9">
        <v>0</v>
      </c>
      <c r="Z752" s="9">
        <v>0</v>
      </c>
      <c r="AA752" s="9">
        <v>0</v>
      </c>
      <c r="AB752" s="9">
        <v>0</v>
      </c>
      <c r="AC752" s="9">
        <v>0</v>
      </c>
      <c r="AD752" s="53" t="e">
        <f>#REF!*D752</f>
        <v>#REF!</v>
      </c>
      <c r="AE752" s="53" t="e">
        <f>AD752-#REF!</f>
        <v>#REF!</v>
      </c>
      <c r="AF752" s="9"/>
      <c r="AG752" s="33" t="e">
        <f>#REF!-D752</f>
        <v>#REF!</v>
      </c>
      <c r="AH752" s="9"/>
      <c r="AI752" s="9"/>
      <c r="AJ752" s="9"/>
      <c r="AK752" s="9"/>
    </row>
    <row r="753" spans="1:37" s="12" customFormat="1" ht="21.6" hidden="1" outlineLevel="1" x14ac:dyDescent="0.2">
      <c r="A753" s="61" t="s">
        <v>3498</v>
      </c>
      <c r="B753" s="95" t="s">
        <v>416</v>
      </c>
      <c r="C753" s="9" t="s">
        <v>47</v>
      </c>
      <c r="D753" s="25">
        <f t="shared" si="139"/>
        <v>35</v>
      </c>
      <c r="E753" s="54"/>
      <c r="F753" s="9"/>
      <c r="G753" s="9">
        <v>35</v>
      </c>
      <c r="H753" s="9">
        <v>0</v>
      </c>
      <c r="I753" s="9">
        <v>0</v>
      </c>
      <c r="J753" s="9">
        <v>0</v>
      </c>
      <c r="K753" s="9">
        <v>0</v>
      </c>
      <c r="L753" s="9">
        <v>0</v>
      </c>
      <c r="M753" s="9">
        <v>0</v>
      </c>
      <c r="N753" s="9">
        <v>0</v>
      </c>
      <c r="O753" s="9">
        <v>0</v>
      </c>
      <c r="P753" s="9">
        <v>0</v>
      </c>
      <c r="Q753" s="9">
        <v>0</v>
      </c>
      <c r="R753" s="9">
        <v>0</v>
      </c>
      <c r="S753" s="9">
        <v>0</v>
      </c>
      <c r="T753" s="9">
        <v>0</v>
      </c>
      <c r="U753" s="9">
        <v>0</v>
      </c>
      <c r="V753" s="9">
        <v>0</v>
      </c>
      <c r="W753" s="9">
        <v>0</v>
      </c>
      <c r="X753" s="9">
        <v>0</v>
      </c>
      <c r="Y753" s="9">
        <v>0</v>
      </c>
      <c r="Z753" s="9">
        <v>0</v>
      </c>
      <c r="AA753" s="9">
        <v>0</v>
      </c>
      <c r="AB753" s="9">
        <v>0</v>
      </c>
      <c r="AC753" s="9">
        <v>0</v>
      </c>
      <c r="AD753" s="53" t="e">
        <f>#REF!*D753</f>
        <v>#REF!</v>
      </c>
      <c r="AE753" s="53" t="e">
        <f>AD753-#REF!</f>
        <v>#REF!</v>
      </c>
      <c r="AF753" s="9"/>
      <c r="AG753" s="33" t="e">
        <f>#REF!-D753</f>
        <v>#REF!</v>
      </c>
      <c r="AH753" s="9"/>
      <c r="AI753" s="9"/>
      <c r="AJ753" s="9"/>
      <c r="AK753" s="9"/>
    </row>
    <row r="754" spans="1:37" s="12" customFormat="1" ht="21.6" hidden="1" outlineLevel="1" x14ac:dyDescent="0.2">
      <c r="A754" s="61" t="s">
        <v>3499</v>
      </c>
      <c r="B754" s="95" t="s">
        <v>2978</v>
      </c>
      <c r="C754" s="9" t="s">
        <v>47</v>
      </c>
      <c r="D754" s="25">
        <f t="shared" si="139"/>
        <v>60</v>
      </c>
      <c r="E754" s="54"/>
      <c r="F754" s="9"/>
      <c r="G754" s="9">
        <v>60</v>
      </c>
      <c r="H754" s="9">
        <v>0</v>
      </c>
      <c r="I754" s="9">
        <v>0</v>
      </c>
      <c r="J754" s="9">
        <v>0</v>
      </c>
      <c r="K754" s="9">
        <v>0</v>
      </c>
      <c r="L754" s="9">
        <v>0</v>
      </c>
      <c r="M754" s="9">
        <v>0</v>
      </c>
      <c r="N754" s="9">
        <v>0</v>
      </c>
      <c r="O754" s="9">
        <v>0</v>
      </c>
      <c r="P754" s="9">
        <v>0</v>
      </c>
      <c r="Q754" s="9">
        <v>0</v>
      </c>
      <c r="R754" s="9">
        <v>0</v>
      </c>
      <c r="S754" s="9">
        <v>0</v>
      </c>
      <c r="T754" s="9">
        <v>0</v>
      </c>
      <c r="U754" s="9">
        <v>0</v>
      </c>
      <c r="V754" s="9">
        <v>0</v>
      </c>
      <c r="W754" s="9">
        <v>0</v>
      </c>
      <c r="X754" s="9">
        <v>0</v>
      </c>
      <c r="Y754" s="9">
        <v>0</v>
      </c>
      <c r="Z754" s="9">
        <v>0</v>
      </c>
      <c r="AA754" s="9">
        <v>0</v>
      </c>
      <c r="AB754" s="9">
        <v>0</v>
      </c>
      <c r="AC754" s="9">
        <v>0</v>
      </c>
      <c r="AD754" s="53" t="e">
        <f>#REF!*D754</f>
        <v>#REF!</v>
      </c>
      <c r="AE754" s="53" t="e">
        <f>AD754-#REF!</f>
        <v>#REF!</v>
      </c>
      <c r="AF754" s="9"/>
      <c r="AG754" s="33" t="e">
        <f>#REF!-D754</f>
        <v>#REF!</v>
      </c>
      <c r="AH754" s="9"/>
      <c r="AI754" s="9"/>
      <c r="AJ754" s="9"/>
      <c r="AK754" s="9"/>
    </row>
    <row r="755" spans="1:37" s="12" customFormat="1" ht="21.6" hidden="1" outlineLevel="1" x14ac:dyDescent="0.2">
      <c r="A755" s="61" t="s">
        <v>3500</v>
      </c>
      <c r="B755" s="95" t="s">
        <v>310</v>
      </c>
      <c r="C755" s="9" t="s">
        <v>47</v>
      </c>
      <c r="D755" s="25">
        <f t="shared" si="139"/>
        <v>10</v>
      </c>
      <c r="E755" s="54"/>
      <c r="F755" s="9"/>
      <c r="G755" s="9">
        <v>10</v>
      </c>
      <c r="H755" s="9">
        <v>0</v>
      </c>
      <c r="I755" s="9">
        <v>0</v>
      </c>
      <c r="J755" s="9">
        <v>0</v>
      </c>
      <c r="K755" s="9">
        <v>0</v>
      </c>
      <c r="L755" s="9">
        <v>0</v>
      </c>
      <c r="M755" s="9">
        <v>0</v>
      </c>
      <c r="N755" s="9">
        <v>0</v>
      </c>
      <c r="O755" s="9">
        <v>0</v>
      </c>
      <c r="P755" s="9">
        <v>0</v>
      </c>
      <c r="Q755" s="9">
        <v>0</v>
      </c>
      <c r="R755" s="9">
        <v>0</v>
      </c>
      <c r="S755" s="9">
        <v>0</v>
      </c>
      <c r="T755" s="9">
        <v>0</v>
      </c>
      <c r="U755" s="9">
        <v>0</v>
      </c>
      <c r="V755" s="9">
        <v>0</v>
      </c>
      <c r="W755" s="9">
        <v>0</v>
      </c>
      <c r="X755" s="9">
        <v>0</v>
      </c>
      <c r="Y755" s="9">
        <v>0</v>
      </c>
      <c r="Z755" s="9">
        <v>0</v>
      </c>
      <c r="AA755" s="9">
        <v>0</v>
      </c>
      <c r="AB755" s="9">
        <v>0</v>
      </c>
      <c r="AC755" s="9">
        <v>0</v>
      </c>
      <c r="AD755" s="53" t="e">
        <f>#REF!*D755</f>
        <v>#REF!</v>
      </c>
      <c r="AE755" s="53" t="e">
        <f>AD755-#REF!</f>
        <v>#REF!</v>
      </c>
      <c r="AF755" s="9"/>
      <c r="AG755" s="33" t="e">
        <f>#REF!-D755</f>
        <v>#REF!</v>
      </c>
      <c r="AH755" s="9"/>
      <c r="AI755" s="9"/>
      <c r="AJ755" s="9"/>
      <c r="AK755" s="9"/>
    </row>
    <row r="756" spans="1:37" s="12" customFormat="1" ht="20.399999999999999" hidden="1" outlineLevel="1" x14ac:dyDescent="0.2">
      <c r="A756" s="61" t="s">
        <v>3501</v>
      </c>
      <c r="B756" s="95" t="s">
        <v>3098</v>
      </c>
      <c r="C756" s="9" t="s">
        <v>47</v>
      </c>
      <c r="D756" s="25">
        <f t="shared" si="139"/>
        <v>4</v>
      </c>
      <c r="E756" s="54"/>
      <c r="F756" s="9"/>
      <c r="G756" s="9">
        <v>4</v>
      </c>
      <c r="H756" s="9">
        <v>0</v>
      </c>
      <c r="I756" s="9">
        <v>0</v>
      </c>
      <c r="J756" s="9">
        <v>0</v>
      </c>
      <c r="K756" s="9">
        <v>0</v>
      </c>
      <c r="L756" s="9">
        <v>0</v>
      </c>
      <c r="M756" s="9">
        <v>0</v>
      </c>
      <c r="N756" s="9">
        <v>0</v>
      </c>
      <c r="O756" s="9">
        <v>0</v>
      </c>
      <c r="P756" s="9">
        <v>0</v>
      </c>
      <c r="Q756" s="9">
        <v>0</v>
      </c>
      <c r="R756" s="9">
        <v>0</v>
      </c>
      <c r="S756" s="9">
        <v>0</v>
      </c>
      <c r="T756" s="9">
        <v>0</v>
      </c>
      <c r="U756" s="9">
        <v>0</v>
      </c>
      <c r="V756" s="9">
        <v>0</v>
      </c>
      <c r="W756" s="9">
        <v>0</v>
      </c>
      <c r="X756" s="9">
        <v>0</v>
      </c>
      <c r="Y756" s="9">
        <v>0</v>
      </c>
      <c r="Z756" s="9">
        <v>0</v>
      </c>
      <c r="AA756" s="9">
        <v>0</v>
      </c>
      <c r="AB756" s="9">
        <v>0</v>
      </c>
      <c r="AC756" s="9">
        <v>0</v>
      </c>
      <c r="AD756" s="53" t="e">
        <f>#REF!*D756</f>
        <v>#REF!</v>
      </c>
      <c r="AE756" s="53" t="e">
        <f>AD756-#REF!</f>
        <v>#REF!</v>
      </c>
      <c r="AF756" s="9"/>
      <c r="AG756" s="33" t="e">
        <f>#REF!-D756</f>
        <v>#REF!</v>
      </c>
      <c r="AH756" s="9"/>
      <c r="AI756" s="9"/>
      <c r="AJ756" s="9"/>
      <c r="AK756" s="9"/>
    </row>
    <row r="757" spans="1:37" s="12" customFormat="1" ht="20.399999999999999" hidden="1" outlineLevel="1" x14ac:dyDescent="0.2">
      <c r="A757" s="61" t="s">
        <v>3502</v>
      </c>
      <c r="B757" s="95" t="s">
        <v>411</v>
      </c>
      <c r="C757" s="9" t="s">
        <v>47</v>
      </c>
      <c r="D757" s="25">
        <f t="shared" si="139"/>
        <v>28</v>
      </c>
      <c r="E757" s="54"/>
      <c r="F757" s="9"/>
      <c r="G757" s="9">
        <v>28</v>
      </c>
      <c r="H757" s="9">
        <v>0</v>
      </c>
      <c r="I757" s="9">
        <v>0</v>
      </c>
      <c r="J757" s="9">
        <v>0</v>
      </c>
      <c r="K757" s="9">
        <v>0</v>
      </c>
      <c r="L757" s="9">
        <v>0</v>
      </c>
      <c r="M757" s="9">
        <v>0</v>
      </c>
      <c r="N757" s="9">
        <v>0</v>
      </c>
      <c r="O757" s="9">
        <v>0</v>
      </c>
      <c r="P757" s="9">
        <v>0</v>
      </c>
      <c r="Q757" s="9">
        <v>0</v>
      </c>
      <c r="R757" s="9">
        <v>0</v>
      </c>
      <c r="S757" s="9">
        <v>0</v>
      </c>
      <c r="T757" s="9">
        <v>0</v>
      </c>
      <c r="U757" s="9">
        <v>0</v>
      </c>
      <c r="V757" s="9">
        <v>0</v>
      </c>
      <c r="W757" s="9">
        <v>0</v>
      </c>
      <c r="X757" s="9">
        <v>0</v>
      </c>
      <c r="Y757" s="9">
        <v>0</v>
      </c>
      <c r="Z757" s="9">
        <v>0</v>
      </c>
      <c r="AA757" s="9">
        <v>0</v>
      </c>
      <c r="AB757" s="9">
        <v>0</v>
      </c>
      <c r="AC757" s="9">
        <v>0</v>
      </c>
      <c r="AD757" s="53" t="e">
        <f>#REF!*D757</f>
        <v>#REF!</v>
      </c>
      <c r="AE757" s="53" t="e">
        <f>AD757-#REF!</f>
        <v>#REF!</v>
      </c>
      <c r="AF757" s="9"/>
      <c r="AG757" s="33" t="e">
        <f>#REF!-D757</f>
        <v>#REF!</v>
      </c>
      <c r="AH757" s="9"/>
      <c r="AI757" s="9"/>
      <c r="AJ757" s="9"/>
      <c r="AK757" s="9"/>
    </row>
    <row r="758" spans="1:37" s="12" customFormat="1" ht="40.799999999999997" hidden="1" outlineLevel="1" x14ac:dyDescent="0.2">
      <c r="A758" s="61" t="s">
        <v>3503</v>
      </c>
      <c r="B758" s="95" t="s">
        <v>417</v>
      </c>
      <c r="C758" s="9" t="s">
        <v>47</v>
      </c>
      <c r="D758" s="25">
        <f t="shared" si="139"/>
        <v>18</v>
      </c>
      <c r="E758" s="54"/>
      <c r="F758" s="9"/>
      <c r="G758" s="9">
        <v>18</v>
      </c>
      <c r="H758" s="9">
        <v>0</v>
      </c>
      <c r="I758" s="9">
        <v>0</v>
      </c>
      <c r="J758" s="9">
        <v>0</v>
      </c>
      <c r="K758" s="9">
        <v>0</v>
      </c>
      <c r="L758" s="9">
        <v>0</v>
      </c>
      <c r="M758" s="9">
        <v>0</v>
      </c>
      <c r="N758" s="9">
        <v>0</v>
      </c>
      <c r="O758" s="9">
        <v>0</v>
      </c>
      <c r="P758" s="9">
        <v>0</v>
      </c>
      <c r="Q758" s="9">
        <v>0</v>
      </c>
      <c r="R758" s="9">
        <v>0</v>
      </c>
      <c r="S758" s="9">
        <v>0</v>
      </c>
      <c r="T758" s="9">
        <v>0</v>
      </c>
      <c r="U758" s="9">
        <v>0</v>
      </c>
      <c r="V758" s="9">
        <v>0</v>
      </c>
      <c r="W758" s="9">
        <v>0</v>
      </c>
      <c r="X758" s="9">
        <v>0</v>
      </c>
      <c r="Y758" s="9">
        <v>0</v>
      </c>
      <c r="Z758" s="9">
        <v>0</v>
      </c>
      <c r="AA758" s="9">
        <v>0</v>
      </c>
      <c r="AB758" s="9">
        <v>0</v>
      </c>
      <c r="AC758" s="9">
        <v>0</v>
      </c>
      <c r="AD758" s="53" t="e">
        <f>#REF!*D758</f>
        <v>#REF!</v>
      </c>
      <c r="AE758" s="53" t="e">
        <f>AD758-#REF!</f>
        <v>#REF!</v>
      </c>
      <c r="AF758" s="9"/>
      <c r="AG758" s="33" t="e">
        <f>#REF!-D758</f>
        <v>#REF!</v>
      </c>
      <c r="AH758" s="9"/>
      <c r="AI758" s="9"/>
      <c r="AJ758" s="9"/>
      <c r="AK758" s="9"/>
    </row>
    <row r="759" spans="1:37" s="12" customFormat="1" ht="11.4" hidden="1" outlineLevel="1" x14ac:dyDescent="0.2">
      <c r="A759" s="61" t="s">
        <v>3504</v>
      </c>
      <c r="B759" s="95" t="s">
        <v>410</v>
      </c>
      <c r="C759" s="9" t="s">
        <v>47</v>
      </c>
      <c r="D759" s="25">
        <f>SUM(G759:T759)</f>
        <v>53</v>
      </c>
      <c r="E759" s="54"/>
      <c r="F759" s="9"/>
      <c r="G759" s="9">
        <v>53</v>
      </c>
      <c r="H759" s="9">
        <v>0</v>
      </c>
      <c r="I759" s="9">
        <v>0</v>
      </c>
      <c r="J759" s="9">
        <v>0</v>
      </c>
      <c r="K759" s="9">
        <v>0</v>
      </c>
      <c r="L759" s="9">
        <v>0</v>
      </c>
      <c r="M759" s="9">
        <v>0</v>
      </c>
      <c r="N759" s="9">
        <v>0</v>
      </c>
      <c r="O759" s="9">
        <v>0</v>
      </c>
      <c r="P759" s="9">
        <v>0</v>
      </c>
      <c r="Q759" s="9">
        <v>0</v>
      </c>
      <c r="R759" s="9">
        <v>0</v>
      </c>
      <c r="S759" s="9">
        <v>0</v>
      </c>
      <c r="T759" s="9">
        <v>0</v>
      </c>
      <c r="U759" s="9">
        <v>0</v>
      </c>
      <c r="V759" s="9">
        <v>0</v>
      </c>
      <c r="W759" s="9">
        <v>0</v>
      </c>
      <c r="X759" s="9">
        <v>0</v>
      </c>
      <c r="Y759" s="9">
        <v>0</v>
      </c>
      <c r="Z759" s="9">
        <v>0</v>
      </c>
      <c r="AA759" s="9">
        <v>0</v>
      </c>
      <c r="AB759" s="9">
        <v>0</v>
      </c>
      <c r="AC759" s="9">
        <v>0</v>
      </c>
      <c r="AD759" s="53" t="e">
        <f>#REF!*D759</f>
        <v>#REF!</v>
      </c>
      <c r="AE759" s="53" t="e">
        <f>AD759-#REF!</f>
        <v>#REF!</v>
      </c>
      <c r="AF759" s="9"/>
      <c r="AG759" s="33" t="e">
        <f>#REF!-D759</f>
        <v>#REF!</v>
      </c>
      <c r="AH759" s="9"/>
      <c r="AI759" s="9"/>
      <c r="AJ759" s="9"/>
      <c r="AK759" s="9"/>
    </row>
    <row r="760" spans="1:37" s="17" customFormat="1" ht="30.6" hidden="1" outlineLevel="1" x14ac:dyDescent="0.2">
      <c r="A760" s="61" t="s">
        <v>3505</v>
      </c>
      <c r="B760" s="95" t="s">
        <v>221</v>
      </c>
      <c r="C760" s="9" t="s">
        <v>47</v>
      </c>
      <c r="D760" s="25">
        <f>SUM(G760:T760)</f>
        <v>17</v>
      </c>
      <c r="E760" s="54"/>
      <c r="F760" s="9"/>
      <c r="G760" s="9">
        <v>17</v>
      </c>
      <c r="H760" s="9">
        <v>0</v>
      </c>
      <c r="I760" s="9">
        <v>0</v>
      </c>
      <c r="J760" s="9">
        <v>0</v>
      </c>
      <c r="K760" s="9">
        <v>0</v>
      </c>
      <c r="L760" s="9">
        <v>0</v>
      </c>
      <c r="M760" s="9">
        <v>0</v>
      </c>
      <c r="N760" s="9">
        <v>0</v>
      </c>
      <c r="O760" s="9">
        <v>0</v>
      </c>
      <c r="P760" s="9">
        <v>0</v>
      </c>
      <c r="Q760" s="9">
        <v>0</v>
      </c>
      <c r="R760" s="9">
        <v>0</v>
      </c>
      <c r="S760" s="9">
        <v>0</v>
      </c>
      <c r="T760" s="9">
        <v>0</v>
      </c>
      <c r="U760" s="9">
        <v>0</v>
      </c>
      <c r="V760" s="9">
        <v>0</v>
      </c>
      <c r="W760" s="9">
        <v>0</v>
      </c>
      <c r="X760" s="9">
        <v>0</v>
      </c>
      <c r="Y760" s="9">
        <v>0</v>
      </c>
      <c r="Z760" s="9">
        <v>0</v>
      </c>
      <c r="AA760" s="9">
        <v>0</v>
      </c>
      <c r="AB760" s="9">
        <v>0</v>
      </c>
      <c r="AC760" s="9">
        <v>0</v>
      </c>
      <c r="AD760" s="53" t="e">
        <f>#REF!*D760</f>
        <v>#REF!</v>
      </c>
      <c r="AE760" s="53" t="e">
        <f>AD760-#REF!</f>
        <v>#REF!</v>
      </c>
      <c r="AF760" s="21"/>
      <c r="AG760" s="33" t="e">
        <f>#REF!-D760</f>
        <v>#REF!</v>
      </c>
      <c r="AH760" s="21"/>
      <c r="AI760" s="21"/>
    </row>
    <row r="761" spans="1:37" s="12" customFormat="1" ht="20.399999999999999" hidden="1" outlineLevel="1" x14ac:dyDescent="0.2">
      <c r="A761" s="61" t="s">
        <v>3506</v>
      </c>
      <c r="B761" s="224" t="s">
        <v>298</v>
      </c>
      <c r="C761" s="9" t="s">
        <v>47</v>
      </c>
      <c r="D761" s="25">
        <f>SUM(G761:T761)</f>
        <v>1</v>
      </c>
      <c r="E761" s="54"/>
      <c r="F761" s="9"/>
      <c r="G761" s="9">
        <v>1</v>
      </c>
      <c r="H761" s="9">
        <v>0</v>
      </c>
      <c r="I761" s="9">
        <v>0</v>
      </c>
      <c r="J761" s="9">
        <v>0</v>
      </c>
      <c r="K761" s="9">
        <v>0</v>
      </c>
      <c r="L761" s="9">
        <v>0</v>
      </c>
      <c r="M761" s="9">
        <v>0</v>
      </c>
      <c r="N761" s="9">
        <v>0</v>
      </c>
      <c r="O761" s="9">
        <v>0</v>
      </c>
      <c r="P761" s="9">
        <v>0</v>
      </c>
      <c r="Q761" s="9">
        <v>0</v>
      </c>
      <c r="R761" s="9">
        <v>0</v>
      </c>
      <c r="S761" s="9">
        <v>0</v>
      </c>
      <c r="T761" s="9">
        <v>0</v>
      </c>
      <c r="U761" s="9">
        <v>0</v>
      </c>
      <c r="V761" s="9">
        <v>0</v>
      </c>
      <c r="W761" s="9">
        <v>0</v>
      </c>
      <c r="X761" s="9">
        <v>0</v>
      </c>
      <c r="Y761" s="9">
        <v>0</v>
      </c>
      <c r="Z761" s="9">
        <v>0</v>
      </c>
      <c r="AA761" s="9">
        <v>0</v>
      </c>
      <c r="AB761" s="9">
        <v>0</v>
      </c>
      <c r="AC761" s="9">
        <v>0</v>
      </c>
      <c r="AD761" s="53" t="e">
        <f>#REF!*D761</f>
        <v>#REF!</v>
      </c>
      <c r="AE761" s="53" t="e">
        <f>AD761-#REF!</f>
        <v>#REF!</v>
      </c>
      <c r="AF761" s="9"/>
      <c r="AG761" s="33" t="e">
        <f>#REF!-D761</f>
        <v>#REF!</v>
      </c>
      <c r="AH761" s="9"/>
      <c r="AI761" s="9"/>
      <c r="AJ761" s="9"/>
      <c r="AK761" s="9"/>
    </row>
    <row r="762" spans="1:37" s="12" customFormat="1" ht="20.399999999999999" hidden="1" outlineLevel="1" x14ac:dyDescent="0.2">
      <c r="A762" s="61" t="s">
        <v>3507</v>
      </c>
      <c r="B762" s="224" t="s">
        <v>412</v>
      </c>
      <c r="C762" s="9" t="s">
        <v>47</v>
      </c>
      <c r="D762" s="25">
        <f>SUM(G762:T762)</f>
        <v>4</v>
      </c>
      <c r="E762" s="54"/>
      <c r="F762" s="9"/>
      <c r="G762" s="9">
        <v>4</v>
      </c>
      <c r="H762" s="9">
        <v>0</v>
      </c>
      <c r="I762" s="9">
        <v>0</v>
      </c>
      <c r="J762" s="9">
        <v>0</v>
      </c>
      <c r="K762" s="9">
        <v>0</v>
      </c>
      <c r="L762" s="9">
        <v>0</v>
      </c>
      <c r="M762" s="9">
        <v>0</v>
      </c>
      <c r="N762" s="9">
        <v>0</v>
      </c>
      <c r="O762" s="9">
        <v>0</v>
      </c>
      <c r="P762" s="9">
        <v>0</v>
      </c>
      <c r="Q762" s="9">
        <v>0</v>
      </c>
      <c r="R762" s="9">
        <v>0</v>
      </c>
      <c r="S762" s="9">
        <v>0</v>
      </c>
      <c r="T762" s="9">
        <v>0</v>
      </c>
      <c r="U762" s="9">
        <v>0</v>
      </c>
      <c r="V762" s="9">
        <v>0</v>
      </c>
      <c r="W762" s="9">
        <v>0</v>
      </c>
      <c r="X762" s="9">
        <v>0</v>
      </c>
      <c r="Y762" s="9">
        <v>0</v>
      </c>
      <c r="Z762" s="9">
        <v>0</v>
      </c>
      <c r="AA762" s="9">
        <v>0</v>
      </c>
      <c r="AB762" s="9">
        <v>0</v>
      </c>
      <c r="AC762" s="9">
        <v>0</v>
      </c>
      <c r="AD762" s="53" t="e">
        <f>#REF!*D762</f>
        <v>#REF!</v>
      </c>
      <c r="AE762" s="53" t="e">
        <f>AD762-#REF!</f>
        <v>#REF!</v>
      </c>
      <c r="AF762" s="9"/>
      <c r="AG762" s="33" t="e">
        <f>#REF!-D762</f>
        <v>#REF!</v>
      </c>
      <c r="AH762" s="9"/>
      <c r="AI762" s="9"/>
      <c r="AJ762" s="9"/>
      <c r="AK762" s="9"/>
    </row>
    <row r="763" spans="1:37" s="12" customFormat="1" ht="20.399999999999999" hidden="1" outlineLevel="1" x14ac:dyDescent="0.2">
      <c r="A763" s="61" t="s">
        <v>3508</v>
      </c>
      <c r="B763" s="224" t="s">
        <v>2649</v>
      </c>
      <c r="C763" s="9" t="s">
        <v>47</v>
      </c>
      <c r="D763" s="25">
        <f>SUM(G763:T763)</f>
        <v>3</v>
      </c>
      <c r="E763" s="54"/>
      <c r="F763" s="9"/>
      <c r="G763" s="9">
        <v>3</v>
      </c>
      <c r="H763" s="9">
        <v>0</v>
      </c>
      <c r="I763" s="9">
        <v>0</v>
      </c>
      <c r="J763" s="9">
        <v>0</v>
      </c>
      <c r="K763" s="9">
        <v>0</v>
      </c>
      <c r="L763" s="9">
        <v>0</v>
      </c>
      <c r="M763" s="9">
        <v>0</v>
      </c>
      <c r="N763" s="9">
        <v>0</v>
      </c>
      <c r="O763" s="9">
        <v>0</v>
      </c>
      <c r="P763" s="9">
        <v>0</v>
      </c>
      <c r="Q763" s="9">
        <v>0</v>
      </c>
      <c r="R763" s="9">
        <v>0</v>
      </c>
      <c r="S763" s="9">
        <v>0</v>
      </c>
      <c r="T763" s="9">
        <v>0</v>
      </c>
      <c r="U763" s="9">
        <v>0</v>
      </c>
      <c r="V763" s="9">
        <v>0</v>
      </c>
      <c r="W763" s="9">
        <v>0</v>
      </c>
      <c r="X763" s="9">
        <v>0</v>
      </c>
      <c r="Y763" s="9">
        <v>0</v>
      </c>
      <c r="Z763" s="9">
        <v>0</v>
      </c>
      <c r="AA763" s="9">
        <v>0</v>
      </c>
      <c r="AB763" s="9">
        <v>0</v>
      </c>
      <c r="AC763" s="9">
        <v>0</v>
      </c>
      <c r="AD763" s="53" t="e">
        <f>#REF!*D763</f>
        <v>#REF!</v>
      </c>
      <c r="AE763" s="53" t="e">
        <f>AD763-#REF!</f>
        <v>#REF!</v>
      </c>
      <c r="AF763" s="9"/>
      <c r="AG763" s="33" t="e">
        <f>#REF!-D763</f>
        <v>#REF!</v>
      </c>
      <c r="AH763" s="9"/>
      <c r="AI763" s="9"/>
      <c r="AJ763" s="9"/>
      <c r="AK763" s="9"/>
    </row>
    <row r="764" spans="1:37" s="12" customFormat="1" ht="40.799999999999997" hidden="1" outlineLevel="1" x14ac:dyDescent="0.2">
      <c r="A764" s="61" t="s">
        <v>3509</v>
      </c>
      <c r="B764" s="95" t="s">
        <v>2463</v>
      </c>
      <c r="C764" s="8" t="s">
        <v>47</v>
      </c>
      <c r="D764" s="25">
        <f>SUM(G764:AC764)</f>
        <v>7</v>
      </c>
      <c r="E764" s="54"/>
      <c r="F764" s="9"/>
      <c r="G764" s="49">
        <v>7</v>
      </c>
      <c r="H764" s="9">
        <v>0</v>
      </c>
      <c r="I764" s="9">
        <v>0</v>
      </c>
      <c r="J764" s="9">
        <v>0</v>
      </c>
      <c r="K764" s="9">
        <v>0</v>
      </c>
      <c r="L764" s="9">
        <v>0</v>
      </c>
      <c r="M764" s="9">
        <v>0</v>
      </c>
      <c r="N764" s="9">
        <v>0</v>
      </c>
      <c r="O764" s="9">
        <v>0</v>
      </c>
      <c r="P764" s="9">
        <v>0</v>
      </c>
      <c r="Q764" s="9">
        <v>0</v>
      </c>
      <c r="R764" s="9">
        <v>0</v>
      </c>
      <c r="S764" s="9">
        <v>0</v>
      </c>
      <c r="T764" s="9">
        <v>0</v>
      </c>
      <c r="U764" s="9">
        <v>0</v>
      </c>
      <c r="V764" s="9">
        <v>0</v>
      </c>
      <c r="W764" s="9">
        <v>0</v>
      </c>
      <c r="X764" s="9">
        <v>0</v>
      </c>
      <c r="Y764" s="9">
        <v>0</v>
      </c>
      <c r="Z764" s="9">
        <v>0</v>
      </c>
      <c r="AA764" s="9">
        <v>0</v>
      </c>
      <c r="AB764" s="9">
        <v>0</v>
      </c>
      <c r="AC764" s="9">
        <v>0</v>
      </c>
      <c r="AD764" s="53" t="e">
        <f>#REF!*D764</f>
        <v>#REF!</v>
      </c>
      <c r="AE764" s="53" t="e">
        <f>AD764-#REF!</f>
        <v>#REF!</v>
      </c>
      <c r="AF764" s="9"/>
      <c r="AG764" s="33" t="e">
        <f>#REF!-D764</f>
        <v>#REF!</v>
      </c>
      <c r="AH764" s="9"/>
      <c r="AI764" s="9"/>
      <c r="AJ764" s="9"/>
      <c r="AK764" s="9"/>
    </row>
    <row r="765" spans="1:37" s="12" customFormat="1" ht="29.25" hidden="1" customHeight="1" outlineLevel="1" x14ac:dyDescent="0.2">
      <c r="A765" s="61" t="s">
        <v>3510</v>
      </c>
      <c r="B765" s="223" t="s">
        <v>3117</v>
      </c>
      <c r="C765" s="8" t="s">
        <v>47</v>
      </c>
      <c r="D765" s="25">
        <f>SUM(G765:AC765)</f>
        <v>2</v>
      </c>
      <c r="E765" s="54"/>
      <c r="F765" s="9"/>
      <c r="G765" s="49">
        <v>2</v>
      </c>
      <c r="H765" s="9">
        <v>0</v>
      </c>
      <c r="I765" s="9">
        <v>0</v>
      </c>
      <c r="J765" s="9">
        <v>0</v>
      </c>
      <c r="K765" s="9">
        <v>0</v>
      </c>
      <c r="L765" s="9">
        <v>0</v>
      </c>
      <c r="M765" s="9">
        <v>0</v>
      </c>
      <c r="N765" s="9">
        <v>0</v>
      </c>
      <c r="O765" s="9">
        <v>0</v>
      </c>
      <c r="P765" s="9">
        <v>0</v>
      </c>
      <c r="Q765" s="9">
        <v>0</v>
      </c>
      <c r="R765" s="9">
        <v>0</v>
      </c>
      <c r="S765" s="9">
        <v>0</v>
      </c>
      <c r="T765" s="9">
        <v>0</v>
      </c>
      <c r="U765" s="9">
        <v>0</v>
      </c>
      <c r="V765" s="9">
        <v>0</v>
      </c>
      <c r="W765" s="9">
        <v>0</v>
      </c>
      <c r="X765" s="9">
        <v>0</v>
      </c>
      <c r="Y765" s="9">
        <v>0</v>
      </c>
      <c r="Z765" s="9">
        <v>0</v>
      </c>
      <c r="AA765" s="9">
        <v>0</v>
      </c>
      <c r="AB765" s="9">
        <v>0</v>
      </c>
      <c r="AC765" s="9">
        <v>0</v>
      </c>
      <c r="AD765" s="53" t="e">
        <f>#REF!*D765</f>
        <v>#REF!</v>
      </c>
      <c r="AE765" s="53" t="e">
        <f>AD765-#REF!</f>
        <v>#REF!</v>
      </c>
      <c r="AF765" s="9"/>
      <c r="AG765" s="33" t="e">
        <f>#REF!-D765</f>
        <v>#REF!</v>
      </c>
      <c r="AH765" s="9"/>
      <c r="AI765" s="9"/>
      <c r="AJ765" s="9"/>
      <c r="AK765" s="9"/>
    </row>
    <row r="766" spans="1:37" s="12" customFormat="1" ht="20.399999999999999" hidden="1" outlineLevel="1" x14ac:dyDescent="0.2">
      <c r="A766" s="61" t="s">
        <v>3511</v>
      </c>
      <c r="B766" s="95" t="s">
        <v>316</v>
      </c>
      <c r="C766" s="9" t="s">
        <v>47</v>
      </c>
      <c r="D766" s="25">
        <f>SUM(G766:AC766)</f>
        <v>3</v>
      </c>
      <c r="E766" s="54"/>
      <c r="F766" s="9"/>
      <c r="G766" s="49">
        <v>3</v>
      </c>
      <c r="H766" s="9">
        <v>0</v>
      </c>
      <c r="I766" s="9">
        <v>0</v>
      </c>
      <c r="J766" s="9">
        <v>0</v>
      </c>
      <c r="K766" s="9">
        <v>0</v>
      </c>
      <c r="L766" s="9">
        <v>0</v>
      </c>
      <c r="M766" s="9">
        <v>0</v>
      </c>
      <c r="N766" s="9">
        <v>0</v>
      </c>
      <c r="O766" s="9">
        <v>0</v>
      </c>
      <c r="P766" s="9">
        <v>0</v>
      </c>
      <c r="Q766" s="9">
        <v>0</v>
      </c>
      <c r="R766" s="9">
        <v>0</v>
      </c>
      <c r="S766" s="9">
        <v>0</v>
      </c>
      <c r="T766" s="9">
        <v>0</v>
      </c>
      <c r="U766" s="9">
        <v>0</v>
      </c>
      <c r="V766" s="9">
        <v>0</v>
      </c>
      <c r="W766" s="9">
        <v>0</v>
      </c>
      <c r="X766" s="9">
        <v>0</v>
      </c>
      <c r="Y766" s="9">
        <v>0</v>
      </c>
      <c r="Z766" s="9">
        <v>0</v>
      </c>
      <c r="AA766" s="9">
        <v>0</v>
      </c>
      <c r="AB766" s="9">
        <v>0</v>
      </c>
      <c r="AC766" s="9">
        <v>0</v>
      </c>
      <c r="AD766" s="53" t="e">
        <f>#REF!*D766</f>
        <v>#REF!</v>
      </c>
      <c r="AE766" s="53" t="e">
        <f>AD766-#REF!</f>
        <v>#REF!</v>
      </c>
      <c r="AF766" s="9"/>
      <c r="AG766" s="33" t="e">
        <f>#REF!-D766</f>
        <v>#REF!</v>
      </c>
      <c r="AH766" s="9"/>
      <c r="AI766" s="9"/>
      <c r="AJ766" s="9"/>
      <c r="AK766" s="9"/>
    </row>
    <row r="767" spans="1:37" s="12" customFormat="1" ht="22.8" hidden="1" outlineLevel="1" x14ac:dyDescent="0.2">
      <c r="A767" s="61" t="s">
        <v>3512</v>
      </c>
      <c r="B767" s="223" t="s">
        <v>234</v>
      </c>
      <c r="C767" s="9" t="s">
        <v>47</v>
      </c>
      <c r="D767" s="25">
        <f>SUM(G767:AC767)</f>
        <v>1</v>
      </c>
      <c r="E767" s="54"/>
      <c r="F767" s="9"/>
      <c r="G767" s="49">
        <v>1</v>
      </c>
      <c r="H767" s="9">
        <v>0</v>
      </c>
      <c r="I767" s="9">
        <v>0</v>
      </c>
      <c r="J767" s="9">
        <v>0</v>
      </c>
      <c r="K767" s="9">
        <v>0</v>
      </c>
      <c r="L767" s="9">
        <v>0</v>
      </c>
      <c r="M767" s="9">
        <v>0</v>
      </c>
      <c r="N767" s="9">
        <v>0</v>
      </c>
      <c r="O767" s="9">
        <v>0</v>
      </c>
      <c r="P767" s="9">
        <v>0</v>
      </c>
      <c r="Q767" s="9">
        <v>0</v>
      </c>
      <c r="R767" s="9">
        <v>0</v>
      </c>
      <c r="S767" s="9">
        <v>0</v>
      </c>
      <c r="T767" s="9">
        <v>0</v>
      </c>
      <c r="U767" s="9">
        <v>0</v>
      </c>
      <c r="V767" s="9">
        <v>0</v>
      </c>
      <c r="W767" s="9">
        <v>0</v>
      </c>
      <c r="X767" s="9">
        <v>0</v>
      </c>
      <c r="Y767" s="9">
        <v>0</v>
      </c>
      <c r="Z767" s="9">
        <v>0</v>
      </c>
      <c r="AA767" s="9">
        <v>0</v>
      </c>
      <c r="AB767" s="9">
        <v>0</v>
      </c>
      <c r="AC767" s="9">
        <v>0</v>
      </c>
      <c r="AD767" s="53" t="e">
        <f>#REF!*D767</f>
        <v>#REF!</v>
      </c>
      <c r="AE767" s="53" t="e">
        <f>AD767-#REF!</f>
        <v>#REF!</v>
      </c>
      <c r="AF767" s="9"/>
      <c r="AG767" s="33" t="e">
        <f>#REF!-D767</f>
        <v>#REF!</v>
      </c>
      <c r="AH767" s="9"/>
      <c r="AI767" s="9"/>
      <c r="AJ767" s="9"/>
      <c r="AK767" s="9"/>
    </row>
    <row r="768" spans="1:37" s="12" customFormat="1" ht="10.199999999999999" collapsed="1" x14ac:dyDescent="0.2">
      <c r="A768" s="61"/>
      <c r="B768" s="15"/>
      <c r="C768" s="9"/>
      <c r="D768" s="25"/>
      <c r="E768" s="54"/>
      <c r="F768" s="9"/>
      <c r="G768" s="49"/>
      <c r="H768" s="9"/>
      <c r="I768" s="9"/>
      <c r="J768" s="9"/>
      <c r="K768" s="9"/>
      <c r="L768" s="9"/>
      <c r="M768" s="9"/>
      <c r="N768" s="9"/>
      <c r="O768" s="9"/>
      <c r="P768" s="9"/>
      <c r="Q768" s="9"/>
      <c r="R768" s="9"/>
      <c r="S768" s="9"/>
      <c r="T768" s="9"/>
      <c r="U768" s="9"/>
      <c r="V768" s="9"/>
      <c r="W768" s="9"/>
      <c r="X768" s="9"/>
      <c r="Y768" s="9"/>
      <c r="Z768" s="9"/>
      <c r="AA768" s="9"/>
      <c r="AB768" s="9"/>
      <c r="AC768" s="9"/>
      <c r="AD768" s="53" t="e">
        <f>#REF!*D768</f>
        <v>#REF!</v>
      </c>
      <c r="AE768" s="53" t="e">
        <f>AD768-#REF!</f>
        <v>#REF!</v>
      </c>
      <c r="AF768" s="9"/>
      <c r="AG768" s="33" t="e">
        <f>#REF!-D768</f>
        <v>#REF!</v>
      </c>
      <c r="AH768" s="9"/>
      <c r="AI768" s="9"/>
      <c r="AJ768" s="9"/>
      <c r="AK768" s="9"/>
    </row>
    <row r="769" spans="1:37" s="12" customFormat="1" ht="12" x14ac:dyDescent="0.25">
      <c r="A769" s="58">
        <v>2</v>
      </c>
      <c r="B769" s="59" t="s">
        <v>1180</v>
      </c>
      <c r="C769" s="58" t="s">
        <v>41</v>
      </c>
      <c r="D769" s="60" t="e">
        <f>#REF!/#REF!*100</f>
        <v>#REF!</v>
      </c>
      <c r="E769" s="200" t="s">
        <v>2806</v>
      </c>
      <c r="F769" s="9"/>
      <c r="G769" s="9"/>
      <c r="H769" s="9"/>
      <c r="I769" s="9"/>
      <c r="J769" s="9"/>
      <c r="K769" s="9"/>
      <c r="L769" s="9"/>
      <c r="M769" s="9"/>
      <c r="N769" s="9"/>
      <c r="O769" s="9"/>
      <c r="P769" s="9"/>
      <c r="Q769" s="9"/>
      <c r="R769" s="9"/>
      <c r="S769" s="9"/>
      <c r="T769" s="9"/>
      <c r="U769" s="9"/>
      <c r="V769" s="9"/>
      <c r="W769" s="9"/>
      <c r="X769" s="9"/>
      <c r="Y769" s="9"/>
      <c r="Z769" s="9"/>
      <c r="AA769" s="9"/>
      <c r="AB769" s="9"/>
      <c r="AC769" s="9"/>
      <c r="AD769" s="53" t="e">
        <f>#REF!*D769</f>
        <v>#REF!</v>
      </c>
      <c r="AE769" s="53" t="e">
        <f>AD769-#REF!</f>
        <v>#REF!</v>
      </c>
      <c r="AF769" s="9"/>
      <c r="AG769" s="33" t="e">
        <f>#REF!-D769</f>
        <v>#REF!</v>
      </c>
      <c r="AH769" s="9"/>
      <c r="AI769" s="9"/>
      <c r="AJ769" s="9"/>
      <c r="AK769" s="9"/>
    </row>
    <row r="770" spans="1:37" s="12" customFormat="1" ht="12" x14ac:dyDescent="0.25">
      <c r="A770" s="18" t="s">
        <v>12</v>
      </c>
      <c r="B770" s="35" t="s">
        <v>387</v>
      </c>
      <c r="C770" s="18" t="s">
        <v>41</v>
      </c>
      <c r="D770" s="52" t="e">
        <f>#REF!/#REF!*100</f>
        <v>#REF!</v>
      </c>
      <c r="E770" s="54"/>
      <c r="F770" s="9"/>
      <c r="G770" s="9"/>
      <c r="H770" s="9"/>
      <c r="I770" s="9"/>
      <c r="J770" s="9"/>
      <c r="K770" s="9"/>
      <c r="L770" s="9"/>
      <c r="M770" s="9"/>
      <c r="N770" s="9"/>
      <c r="O770" s="9"/>
      <c r="P770" s="9"/>
      <c r="Q770" s="9"/>
      <c r="R770" s="9"/>
      <c r="S770" s="9"/>
      <c r="T770" s="9"/>
      <c r="U770" s="9"/>
      <c r="V770" s="9"/>
      <c r="W770" s="9"/>
      <c r="X770" s="9"/>
      <c r="Y770" s="9"/>
      <c r="Z770" s="9"/>
      <c r="AA770" s="9"/>
      <c r="AB770" s="214" t="s">
        <v>375</v>
      </c>
      <c r="AC770" s="9"/>
      <c r="AD770" s="53" t="e">
        <f>#REF!*D770</f>
        <v>#REF!</v>
      </c>
      <c r="AE770" s="53" t="e">
        <f>AD770-#REF!</f>
        <v>#REF!</v>
      </c>
      <c r="AF770" s="9"/>
      <c r="AG770" s="33" t="e">
        <f>#REF!-D770</f>
        <v>#REF!</v>
      </c>
      <c r="AH770" s="9"/>
      <c r="AI770" s="9"/>
      <c r="AJ770" s="9"/>
      <c r="AK770" s="9"/>
    </row>
    <row r="771" spans="1:37" s="72" customFormat="1" ht="20.399999999999999" outlineLevel="1" x14ac:dyDescent="0.25">
      <c r="A771" s="61" t="s">
        <v>1245</v>
      </c>
      <c r="B771" s="47" t="s">
        <v>482</v>
      </c>
      <c r="C771" s="9" t="s">
        <v>48</v>
      </c>
      <c r="D771" s="25">
        <f>SUM(G771:AC771)*3</f>
        <v>330</v>
      </c>
      <c r="E771" s="54"/>
      <c r="F771" s="78"/>
      <c r="G771" s="9">
        <v>0</v>
      </c>
      <c r="H771" s="33">
        <f>330/3/2</f>
        <v>55</v>
      </c>
      <c r="I771" s="9">
        <v>0</v>
      </c>
      <c r="J771" s="9">
        <v>0</v>
      </c>
      <c r="K771" s="9">
        <v>0</v>
      </c>
      <c r="L771" s="9">
        <v>0</v>
      </c>
      <c r="M771" s="9">
        <v>0</v>
      </c>
      <c r="N771" s="9">
        <v>0</v>
      </c>
      <c r="O771" s="9">
        <v>0</v>
      </c>
      <c r="P771" s="9">
        <v>0</v>
      </c>
      <c r="Q771" s="9">
        <v>0</v>
      </c>
      <c r="R771" s="9">
        <v>0</v>
      </c>
      <c r="S771" s="9">
        <v>0</v>
      </c>
      <c r="T771" s="9">
        <v>0</v>
      </c>
      <c r="U771" s="33">
        <f>330/3/2</f>
        <v>55</v>
      </c>
      <c r="V771" s="9">
        <v>0</v>
      </c>
      <c r="W771" s="9">
        <v>0</v>
      </c>
      <c r="X771" s="9">
        <v>0</v>
      </c>
      <c r="Y771" s="9">
        <v>0</v>
      </c>
      <c r="Z771" s="9">
        <v>0</v>
      </c>
      <c r="AA771" s="9">
        <v>0</v>
      </c>
      <c r="AB771" s="9">
        <v>0</v>
      </c>
      <c r="AC771" s="9">
        <v>0</v>
      </c>
      <c r="AD771" s="53" t="e">
        <f>#REF!*D771</f>
        <v>#REF!</v>
      </c>
      <c r="AE771" s="53" t="e">
        <f>AD771-#REF!</f>
        <v>#REF!</v>
      </c>
      <c r="AF771" s="9"/>
      <c r="AG771" s="33" t="e">
        <f>#REF!-D771</f>
        <v>#REF!</v>
      </c>
      <c r="AH771" s="9"/>
      <c r="AI771" s="9"/>
      <c r="AJ771" s="9"/>
      <c r="AK771" s="9"/>
    </row>
    <row r="772" spans="1:37" s="12" customFormat="1" ht="20.399999999999999" outlineLevel="1" x14ac:dyDescent="0.2">
      <c r="A772" s="61" t="s">
        <v>1246</v>
      </c>
      <c r="B772" s="47" t="s">
        <v>407</v>
      </c>
      <c r="C772" s="9" t="s">
        <v>48</v>
      </c>
      <c r="D772" s="25">
        <f>SUM(G772:AC772)*3</f>
        <v>8418</v>
      </c>
      <c r="E772" s="54"/>
      <c r="F772" s="9"/>
      <c r="G772" s="9">
        <v>0</v>
      </c>
      <c r="H772" s="9">
        <f>460/2</f>
        <v>230</v>
      </c>
      <c r="I772" s="9">
        <f>256-15</f>
        <v>241</v>
      </c>
      <c r="J772" s="9">
        <v>214</v>
      </c>
      <c r="K772" s="9">
        <f>112-44</f>
        <v>68</v>
      </c>
      <c r="L772" s="9">
        <f>338-128</f>
        <v>210</v>
      </c>
      <c r="M772" s="9">
        <v>166</v>
      </c>
      <c r="N772" s="9">
        <v>165</v>
      </c>
      <c r="O772" s="9">
        <v>237</v>
      </c>
      <c r="P772" s="9">
        <v>118</v>
      </c>
      <c r="Q772" s="9">
        <v>216</v>
      </c>
      <c r="R772" s="9">
        <v>26</v>
      </c>
      <c r="S772" s="9">
        <v>0</v>
      </c>
      <c r="T772" s="9">
        <v>0</v>
      </c>
      <c r="U772" s="9">
        <f>460/2</f>
        <v>230</v>
      </c>
      <c r="V772" s="9">
        <v>138</v>
      </c>
      <c r="W772" s="9">
        <v>69</v>
      </c>
      <c r="X772" s="9">
        <v>107</v>
      </c>
      <c r="Y772" s="9">
        <v>128</v>
      </c>
      <c r="Z772" s="9">
        <v>132</v>
      </c>
      <c r="AA772" s="9">
        <v>97</v>
      </c>
      <c r="AB772" s="9">
        <v>14</v>
      </c>
      <c r="AC772" s="9">
        <v>0</v>
      </c>
      <c r="AD772" s="53" t="e">
        <f>#REF!*D772</f>
        <v>#REF!</v>
      </c>
      <c r="AE772" s="53" t="e">
        <f>AD772-#REF!</f>
        <v>#REF!</v>
      </c>
      <c r="AF772" s="9"/>
      <c r="AG772" s="33" t="e">
        <f>#REF!-D772</f>
        <v>#REF!</v>
      </c>
      <c r="AH772" s="9"/>
      <c r="AI772" s="9"/>
      <c r="AJ772" s="9"/>
      <c r="AK772" s="9"/>
    </row>
    <row r="773" spans="1:37" s="12" customFormat="1" ht="20.399999999999999" outlineLevel="1" x14ac:dyDescent="0.2">
      <c r="A773" s="61" t="s">
        <v>1247</v>
      </c>
      <c r="B773" s="47" t="s">
        <v>484</v>
      </c>
      <c r="C773" s="9" t="s">
        <v>48</v>
      </c>
      <c r="D773" s="25">
        <f>SUM(G773:AC773)*3</f>
        <v>33</v>
      </c>
      <c r="E773" s="54"/>
      <c r="F773" s="9"/>
      <c r="G773" s="9">
        <v>0</v>
      </c>
      <c r="H773" s="9">
        <v>6</v>
      </c>
      <c r="I773" s="9">
        <v>0</v>
      </c>
      <c r="J773" s="9">
        <v>0</v>
      </c>
      <c r="K773" s="9">
        <v>0</v>
      </c>
      <c r="L773" s="9">
        <v>0</v>
      </c>
      <c r="M773" s="9">
        <v>0</v>
      </c>
      <c r="N773" s="9">
        <v>0</v>
      </c>
      <c r="O773" s="9">
        <v>0</v>
      </c>
      <c r="P773" s="9">
        <v>0</v>
      </c>
      <c r="Q773" s="9">
        <v>0</v>
      </c>
      <c r="R773" s="9">
        <v>0</v>
      </c>
      <c r="S773" s="9">
        <v>0</v>
      </c>
      <c r="T773" s="9">
        <v>0</v>
      </c>
      <c r="U773" s="9">
        <v>5</v>
      </c>
      <c r="V773" s="9">
        <v>0</v>
      </c>
      <c r="W773" s="9">
        <v>0</v>
      </c>
      <c r="X773" s="9">
        <v>0</v>
      </c>
      <c r="Y773" s="9">
        <v>0</v>
      </c>
      <c r="Z773" s="9">
        <v>0</v>
      </c>
      <c r="AA773" s="9">
        <v>0</v>
      </c>
      <c r="AB773" s="9">
        <v>0</v>
      </c>
      <c r="AC773" s="9">
        <v>0</v>
      </c>
      <c r="AD773" s="53" t="e">
        <f>#REF!*D773</f>
        <v>#REF!</v>
      </c>
      <c r="AE773" s="53" t="e">
        <f>AD773-#REF!</f>
        <v>#REF!</v>
      </c>
      <c r="AF773" s="9"/>
      <c r="AG773" s="33" t="e">
        <f>#REF!-D773</f>
        <v>#REF!</v>
      </c>
      <c r="AH773" s="9"/>
      <c r="AI773" s="9"/>
      <c r="AJ773" s="9"/>
      <c r="AK773" s="9"/>
    </row>
    <row r="774" spans="1:37" s="12" customFormat="1" ht="20.399999999999999" outlineLevel="1" x14ac:dyDescent="0.2">
      <c r="A774" s="61" t="s">
        <v>1248</v>
      </c>
      <c r="B774" s="47" t="s">
        <v>485</v>
      </c>
      <c r="C774" s="9" t="s">
        <v>48</v>
      </c>
      <c r="D774" s="25">
        <f>SUM(G774:AC774)*3</f>
        <v>6</v>
      </c>
      <c r="E774" s="54"/>
      <c r="F774" s="9"/>
      <c r="G774" s="9">
        <v>0</v>
      </c>
      <c r="H774" s="9">
        <v>1</v>
      </c>
      <c r="I774" s="9">
        <v>0</v>
      </c>
      <c r="J774" s="9">
        <v>0</v>
      </c>
      <c r="K774" s="9">
        <v>0</v>
      </c>
      <c r="L774" s="9">
        <v>0</v>
      </c>
      <c r="M774" s="9">
        <v>0</v>
      </c>
      <c r="N774" s="9">
        <v>0</v>
      </c>
      <c r="O774" s="9">
        <v>0</v>
      </c>
      <c r="P774" s="9">
        <v>0</v>
      </c>
      <c r="Q774" s="9">
        <v>0</v>
      </c>
      <c r="R774" s="9">
        <v>0</v>
      </c>
      <c r="S774" s="9">
        <v>0</v>
      </c>
      <c r="T774" s="9">
        <v>0</v>
      </c>
      <c r="U774" s="9">
        <v>1</v>
      </c>
      <c r="V774" s="9">
        <v>0</v>
      </c>
      <c r="W774" s="9">
        <v>0</v>
      </c>
      <c r="X774" s="9">
        <v>0</v>
      </c>
      <c r="Y774" s="9">
        <v>0</v>
      </c>
      <c r="Z774" s="9">
        <v>0</v>
      </c>
      <c r="AA774" s="9">
        <v>0</v>
      </c>
      <c r="AB774" s="9">
        <v>0</v>
      </c>
      <c r="AC774" s="9">
        <v>0</v>
      </c>
      <c r="AD774" s="53" t="e">
        <f>#REF!*D774</f>
        <v>#REF!</v>
      </c>
      <c r="AE774" s="53" t="e">
        <f>AD774-#REF!</f>
        <v>#REF!</v>
      </c>
      <c r="AF774" s="9"/>
      <c r="AG774" s="33" t="e">
        <f>#REF!-D774</f>
        <v>#REF!</v>
      </c>
      <c r="AH774" s="9"/>
      <c r="AI774" s="9"/>
      <c r="AJ774" s="9"/>
      <c r="AK774" s="9"/>
    </row>
    <row r="775" spans="1:37" s="50" customFormat="1" ht="20.399999999999999" outlineLevel="1" x14ac:dyDescent="0.2">
      <c r="A775" s="61" t="s">
        <v>1249</v>
      </c>
      <c r="B775" s="47" t="s">
        <v>486</v>
      </c>
      <c r="C775" s="9" t="s">
        <v>48</v>
      </c>
      <c r="D775" s="25">
        <f>SUM(G775:AC775)*3</f>
        <v>33</v>
      </c>
      <c r="E775" s="54"/>
      <c r="F775" s="9"/>
      <c r="G775" s="33">
        <v>0</v>
      </c>
      <c r="H775" s="33">
        <v>6</v>
      </c>
      <c r="I775" s="9">
        <v>0</v>
      </c>
      <c r="J775" s="9">
        <v>0</v>
      </c>
      <c r="K775" s="9">
        <v>0</v>
      </c>
      <c r="L775" s="9">
        <v>0</v>
      </c>
      <c r="M775" s="9">
        <v>0</v>
      </c>
      <c r="N775" s="9">
        <v>0</v>
      </c>
      <c r="O775" s="9">
        <v>0</v>
      </c>
      <c r="P775" s="9">
        <v>0</v>
      </c>
      <c r="Q775" s="9">
        <v>0</v>
      </c>
      <c r="R775" s="9">
        <v>0</v>
      </c>
      <c r="S775" s="9">
        <v>0</v>
      </c>
      <c r="T775" s="9">
        <v>0</v>
      </c>
      <c r="U775" s="33">
        <v>5</v>
      </c>
      <c r="V775" s="9">
        <v>0</v>
      </c>
      <c r="W775" s="9">
        <v>0</v>
      </c>
      <c r="X775" s="9">
        <v>0</v>
      </c>
      <c r="Y775" s="9">
        <v>0</v>
      </c>
      <c r="Z775" s="9">
        <v>0</v>
      </c>
      <c r="AA775" s="9">
        <v>0</v>
      </c>
      <c r="AB775" s="9">
        <v>0</v>
      </c>
      <c r="AC775" s="9">
        <v>0</v>
      </c>
      <c r="AD775" s="53" t="e">
        <f>#REF!*D775</f>
        <v>#REF!</v>
      </c>
      <c r="AE775" s="53" t="e">
        <f>AD775-#REF!</f>
        <v>#REF!</v>
      </c>
      <c r="AF775" s="49"/>
      <c r="AG775" s="33" t="e">
        <f>#REF!-D775</f>
        <v>#REF!</v>
      </c>
      <c r="AH775" s="49"/>
      <c r="AI775" s="49"/>
      <c r="AJ775" s="49"/>
      <c r="AK775" s="49"/>
    </row>
    <row r="776" spans="1:37" s="12" customFormat="1" ht="20.399999999999999" outlineLevel="1" x14ac:dyDescent="0.2">
      <c r="A776" s="61" t="s">
        <v>1250</v>
      </c>
      <c r="B776" s="14" t="s">
        <v>61</v>
      </c>
      <c r="C776" s="9" t="s">
        <v>47</v>
      </c>
      <c r="D776" s="25">
        <f t="shared" ref="D776:D790" si="154">SUM(G776:AC776)</f>
        <v>1647</v>
      </c>
      <c r="E776" s="54"/>
      <c r="F776" s="9"/>
      <c r="G776" s="9">
        <v>0</v>
      </c>
      <c r="H776" s="9">
        <f>138-55</f>
        <v>83</v>
      </c>
      <c r="I776" s="9">
        <f>5+28+34+37+7+4+22+18</f>
        <v>155</v>
      </c>
      <c r="J776" s="9">
        <f>21+63+4+35+17+22+14-53</f>
        <v>123</v>
      </c>
      <c r="K776" s="9">
        <f>156-62</f>
        <v>94</v>
      </c>
      <c r="L776" s="9">
        <f>211-80</f>
        <v>131</v>
      </c>
      <c r="M776" s="9">
        <f>13+2+31+15+2+13+1+31</f>
        <v>108</v>
      </c>
      <c r="N776" s="9">
        <f>13+2+31+15+2+13+1+31-1</f>
        <v>107</v>
      </c>
      <c r="O776" s="9">
        <f>19+38+31+30+22+12</f>
        <v>152</v>
      </c>
      <c r="P776" s="9">
        <f>18+26+42+40+19</f>
        <v>145</v>
      </c>
      <c r="Q776" s="9">
        <f>24+33+15+8+20+22+22</f>
        <v>144</v>
      </c>
      <c r="R776" s="9">
        <f>13+6+8</f>
        <v>27</v>
      </c>
      <c r="S776" s="9">
        <v>0</v>
      </c>
      <c r="T776" s="9">
        <v>0</v>
      </c>
      <c r="U776" s="9">
        <v>40</v>
      </c>
      <c r="V776" s="9">
        <v>55</v>
      </c>
      <c r="W776" s="9">
        <v>30</v>
      </c>
      <c r="X776" s="9">
        <v>40</v>
      </c>
      <c r="Y776" s="9">
        <v>55</v>
      </c>
      <c r="Z776" s="9">
        <v>100</v>
      </c>
      <c r="AA776" s="9">
        <v>45</v>
      </c>
      <c r="AB776" s="9">
        <v>13</v>
      </c>
      <c r="AC776" s="9">
        <v>0</v>
      </c>
      <c r="AD776" s="53" t="e">
        <f>#REF!*D776</f>
        <v>#REF!</v>
      </c>
      <c r="AE776" s="53" t="e">
        <f>AD776-#REF!</f>
        <v>#REF!</v>
      </c>
      <c r="AF776" s="9"/>
      <c r="AG776" s="33" t="e">
        <f>#REF!-D776</f>
        <v>#REF!</v>
      </c>
      <c r="AH776" s="9"/>
      <c r="AI776" s="9"/>
      <c r="AJ776" s="9"/>
      <c r="AK776" s="9"/>
    </row>
    <row r="777" spans="1:37" s="12" customFormat="1" ht="20.399999999999999" outlineLevel="1" x14ac:dyDescent="0.2">
      <c r="A777" s="61" t="s">
        <v>1251</v>
      </c>
      <c r="B777" s="14" t="s">
        <v>62</v>
      </c>
      <c r="C777" s="9" t="s">
        <v>47</v>
      </c>
      <c r="D777" s="25">
        <f t="shared" si="154"/>
        <v>2</v>
      </c>
      <c r="E777" s="54"/>
      <c r="F777" s="9"/>
      <c r="G777" s="9">
        <v>0</v>
      </c>
      <c r="H777" s="9">
        <v>1</v>
      </c>
      <c r="I777" s="9">
        <v>0</v>
      </c>
      <c r="J777" s="9">
        <v>0</v>
      </c>
      <c r="K777" s="9">
        <v>0</v>
      </c>
      <c r="L777" s="9">
        <v>0</v>
      </c>
      <c r="M777" s="9">
        <v>0</v>
      </c>
      <c r="N777" s="9">
        <v>0</v>
      </c>
      <c r="O777" s="9">
        <v>0</v>
      </c>
      <c r="P777" s="9">
        <v>0</v>
      </c>
      <c r="Q777" s="9">
        <v>0</v>
      </c>
      <c r="R777" s="9">
        <v>0</v>
      </c>
      <c r="S777" s="9">
        <v>0</v>
      </c>
      <c r="T777" s="9">
        <v>0</v>
      </c>
      <c r="U777" s="9">
        <v>1</v>
      </c>
      <c r="V777" s="9">
        <v>0</v>
      </c>
      <c r="W777" s="9">
        <v>0</v>
      </c>
      <c r="X777" s="9">
        <v>0</v>
      </c>
      <c r="Y777" s="9">
        <v>0</v>
      </c>
      <c r="Z777" s="9">
        <v>0</v>
      </c>
      <c r="AA777" s="9">
        <v>0</v>
      </c>
      <c r="AB777" s="9">
        <v>0</v>
      </c>
      <c r="AC777" s="9">
        <v>0</v>
      </c>
      <c r="AD777" s="53" t="e">
        <f>#REF!*D777</f>
        <v>#REF!</v>
      </c>
      <c r="AE777" s="53" t="e">
        <f>AD777-#REF!</f>
        <v>#REF!</v>
      </c>
      <c r="AF777" s="9"/>
      <c r="AG777" s="33" t="e">
        <f>#REF!-D777</f>
        <v>#REF!</v>
      </c>
      <c r="AH777" s="9"/>
      <c r="AI777" s="9"/>
      <c r="AJ777" s="9"/>
      <c r="AK777" s="9"/>
    </row>
    <row r="778" spans="1:37" s="12" customFormat="1" ht="20.399999999999999" outlineLevel="1" x14ac:dyDescent="0.2">
      <c r="A778" s="61" t="s">
        <v>1252</v>
      </c>
      <c r="B778" s="14" t="s">
        <v>63</v>
      </c>
      <c r="C778" s="9" t="s">
        <v>47</v>
      </c>
      <c r="D778" s="25">
        <f t="shared" si="154"/>
        <v>2</v>
      </c>
      <c r="E778" s="54"/>
      <c r="F778" s="9"/>
      <c r="G778" s="9">
        <v>0</v>
      </c>
      <c r="H778" s="9">
        <v>1</v>
      </c>
      <c r="I778" s="9">
        <v>0</v>
      </c>
      <c r="J778" s="9">
        <v>0</v>
      </c>
      <c r="K778" s="9">
        <v>0</v>
      </c>
      <c r="L778" s="9">
        <v>0</v>
      </c>
      <c r="M778" s="9">
        <v>0</v>
      </c>
      <c r="N778" s="9">
        <v>0</v>
      </c>
      <c r="O778" s="9">
        <v>0</v>
      </c>
      <c r="P778" s="9">
        <v>0</v>
      </c>
      <c r="Q778" s="9">
        <v>0</v>
      </c>
      <c r="R778" s="9">
        <v>0</v>
      </c>
      <c r="S778" s="9">
        <v>0</v>
      </c>
      <c r="T778" s="9">
        <v>0</v>
      </c>
      <c r="U778" s="9">
        <v>1</v>
      </c>
      <c r="V778" s="9">
        <v>0</v>
      </c>
      <c r="W778" s="9">
        <v>0</v>
      </c>
      <c r="X778" s="9">
        <v>0</v>
      </c>
      <c r="Y778" s="9">
        <v>0</v>
      </c>
      <c r="Z778" s="9">
        <v>0</v>
      </c>
      <c r="AA778" s="9">
        <v>0</v>
      </c>
      <c r="AB778" s="9">
        <v>0</v>
      </c>
      <c r="AC778" s="9">
        <v>0</v>
      </c>
      <c r="AD778" s="53" t="e">
        <f>#REF!*D778</f>
        <v>#REF!</v>
      </c>
      <c r="AE778" s="53" t="e">
        <f>AD778-#REF!</f>
        <v>#REF!</v>
      </c>
      <c r="AF778" s="9"/>
      <c r="AG778" s="33" t="e">
        <f>#REF!-D778</f>
        <v>#REF!</v>
      </c>
      <c r="AH778" s="9"/>
      <c r="AI778" s="9"/>
      <c r="AJ778" s="9"/>
      <c r="AK778" s="9"/>
    </row>
    <row r="779" spans="1:37" s="12" customFormat="1" ht="20.399999999999999" outlineLevel="1" x14ac:dyDescent="0.2">
      <c r="A779" s="61" t="s">
        <v>1253</v>
      </c>
      <c r="B779" s="14" t="s">
        <v>318</v>
      </c>
      <c r="C779" s="9" t="s">
        <v>47</v>
      </c>
      <c r="D779" s="25">
        <f t="shared" si="154"/>
        <v>11</v>
      </c>
      <c r="E779" s="54"/>
      <c r="F779" s="78"/>
      <c r="G779" s="33">
        <v>0</v>
      </c>
      <c r="H779" s="33">
        <v>6</v>
      </c>
      <c r="I779" s="9">
        <v>0</v>
      </c>
      <c r="J779" s="9">
        <v>0</v>
      </c>
      <c r="K779" s="9">
        <v>0</v>
      </c>
      <c r="L779" s="9">
        <v>0</v>
      </c>
      <c r="M779" s="9">
        <v>0</v>
      </c>
      <c r="N779" s="9">
        <v>0</v>
      </c>
      <c r="O779" s="9">
        <v>0</v>
      </c>
      <c r="P779" s="9">
        <v>0</v>
      </c>
      <c r="Q779" s="9">
        <v>0</v>
      </c>
      <c r="R779" s="9">
        <v>0</v>
      </c>
      <c r="S779" s="9">
        <v>0</v>
      </c>
      <c r="T779" s="9">
        <v>0</v>
      </c>
      <c r="U779" s="33">
        <v>5</v>
      </c>
      <c r="V779" s="9">
        <v>0</v>
      </c>
      <c r="W779" s="9">
        <v>0</v>
      </c>
      <c r="X779" s="9">
        <v>0</v>
      </c>
      <c r="Y779" s="9">
        <v>0</v>
      </c>
      <c r="Z779" s="9">
        <v>0</v>
      </c>
      <c r="AA779" s="9">
        <v>0</v>
      </c>
      <c r="AB779" s="9">
        <v>0</v>
      </c>
      <c r="AC779" s="9">
        <v>0</v>
      </c>
      <c r="AD779" s="53" t="e">
        <f>#REF!*D779</f>
        <v>#REF!</v>
      </c>
      <c r="AE779" s="53" t="e">
        <f>AD779-#REF!</f>
        <v>#REF!</v>
      </c>
      <c r="AF779" s="9"/>
      <c r="AG779" s="33" t="e">
        <f>#REF!-D779</f>
        <v>#REF!</v>
      </c>
      <c r="AH779" s="9"/>
      <c r="AI779" s="9"/>
      <c r="AJ779" s="9"/>
      <c r="AK779" s="9"/>
    </row>
    <row r="780" spans="1:37" s="12" customFormat="1" ht="20.399999999999999" outlineLevel="1" x14ac:dyDescent="0.2">
      <c r="A780" s="61" t="s">
        <v>1254</v>
      </c>
      <c r="B780" s="14" t="s">
        <v>64</v>
      </c>
      <c r="C780" s="9" t="s">
        <v>47</v>
      </c>
      <c r="D780" s="25">
        <f t="shared" si="154"/>
        <v>110</v>
      </c>
      <c r="E780" s="54"/>
      <c r="F780" s="78"/>
      <c r="G780" s="88">
        <f t="shared" ref="G780:AC780" si="155">G771</f>
        <v>0</v>
      </c>
      <c r="H780" s="88">
        <f t="shared" si="155"/>
        <v>55</v>
      </c>
      <c r="I780" s="88">
        <f t="shared" si="155"/>
        <v>0</v>
      </c>
      <c r="J780" s="88">
        <f t="shared" si="155"/>
        <v>0</v>
      </c>
      <c r="K780" s="88">
        <f t="shared" si="155"/>
        <v>0</v>
      </c>
      <c r="L780" s="88">
        <f t="shared" si="155"/>
        <v>0</v>
      </c>
      <c r="M780" s="88">
        <f t="shared" si="155"/>
        <v>0</v>
      </c>
      <c r="N780" s="88">
        <f t="shared" si="155"/>
        <v>0</v>
      </c>
      <c r="O780" s="88">
        <f t="shared" si="155"/>
        <v>0</v>
      </c>
      <c r="P780" s="88">
        <f t="shared" si="155"/>
        <v>0</v>
      </c>
      <c r="Q780" s="88">
        <f t="shared" si="155"/>
        <v>0</v>
      </c>
      <c r="R780" s="88">
        <f t="shared" si="155"/>
        <v>0</v>
      </c>
      <c r="S780" s="88">
        <f t="shared" si="155"/>
        <v>0</v>
      </c>
      <c r="T780" s="88">
        <f t="shared" si="155"/>
        <v>0</v>
      </c>
      <c r="U780" s="88">
        <f t="shared" si="155"/>
        <v>55</v>
      </c>
      <c r="V780" s="88">
        <f t="shared" si="155"/>
        <v>0</v>
      </c>
      <c r="W780" s="88">
        <f t="shared" si="155"/>
        <v>0</v>
      </c>
      <c r="X780" s="88">
        <f t="shared" si="155"/>
        <v>0</v>
      </c>
      <c r="Y780" s="88">
        <f t="shared" si="155"/>
        <v>0</v>
      </c>
      <c r="Z780" s="88">
        <f t="shared" si="155"/>
        <v>0</v>
      </c>
      <c r="AA780" s="88">
        <f t="shared" si="155"/>
        <v>0</v>
      </c>
      <c r="AB780" s="88">
        <f t="shared" si="155"/>
        <v>0</v>
      </c>
      <c r="AC780" s="88">
        <f t="shared" si="155"/>
        <v>0</v>
      </c>
      <c r="AD780" s="53" t="e">
        <f>#REF!*D780</f>
        <v>#REF!</v>
      </c>
      <c r="AE780" s="53" t="e">
        <f>AD780-#REF!</f>
        <v>#REF!</v>
      </c>
      <c r="AF780" s="49"/>
      <c r="AG780" s="33" t="e">
        <f>#REF!-D780</f>
        <v>#REF!</v>
      </c>
      <c r="AH780" s="9"/>
      <c r="AI780" s="9"/>
      <c r="AJ780" s="9"/>
      <c r="AK780" s="9"/>
    </row>
    <row r="781" spans="1:37" s="12" customFormat="1" ht="20.399999999999999" outlineLevel="1" x14ac:dyDescent="0.2">
      <c r="A781" s="61" t="s">
        <v>1255</v>
      </c>
      <c r="B781" s="14" t="s">
        <v>65</v>
      </c>
      <c r="C781" s="9" t="s">
        <v>47</v>
      </c>
      <c r="D781" s="25">
        <f t="shared" si="154"/>
        <v>4453</v>
      </c>
      <c r="E781" s="54"/>
      <c r="F781" s="9"/>
      <c r="G781" s="49">
        <f t="shared" ref="G781:AC781" si="156">G776+G772</f>
        <v>0</v>
      </c>
      <c r="H781" s="49">
        <f t="shared" si="156"/>
        <v>313</v>
      </c>
      <c r="I781" s="49">
        <f t="shared" si="156"/>
        <v>396</v>
      </c>
      <c r="J781" s="49">
        <f t="shared" si="156"/>
        <v>337</v>
      </c>
      <c r="K781" s="49">
        <f t="shared" si="156"/>
        <v>162</v>
      </c>
      <c r="L781" s="49">
        <f t="shared" si="156"/>
        <v>341</v>
      </c>
      <c r="M781" s="49">
        <f t="shared" si="156"/>
        <v>274</v>
      </c>
      <c r="N781" s="49">
        <f t="shared" si="156"/>
        <v>272</v>
      </c>
      <c r="O781" s="49">
        <f t="shared" si="156"/>
        <v>389</v>
      </c>
      <c r="P781" s="49">
        <f t="shared" si="156"/>
        <v>263</v>
      </c>
      <c r="Q781" s="49">
        <f t="shared" si="156"/>
        <v>360</v>
      </c>
      <c r="R781" s="49">
        <f t="shared" si="156"/>
        <v>53</v>
      </c>
      <c r="S781" s="49">
        <f t="shared" si="156"/>
        <v>0</v>
      </c>
      <c r="T781" s="49">
        <f t="shared" si="156"/>
        <v>0</v>
      </c>
      <c r="U781" s="49">
        <f t="shared" si="156"/>
        <v>270</v>
      </c>
      <c r="V781" s="49">
        <f t="shared" si="156"/>
        <v>193</v>
      </c>
      <c r="W781" s="49">
        <f t="shared" si="156"/>
        <v>99</v>
      </c>
      <c r="X781" s="49">
        <f t="shared" si="156"/>
        <v>147</v>
      </c>
      <c r="Y781" s="49">
        <f t="shared" si="156"/>
        <v>183</v>
      </c>
      <c r="Z781" s="49">
        <f t="shared" si="156"/>
        <v>232</v>
      </c>
      <c r="AA781" s="49">
        <f t="shared" si="156"/>
        <v>142</v>
      </c>
      <c r="AB781" s="49">
        <f t="shared" si="156"/>
        <v>27</v>
      </c>
      <c r="AC781" s="49">
        <f t="shared" si="156"/>
        <v>0</v>
      </c>
      <c r="AD781" s="53" t="e">
        <f>#REF!*D781</f>
        <v>#REF!</v>
      </c>
      <c r="AE781" s="53" t="e">
        <f>AD781-#REF!</f>
        <v>#REF!</v>
      </c>
      <c r="AF781" s="9"/>
      <c r="AG781" s="33" t="e">
        <f>#REF!-D781</f>
        <v>#REF!</v>
      </c>
      <c r="AH781" s="9"/>
      <c r="AI781" s="9"/>
      <c r="AJ781" s="9"/>
      <c r="AK781" s="9"/>
    </row>
    <row r="782" spans="1:37" s="12" customFormat="1" ht="20.399999999999999" outlineLevel="1" x14ac:dyDescent="0.2">
      <c r="A782" s="61" t="s">
        <v>1256</v>
      </c>
      <c r="B782" s="14" t="s">
        <v>66</v>
      </c>
      <c r="C782" s="9" t="s">
        <v>47</v>
      </c>
      <c r="D782" s="25">
        <f t="shared" si="154"/>
        <v>13</v>
      </c>
      <c r="E782" s="54"/>
      <c r="F782" s="9"/>
      <c r="G782" s="49">
        <f t="shared" ref="G782:AC782" si="157">G777+G773</f>
        <v>0</v>
      </c>
      <c r="H782" s="49">
        <f t="shared" si="157"/>
        <v>7</v>
      </c>
      <c r="I782" s="49">
        <f t="shared" si="157"/>
        <v>0</v>
      </c>
      <c r="J782" s="49">
        <f t="shared" si="157"/>
        <v>0</v>
      </c>
      <c r="K782" s="49">
        <f t="shared" si="157"/>
        <v>0</v>
      </c>
      <c r="L782" s="49">
        <f t="shared" si="157"/>
        <v>0</v>
      </c>
      <c r="M782" s="49">
        <f t="shared" si="157"/>
        <v>0</v>
      </c>
      <c r="N782" s="49">
        <f t="shared" si="157"/>
        <v>0</v>
      </c>
      <c r="O782" s="49">
        <f t="shared" si="157"/>
        <v>0</v>
      </c>
      <c r="P782" s="49">
        <f t="shared" si="157"/>
        <v>0</v>
      </c>
      <c r="Q782" s="49">
        <f t="shared" si="157"/>
        <v>0</v>
      </c>
      <c r="R782" s="49">
        <f t="shared" si="157"/>
        <v>0</v>
      </c>
      <c r="S782" s="49">
        <f t="shared" si="157"/>
        <v>0</v>
      </c>
      <c r="T782" s="49">
        <f t="shared" si="157"/>
        <v>0</v>
      </c>
      <c r="U782" s="49">
        <f t="shared" si="157"/>
        <v>6</v>
      </c>
      <c r="V782" s="49">
        <f t="shared" si="157"/>
        <v>0</v>
      </c>
      <c r="W782" s="49">
        <f t="shared" si="157"/>
        <v>0</v>
      </c>
      <c r="X782" s="49">
        <f t="shared" si="157"/>
        <v>0</v>
      </c>
      <c r="Y782" s="49">
        <f t="shared" si="157"/>
        <v>0</v>
      </c>
      <c r="Z782" s="49">
        <f t="shared" si="157"/>
        <v>0</v>
      </c>
      <c r="AA782" s="49">
        <f t="shared" si="157"/>
        <v>0</v>
      </c>
      <c r="AB782" s="49">
        <f t="shared" si="157"/>
        <v>0</v>
      </c>
      <c r="AC782" s="49">
        <f t="shared" si="157"/>
        <v>0</v>
      </c>
      <c r="AD782" s="53" t="e">
        <f>#REF!*D782</f>
        <v>#REF!</v>
      </c>
      <c r="AE782" s="53" t="e">
        <f>AD782-#REF!</f>
        <v>#REF!</v>
      </c>
      <c r="AF782" s="9"/>
      <c r="AG782" s="33" t="e">
        <f>#REF!-D782</f>
        <v>#REF!</v>
      </c>
      <c r="AH782" s="9"/>
      <c r="AI782" s="9"/>
      <c r="AJ782" s="9"/>
      <c r="AK782" s="9"/>
    </row>
    <row r="783" spans="1:37" s="12" customFormat="1" ht="20.399999999999999" outlineLevel="1" x14ac:dyDescent="0.2">
      <c r="A783" s="61" t="s">
        <v>1257</v>
      </c>
      <c r="B783" s="14" t="s">
        <v>67</v>
      </c>
      <c r="C783" s="9" t="s">
        <v>47</v>
      </c>
      <c r="D783" s="25">
        <f t="shared" si="154"/>
        <v>4</v>
      </c>
      <c r="E783" s="54"/>
      <c r="F783" s="9"/>
      <c r="G783" s="49">
        <f t="shared" ref="G783:AC783" si="158">G778+G774</f>
        <v>0</v>
      </c>
      <c r="H783" s="49">
        <f t="shared" si="158"/>
        <v>2</v>
      </c>
      <c r="I783" s="49">
        <f t="shared" si="158"/>
        <v>0</v>
      </c>
      <c r="J783" s="49">
        <f t="shared" si="158"/>
        <v>0</v>
      </c>
      <c r="K783" s="49">
        <f t="shared" si="158"/>
        <v>0</v>
      </c>
      <c r="L783" s="49">
        <f t="shared" si="158"/>
        <v>0</v>
      </c>
      <c r="M783" s="49">
        <f t="shared" si="158"/>
        <v>0</v>
      </c>
      <c r="N783" s="49">
        <f t="shared" si="158"/>
        <v>0</v>
      </c>
      <c r="O783" s="49">
        <f t="shared" si="158"/>
        <v>0</v>
      </c>
      <c r="P783" s="49">
        <f t="shared" si="158"/>
        <v>0</v>
      </c>
      <c r="Q783" s="49">
        <f t="shared" si="158"/>
        <v>0</v>
      </c>
      <c r="R783" s="49">
        <f t="shared" si="158"/>
        <v>0</v>
      </c>
      <c r="S783" s="49">
        <f t="shared" si="158"/>
        <v>0</v>
      </c>
      <c r="T783" s="49">
        <f t="shared" si="158"/>
        <v>0</v>
      </c>
      <c r="U783" s="49">
        <f t="shared" si="158"/>
        <v>2</v>
      </c>
      <c r="V783" s="49">
        <f t="shared" si="158"/>
        <v>0</v>
      </c>
      <c r="W783" s="49">
        <f t="shared" si="158"/>
        <v>0</v>
      </c>
      <c r="X783" s="49">
        <f t="shared" si="158"/>
        <v>0</v>
      </c>
      <c r="Y783" s="49">
        <f t="shared" si="158"/>
        <v>0</v>
      </c>
      <c r="Z783" s="49">
        <f t="shared" si="158"/>
        <v>0</v>
      </c>
      <c r="AA783" s="49">
        <f t="shared" si="158"/>
        <v>0</v>
      </c>
      <c r="AB783" s="49">
        <f t="shared" si="158"/>
        <v>0</v>
      </c>
      <c r="AC783" s="49">
        <f t="shared" si="158"/>
        <v>0</v>
      </c>
      <c r="AD783" s="53" t="e">
        <f>#REF!*D783</f>
        <v>#REF!</v>
      </c>
      <c r="AE783" s="53" t="e">
        <f>AD783-#REF!</f>
        <v>#REF!</v>
      </c>
      <c r="AF783" s="9"/>
      <c r="AG783" s="33" t="e">
        <f>#REF!-D783</f>
        <v>#REF!</v>
      </c>
      <c r="AH783" s="9"/>
      <c r="AI783" s="9"/>
      <c r="AJ783" s="9"/>
      <c r="AK783" s="9"/>
    </row>
    <row r="784" spans="1:37" s="12" customFormat="1" ht="20.399999999999999" outlineLevel="1" x14ac:dyDescent="0.2">
      <c r="A784" s="61" t="s">
        <v>1258</v>
      </c>
      <c r="B784" s="14" t="s">
        <v>319</v>
      </c>
      <c r="C784" s="9" t="s">
        <v>47</v>
      </c>
      <c r="D784" s="25">
        <f t="shared" si="154"/>
        <v>22</v>
      </c>
      <c r="E784" s="54"/>
      <c r="F784" s="78"/>
      <c r="G784" s="88">
        <f>G777+G772</f>
        <v>0</v>
      </c>
      <c r="H784" s="88">
        <f t="shared" ref="H784:AC784" si="159">H779+H775</f>
        <v>12</v>
      </c>
      <c r="I784" s="88">
        <f t="shared" si="159"/>
        <v>0</v>
      </c>
      <c r="J784" s="88">
        <f t="shared" si="159"/>
        <v>0</v>
      </c>
      <c r="K784" s="88">
        <f t="shared" si="159"/>
        <v>0</v>
      </c>
      <c r="L784" s="88">
        <f t="shared" si="159"/>
        <v>0</v>
      </c>
      <c r="M784" s="88">
        <f t="shared" si="159"/>
        <v>0</v>
      </c>
      <c r="N784" s="88">
        <f t="shared" si="159"/>
        <v>0</v>
      </c>
      <c r="O784" s="88">
        <f t="shared" si="159"/>
        <v>0</v>
      </c>
      <c r="P784" s="88">
        <f t="shared" si="159"/>
        <v>0</v>
      </c>
      <c r="Q784" s="88">
        <f t="shared" si="159"/>
        <v>0</v>
      </c>
      <c r="R784" s="88">
        <f t="shared" si="159"/>
        <v>0</v>
      </c>
      <c r="S784" s="88">
        <f t="shared" si="159"/>
        <v>0</v>
      </c>
      <c r="T784" s="88">
        <f t="shared" si="159"/>
        <v>0</v>
      </c>
      <c r="U784" s="88">
        <f t="shared" si="159"/>
        <v>10</v>
      </c>
      <c r="V784" s="88">
        <f t="shared" si="159"/>
        <v>0</v>
      </c>
      <c r="W784" s="88">
        <f t="shared" si="159"/>
        <v>0</v>
      </c>
      <c r="X784" s="88">
        <f t="shared" si="159"/>
        <v>0</v>
      </c>
      <c r="Y784" s="88">
        <f t="shared" si="159"/>
        <v>0</v>
      </c>
      <c r="Z784" s="88">
        <f t="shared" si="159"/>
        <v>0</v>
      </c>
      <c r="AA784" s="88">
        <f t="shared" si="159"/>
        <v>0</v>
      </c>
      <c r="AB784" s="88">
        <f t="shared" si="159"/>
        <v>0</v>
      </c>
      <c r="AC784" s="88">
        <f t="shared" si="159"/>
        <v>0</v>
      </c>
      <c r="AD784" s="53" t="e">
        <f>#REF!*D784</f>
        <v>#REF!</v>
      </c>
      <c r="AE784" s="53" t="e">
        <f>AD784-#REF!</f>
        <v>#REF!</v>
      </c>
      <c r="AF784" s="49"/>
      <c r="AG784" s="33" t="e">
        <f>#REF!-D784</f>
        <v>#REF!</v>
      </c>
      <c r="AH784" s="9"/>
      <c r="AI784" s="9"/>
      <c r="AJ784" s="9"/>
      <c r="AK784" s="9"/>
    </row>
    <row r="785" spans="1:37" s="12" customFormat="1" ht="20.399999999999999" outlineLevel="1" x14ac:dyDescent="0.2">
      <c r="A785" s="61" t="s">
        <v>1259</v>
      </c>
      <c r="B785" s="14" t="s">
        <v>68</v>
      </c>
      <c r="C785" s="9" t="s">
        <v>36</v>
      </c>
      <c r="D785" s="25">
        <f t="shared" si="154"/>
        <v>356</v>
      </c>
      <c r="E785" s="54"/>
      <c r="F785" s="78"/>
      <c r="G785" s="33">
        <v>0</v>
      </c>
      <c r="H785" s="33">
        <f>356/2</f>
        <v>178</v>
      </c>
      <c r="I785" s="33">
        <v>0</v>
      </c>
      <c r="J785" s="33">
        <v>0</v>
      </c>
      <c r="K785" s="33">
        <v>0</v>
      </c>
      <c r="L785" s="33">
        <v>0</v>
      </c>
      <c r="M785" s="33">
        <v>0</v>
      </c>
      <c r="N785" s="33">
        <v>0</v>
      </c>
      <c r="O785" s="33">
        <v>0</v>
      </c>
      <c r="P785" s="33">
        <v>0</v>
      </c>
      <c r="Q785" s="33">
        <v>0</v>
      </c>
      <c r="R785" s="33">
        <v>0</v>
      </c>
      <c r="S785" s="33">
        <v>0</v>
      </c>
      <c r="T785" s="33">
        <v>0</v>
      </c>
      <c r="U785" s="33">
        <f>356/2</f>
        <v>178</v>
      </c>
      <c r="V785" s="33">
        <v>0</v>
      </c>
      <c r="W785" s="33">
        <v>0</v>
      </c>
      <c r="X785" s="33">
        <v>0</v>
      </c>
      <c r="Y785" s="33">
        <v>0</v>
      </c>
      <c r="Z785" s="33">
        <v>0</v>
      </c>
      <c r="AA785" s="33">
        <v>0</v>
      </c>
      <c r="AB785" s="33">
        <v>0</v>
      </c>
      <c r="AC785" s="33">
        <v>0</v>
      </c>
      <c r="AD785" s="53" t="e">
        <f>#REF!*D785</f>
        <v>#REF!</v>
      </c>
      <c r="AE785" s="53" t="e">
        <f>AD785-#REF!</f>
        <v>#REF!</v>
      </c>
      <c r="AF785" s="9"/>
      <c r="AG785" s="33" t="e">
        <f>#REF!-D785</f>
        <v>#REF!</v>
      </c>
      <c r="AH785" s="9"/>
      <c r="AI785" s="9"/>
      <c r="AJ785" s="9"/>
      <c r="AK785" s="9"/>
    </row>
    <row r="786" spans="1:37" s="12" customFormat="1" ht="20.399999999999999" outlineLevel="1" x14ac:dyDescent="0.2">
      <c r="A786" s="61" t="s">
        <v>1260</v>
      </c>
      <c r="B786" s="14" t="s">
        <v>226</v>
      </c>
      <c r="C786" s="9" t="s">
        <v>36</v>
      </c>
      <c r="D786" s="25">
        <f t="shared" si="154"/>
        <v>2548</v>
      </c>
      <c r="E786" s="54"/>
      <c r="F786" s="9"/>
      <c r="G786" s="49">
        <f t="shared" ref="G786:AC786" si="160">MROUND(SUM(G801:G802)*1.2,1)</f>
        <v>0</v>
      </c>
      <c r="H786" s="49">
        <f t="shared" si="160"/>
        <v>338</v>
      </c>
      <c r="I786" s="49">
        <f t="shared" si="160"/>
        <v>179</v>
      </c>
      <c r="J786" s="49">
        <f t="shared" si="160"/>
        <v>166</v>
      </c>
      <c r="K786" s="49">
        <f t="shared" si="160"/>
        <v>126</v>
      </c>
      <c r="L786" s="49">
        <f t="shared" si="160"/>
        <v>164</v>
      </c>
      <c r="M786" s="49">
        <f t="shared" si="160"/>
        <v>132</v>
      </c>
      <c r="N786" s="49">
        <f t="shared" si="160"/>
        <v>128</v>
      </c>
      <c r="O786" s="49">
        <f t="shared" si="160"/>
        <v>146</v>
      </c>
      <c r="P786" s="49">
        <f t="shared" si="160"/>
        <v>174</v>
      </c>
      <c r="Q786" s="49">
        <f t="shared" si="160"/>
        <v>173</v>
      </c>
      <c r="R786" s="49">
        <f t="shared" si="160"/>
        <v>32</v>
      </c>
      <c r="S786" s="49">
        <f t="shared" si="160"/>
        <v>0</v>
      </c>
      <c r="T786" s="49">
        <f t="shared" si="160"/>
        <v>0</v>
      </c>
      <c r="U786" s="49">
        <f t="shared" si="160"/>
        <v>131</v>
      </c>
      <c r="V786" s="49">
        <f t="shared" si="160"/>
        <v>128</v>
      </c>
      <c r="W786" s="49">
        <f t="shared" si="160"/>
        <v>61</v>
      </c>
      <c r="X786" s="49">
        <f t="shared" si="160"/>
        <v>124</v>
      </c>
      <c r="Y786" s="49">
        <f t="shared" si="160"/>
        <v>112</v>
      </c>
      <c r="Z786" s="49">
        <f t="shared" si="160"/>
        <v>121</v>
      </c>
      <c r="AA786" s="49">
        <f t="shared" si="160"/>
        <v>83</v>
      </c>
      <c r="AB786" s="49">
        <f t="shared" si="160"/>
        <v>30</v>
      </c>
      <c r="AC786" s="49">
        <f t="shared" si="160"/>
        <v>0</v>
      </c>
      <c r="AD786" s="53" t="e">
        <f>#REF!*D786</f>
        <v>#REF!</v>
      </c>
      <c r="AE786" s="53" t="e">
        <f>AD786-#REF!</f>
        <v>#REF!</v>
      </c>
      <c r="AF786" s="9"/>
      <c r="AG786" s="33" t="e">
        <f>#REF!-D786</f>
        <v>#REF!</v>
      </c>
      <c r="AH786" s="9"/>
      <c r="AI786" s="9"/>
      <c r="AJ786" s="9"/>
      <c r="AK786" s="9"/>
    </row>
    <row r="787" spans="1:37" s="12" customFormat="1" ht="20.399999999999999" outlineLevel="1" x14ac:dyDescent="0.2">
      <c r="A787" s="61" t="s">
        <v>1261</v>
      </c>
      <c r="B787" s="14" t="s">
        <v>228</v>
      </c>
      <c r="C787" s="9" t="s">
        <v>36</v>
      </c>
      <c r="D787" s="25">
        <f t="shared" si="154"/>
        <v>8</v>
      </c>
      <c r="E787" s="54"/>
      <c r="F787" s="9"/>
      <c r="G787" s="9">
        <v>0</v>
      </c>
      <c r="H787" s="9">
        <v>4</v>
      </c>
      <c r="I787" s="9">
        <v>0</v>
      </c>
      <c r="J787" s="9">
        <v>0</v>
      </c>
      <c r="K787" s="9">
        <v>0</v>
      </c>
      <c r="L787" s="9">
        <v>0</v>
      </c>
      <c r="M787" s="9">
        <v>0</v>
      </c>
      <c r="N787" s="9">
        <v>0</v>
      </c>
      <c r="O787" s="9">
        <v>0</v>
      </c>
      <c r="P787" s="9">
        <v>0</v>
      </c>
      <c r="Q787" s="9">
        <v>0</v>
      </c>
      <c r="R787" s="9">
        <v>0</v>
      </c>
      <c r="S787" s="9">
        <v>0</v>
      </c>
      <c r="T787" s="9">
        <v>0</v>
      </c>
      <c r="U787" s="9">
        <v>4</v>
      </c>
      <c r="V787" s="9">
        <v>0</v>
      </c>
      <c r="W787" s="9">
        <v>0</v>
      </c>
      <c r="X787" s="9">
        <v>0</v>
      </c>
      <c r="Y787" s="9">
        <v>0</v>
      </c>
      <c r="Z787" s="9">
        <v>0</v>
      </c>
      <c r="AA787" s="9">
        <v>0</v>
      </c>
      <c r="AB787" s="9">
        <v>0</v>
      </c>
      <c r="AC787" s="9">
        <v>0</v>
      </c>
      <c r="AD787" s="53" t="e">
        <f>#REF!*D787</f>
        <v>#REF!</v>
      </c>
      <c r="AE787" s="53" t="e">
        <f>AD787-#REF!</f>
        <v>#REF!</v>
      </c>
      <c r="AF787" s="9"/>
      <c r="AG787" s="33" t="e">
        <f>#REF!-D787</f>
        <v>#REF!</v>
      </c>
      <c r="AH787" s="9"/>
      <c r="AI787" s="9"/>
      <c r="AJ787" s="9"/>
      <c r="AK787" s="9"/>
    </row>
    <row r="788" spans="1:37" s="12" customFormat="1" ht="20.399999999999999" outlineLevel="1" x14ac:dyDescent="0.2">
      <c r="A788" s="61" t="s">
        <v>1262</v>
      </c>
      <c r="B788" s="14" t="s">
        <v>229</v>
      </c>
      <c r="C788" s="9" t="s">
        <v>36</v>
      </c>
      <c r="D788" s="25">
        <f t="shared" si="154"/>
        <v>2</v>
      </c>
      <c r="E788" s="54"/>
      <c r="F788" s="9"/>
      <c r="G788" s="9">
        <v>0</v>
      </c>
      <c r="H788" s="9">
        <v>1</v>
      </c>
      <c r="I788" s="9">
        <v>0</v>
      </c>
      <c r="J788" s="9">
        <v>0</v>
      </c>
      <c r="K788" s="9">
        <v>0</v>
      </c>
      <c r="L788" s="9">
        <v>0</v>
      </c>
      <c r="M788" s="9">
        <v>0</v>
      </c>
      <c r="N788" s="9">
        <v>0</v>
      </c>
      <c r="O788" s="9">
        <v>0</v>
      </c>
      <c r="P788" s="9">
        <v>0</v>
      </c>
      <c r="Q788" s="9">
        <v>0</v>
      </c>
      <c r="R788" s="9">
        <v>0</v>
      </c>
      <c r="S788" s="9">
        <v>0</v>
      </c>
      <c r="T788" s="9">
        <v>0</v>
      </c>
      <c r="U788" s="9">
        <v>1</v>
      </c>
      <c r="V788" s="9">
        <v>0</v>
      </c>
      <c r="W788" s="9">
        <v>0</v>
      </c>
      <c r="X788" s="9">
        <v>0</v>
      </c>
      <c r="Y788" s="9">
        <v>0</v>
      </c>
      <c r="Z788" s="9">
        <v>0</v>
      </c>
      <c r="AA788" s="9">
        <v>0</v>
      </c>
      <c r="AB788" s="9">
        <v>0</v>
      </c>
      <c r="AC788" s="9">
        <v>0</v>
      </c>
      <c r="AD788" s="53" t="e">
        <f>#REF!*D788</f>
        <v>#REF!</v>
      </c>
      <c r="AE788" s="53" t="e">
        <f>AD788-#REF!</f>
        <v>#REF!</v>
      </c>
      <c r="AF788" s="9"/>
      <c r="AG788" s="33" t="e">
        <f>#REF!-D788</f>
        <v>#REF!</v>
      </c>
      <c r="AH788" s="9"/>
      <c r="AI788" s="9"/>
      <c r="AJ788" s="9"/>
      <c r="AK788" s="9"/>
    </row>
    <row r="789" spans="1:37" s="12" customFormat="1" ht="20.399999999999999" outlineLevel="1" x14ac:dyDescent="0.2">
      <c r="A789" s="61" t="s">
        <v>1263</v>
      </c>
      <c r="B789" s="14" t="s">
        <v>320</v>
      </c>
      <c r="C789" s="9" t="s">
        <v>36</v>
      </c>
      <c r="D789" s="25">
        <f t="shared" si="154"/>
        <v>6</v>
      </c>
      <c r="E789" s="54"/>
      <c r="F789" s="78"/>
      <c r="G789" s="33">
        <v>0</v>
      </c>
      <c r="H789" s="33">
        <v>1</v>
      </c>
      <c r="I789" s="9">
        <v>0</v>
      </c>
      <c r="J789" s="9">
        <v>0</v>
      </c>
      <c r="K789" s="9">
        <v>0</v>
      </c>
      <c r="L789" s="9">
        <v>0</v>
      </c>
      <c r="M789" s="9">
        <v>0</v>
      </c>
      <c r="N789" s="9">
        <v>0</v>
      </c>
      <c r="O789" s="9">
        <v>0</v>
      </c>
      <c r="P789" s="9">
        <v>0</v>
      </c>
      <c r="Q789" s="9">
        <v>2</v>
      </c>
      <c r="R789" s="9">
        <v>2</v>
      </c>
      <c r="S789" s="9">
        <v>0</v>
      </c>
      <c r="T789" s="9">
        <v>0</v>
      </c>
      <c r="U789" s="33">
        <v>1</v>
      </c>
      <c r="V789" s="9">
        <v>0</v>
      </c>
      <c r="W789" s="9">
        <v>0</v>
      </c>
      <c r="X789" s="9">
        <v>0</v>
      </c>
      <c r="Y789" s="9">
        <v>0</v>
      </c>
      <c r="Z789" s="9">
        <v>0</v>
      </c>
      <c r="AA789" s="9">
        <v>0</v>
      </c>
      <c r="AB789" s="9">
        <v>0</v>
      </c>
      <c r="AC789" s="9">
        <v>0</v>
      </c>
      <c r="AD789" s="53" t="e">
        <f>#REF!*D789</f>
        <v>#REF!</v>
      </c>
      <c r="AE789" s="53" t="e">
        <f>AD789-#REF!</f>
        <v>#REF!</v>
      </c>
      <c r="AF789" s="9"/>
      <c r="AG789" s="33" t="e">
        <f>#REF!-D789</f>
        <v>#REF!</v>
      </c>
      <c r="AH789" s="9"/>
      <c r="AI789" s="9"/>
      <c r="AJ789" s="9"/>
      <c r="AK789" s="9"/>
    </row>
    <row r="790" spans="1:37" s="12" customFormat="1" ht="20.399999999999999" outlineLevel="1" x14ac:dyDescent="0.2">
      <c r="A790" s="61" t="s">
        <v>1264</v>
      </c>
      <c r="B790" s="14" t="s">
        <v>367</v>
      </c>
      <c r="C790" s="9" t="s">
        <v>47</v>
      </c>
      <c r="D790" s="25">
        <f t="shared" si="154"/>
        <v>265</v>
      </c>
      <c r="E790" s="54"/>
      <c r="F790" s="78"/>
      <c r="G790" s="33">
        <v>0</v>
      </c>
      <c r="H790" s="33">
        <f>530/2</f>
        <v>265</v>
      </c>
      <c r="I790" s="9">
        <v>0</v>
      </c>
      <c r="J790" s="9">
        <v>0</v>
      </c>
      <c r="K790" s="9">
        <v>0</v>
      </c>
      <c r="L790" s="9">
        <v>0</v>
      </c>
      <c r="M790" s="9">
        <v>0</v>
      </c>
      <c r="N790" s="9">
        <v>0</v>
      </c>
      <c r="O790" s="9">
        <v>0</v>
      </c>
      <c r="P790" s="9">
        <v>0</v>
      </c>
      <c r="Q790" s="9">
        <v>0</v>
      </c>
      <c r="R790" s="9">
        <v>0</v>
      </c>
      <c r="S790" s="9">
        <v>0</v>
      </c>
      <c r="T790" s="9">
        <v>0</v>
      </c>
      <c r="U790" s="33">
        <v>0</v>
      </c>
      <c r="V790" s="9">
        <v>0</v>
      </c>
      <c r="W790" s="9">
        <v>0</v>
      </c>
      <c r="X790" s="9">
        <v>0</v>
      </c>
      <c r="Y790" s="9">
        <v>0</v>
      </c>
      <c r="Z790" s="9">
        <v>0</v>
      </c>
      <c r="AA790" s="9">
        <v>0</v>
      </c>
      <c r="AB790" s="9">
        <v>0</v>
      </c>
      <c r="AC790" s="9">
        <v>0</v>
      </c>
      <c r="AD790" s="53" t="e">
        <f>#REF!*D790</f>
        <v>#REF!</v>
      </c>
      <c r="AE790" s="53" t="e">
        <f>AD790-#REF!</f>
        <v>#REF!</v>
      </c>
      <c r="AF790" s="9"/>
      <c r="AG790" s="33" t="e">
        <f>#REF!-D790</f>
        <v>#REF!</v>
      </c>
      <c r="AH790" s="9"/>
      <c r="AI790" s="9"/>
      <c r="AJ790" s="9"/>
      <c r="AK790" s="9"/>
    </row>
    <row r="791" spans="1:37" s="19" customFormat="1" ht="26.25" customHeight="1" outlineLevel="1" x14ac:dyDescent="0.25">
      <c r="A791" s="61" t="s">
        <v>1265</v>
      </c>
      <c r="B791" s="47" t="s">
        <v>2606</v>
      </c>
      <c r="C791" s="9" t="s">
        <v>48</v>
      </c>
      <c r="D791" s="25">
        <f>SUM(G791:AC791)*3</f>
        <v>33</v>
      </c>
      <c r="E791" s="54"/>
      <c r="F791" s="9"/>
      <c r="G791" s="9">
        <v>0</v>
      </c>
      <c r="H791" s="9">
        <v>11</v>
      </c>
      <c r="I791" s="9">
        <v>0</v>
      </c>
      <c r="J791" s="9">
        <v>0</v>
      </c>
      <c r="K791" s="9">
        <v>0</v>
      </c>
      <c r="L791" s="9">
        <v>0</v>
      </c>
      <c r="M791" s="9">
        <v>0</v>
      </c>
      <c r="N791" s="9">
        <v>0</v>
      </c>
      <c r="O791" s="9">
        <v>0</v>
      </c>
      <c r="P791" s="9">
        <v>0</v>
      </c>
      <c r="Q791" s="9">
        <v>0</v>
      </c>
      <c r="R791" s="9">
        <v>0</v>
      </c>
      <c r="S791" s="9">
        <v>0</v>
      </c>
      <c r="T791" s="9">
        <v>0</v>
      </c>
      <c r="U791" s="9">
        <v>0</v>
      </c>
      <c r="V791" s="9">
        <v>0</v>
      </c>
      <c r="W791" s="9">
        <v>0</v>
      </c>
      <c r="X791" s="9">
        <v>0</v>
      </c>
      <c r="Y791" s="9">
        <v>0</v>
      </c>
      <c r="Z791" s="9">
        <v>0</v>
      </c>
      <c r="AA791" s="9">
        <v>0</v>
      </c>
      <c r="AB791" s="9">
        <v>0</v>
      </c>
      <c r="AC791" s="9">
        <v>0</v>
      </c>
      <c r="AD791" s="53" t="e">
        <f>#REF!*D791</f>
        <v>#REF!</v>
      </c>
      <c r="AE791" s="53" t="e">
        <f>AD791-#REF!</f>
        <v>#REF!</v>
      </c>
      <c r="AF791" s="9"/>
      <c r="AG791" s="33" t="e">
        <f>#REF!-D791</f>
        <v>#REF!</v>
      </c>
      <c r="AH791" s="9"/>
      <c r="AI791" s="9"/>
      <c r="AJ791" s="9"/>
      <c r="AK791" s="9"/>
    </row>
    <row r="792" spans="1:37" s="19" customFormat="1" ht="30.6" outlineLevel="1" x14ac:dyDescent="0.25">
      <c r="A792" s="61" t="s">
        <v>1266</v>
      </c>
      <c r="B792" s="47" t="s">
        <v>2607</v>
      </c>
      <c r="C792" s="9" t="s">
        <v>48</v>
      </c>
      <c r="D792" s="25">
        <f>SUM(G792:AC792)*3</f>
        <v>18</v>
      </c>
      <c r="E792" s="54"/>
      <c r="F792" s="9"/>
      <c r="G792" s="9">
        <v>0</v>
      </c>
      <c r="H792" s="9">
        <v>0</v>
      </c>
      <c r="I792" s="9">
        <v>0</v>
      </c>
      <c r="J792" s="9">
        <v>0</v>
      </c>
      <c r="K792" s="9">
        <v>0</v>
      </c>
      <c r="L792" s="9">
        <v>0</v>
      </c>
      <c r="M792" s="9">
        <v>0</v>
      </c>
      <c r="N792" s="9">
        <v>0</v>
      </c>
      <c r="O792" s="9">
        <v>0</v>
      </c>
      <c r="P792" s="9">
        <v>0</v>
      </c>
      <c r="Q792" s="9">
        <v>0</v>
      </c>
      <c r="R792" s="9">
        <v>6</v>
      </c>
      <c r="S792" s="9">
        <v>0</v>
      </c>
      <c r="T792" s="9">
        <v>0</v>
      </c>
      <c r="U792" s="9">
        <v>0</v>
      </c>
      <c r="V792" s="9">
        <v>0</v>
      </c>
      <c r="W792" s="9">
        <v>0</v>
      </c>
      <c r="X792" s="9">
        <v>0</v>
      </c>
      <c r="Y792" s="9">
        <v>0</v>
      </c>
      <c r="Z792" s="9">
        <v>0</v>
      </c>
      <c r="AA792" s="9">
        <v>0</v>
      </c>
      <c r="AB792" s="9">
        <v>0</v>
      </c>
      <c r="AC792" s="9">
        <v>0</v>
      </c>
      <c r="AD792" s="53" t="e">
        <f>#REF!*D792</f>
        <v>#REF!</v>
      </c>
      <c r="AE792" s="53" t="e">
        <f>AD792-#REF!</f>
        <v>#REF!</v>
      </c>
      <c r="AF792" s="9"/>
      <c r="AG792" s="33" t="e">
        <f>#REF!-D792</f>
        <v>#REF!</v>
      </c>
      <c r="AH792" s="9"/>
      <c r="AI792" s="9"/>
      <c r="AJ792" s="9"/>
      <c r="AK792" s="9"/>
    </row>
    <row r="793" spans="1:37" s="12" customFormat="1" ht="20.399999999999999" outlineLevel="1" x14ac:dyDescent="0.2">
      <c r="A793" s="61" t="s">
        <v>1267</v>
      </c>
      <c r="B793" s="14" t="s">
        <v>1315</v>
      </c>
      <c r="C793" s="9" t="s">
        <v>48</v>
      </c>
      <c r="D793" s="25">
        <f t="shared" ref="D793:D816" si="161">SUM(G793:AC793)</f>
        <v>366</v>
      </c>
      <c r="E793" s="54"/>
      <c r="F793" s="78"/>
      <c r="G793" s="33">
        <v>0</v>
      </c>
      <c r="H793" s="88">
        <f t="shared" ref="H793:AB793" si="162">(H1066+H1067)*6</f>
        <v>36</v>
      </c>
      <c r="I793" s="88">
        <f t="shared" si="162"/>
        <v>30</v>
      </c>
      <c r="J793" s="88">
        <f t="shared" si="162"/>
        <v>24</v>
      </c>
      <c r="K793" s="88">
        <f t="shared" si="162"/>
        <v>24</v>
      </c>
      <c r="L793" s="88">
        <f t="shared" si="162"/>
        <v>18</v>
      </c>
      <c r="M793" s="88">
        <f t="shared" si="162"/>
        <v>18</v>
      </c>
      <c r="N793" s="88">
        <f t="shared" si="162"/>
        <v>18</v>
      </c>
      <c r="O793" s="88">
        <f t="shared" si="162"/>
        <v>24</v>
      </c>
      <c r="P793" s="88">
        <f t="shared" si="162"/>
        <v>24</v>
      </c>
      <c r="Q793" s="88">
        <f t="shared" si="162"/>
        <v>72</v>
      </c>
      <c r="R793" s="88">
        <f t="shared" si="162"/>
        <v>0</v>
      </c>
      <c r="S793" s="88">
        <f t="shared" si="162"/>
        <v>0</v>
      </c>
      <c r="T793" s="88">
        <f t="shared" si="162"/>
        <v>0</v>
      </c>
      <c r="U793" s="88">
        <f t="shared" si="162"/>
        <v>12</v>
      </c>
      <c r="V793" s="88">
        <f t="shared" si="162"/>
        <v>12</v>
      </c>
      <c r="W793" s="88">
        <f t="shared" si="162"/>
        <v>6</v>
      </c>
      <c r="X793" s="88">
        <f t="shared" si="162"/>
        <v>12</v>
      </c>
      <c r="Y793" s="88">
        <f t="shared" si="162"/>
        <v>12</v>
      </c>
      <c r="Z793" s="88">
        <f t="shared" si="162"/>
        <v>12</v>
      </c>
      <c r="AA793" s="88">
        <f t="shared" si="162"/>
        <v>12</v>
      </c>
      <c r="AB793" s="88">
        <f t="shared" si="162"/>
        <v>0</v>
      </c>
      <c r="AC793" s="9">
        <v>0</v>
      </c>
      <c r="AD793" s="53" t="e">
        <f>#REF!*D793</f>
        <v>#REF!</v>
      </c>
      <c r="AE793" s="53" t="e">
        <f>AD793-#REF!</f>
        <v>#REF!</v>
      </c>
      <c r="AF793" s="9"/>
      <c r="AG793" s="33" t="e">
        <f>#REF!-D793</f>
        <v>#REF!</v>
      </c>
      <c r="AH793" s="9"/>
      <c r="AI793" s="9"/>
      <c r="AJ793" s="9"/>
      <c r="AK793" s="9"/>
    </row>
    <row r="794" spans="1:37" s="12" customFormat="1" ht="30.6" outlineLevel="1" x14ac:dyDescent="0.2">
      <c r="A794" s="61" t="s">
        <v>1268</v>
      </c>
      <c r="B794" s="95" t="s">
        <v>1242</v>
      </c>
      <c r="C794" s="9" t="s">
        <v>48</v>
      </c>
      <c r="D794" s="25">
        <f t="shared" si="161"/>
        <v>45</v>
      </c>
      <c r="E794" s="54"/>
      <c r="F794" s="9"/>
      <c r="G794" s="9">
        <v>0</v>
      </c>
      <c r="H794" s="9">
        <v>20</v>
      </c>
      <c r="I794" s="9">
        <v>0</v>
      </c>
      <c r="J794" s="9">
        <v>0</v>
      </c>
      <c r="K794" s="9">
        <v>0</v>
      </c>
      <c r="L794" s="9">
        <v>0</v>
      </c>
      <c r="M794" s="9">
        <v>0</v>
      </c>
      <c r="N794" s="9">
        <v>0</v>
      </c>
      <c r="O794" s="9">
        <v>0</v>
      </c>
      <c r="P794" s="9">
        <v>0</v>
      </c>
      <c r="Q794" s="9">
        <v>0</v>
      </c>
      <c r="R794" s="9">
        <v>0</v>
      </c>
      <c r="S794" s="9">
        <v>0</v>
      </c>
      <c r="T794" s="9">
        <v>0</v>
      </c>
      <c r="U794" s="9">
        <v>25</v>
      </c>
      <c r="V794" s="9">
        <v>0</v>
      </c>
      <c r="W794" s="9">
        <v>0</v>
      </c>
      <c r="X794" s="9">
        <v>0</v>
      </c>
      <c r="Y794" s="9">
        <v>0</v>
      </c>
      <c r="Z794" s="9">
        <v>0</v>
      </c>
      <c r="AA794" s="9">
        <v>0</v>
      </c>
      <c r="AB794" s="9">
        <v>0</v>
      </c>
      <c r="AC794" s="9">
        <v>0</v>
      </c>
      <c r="AD794" s="53" t="e">
        <f>#REF!*D794</f>
        <v>#REF!</v>
      </c>
      <c r="AE794" s="53" t="e">
        <f>AD794-#REF!</f>
        <v>#REF!</v>
      </c>
      <c r="AF794" s="9"/>
      <c r="AG794" s="33" t="e">
        <f>#REF!-D794</f>
        <v>#REF!</v>
      </c>
      <c r="AH794" s="9"/>
      <c r="AI794" s="9"/>
      <c r="AJ794" s="9"/>
      <c r="AK794" s="9"/>
    </row>
    <row r="795" spans="1:37" s="12" customFormat="1" ht="30.6" outlineLevel="1" x14ac:dyDescent="0.2">
      <c r="A795" s="61" t="s">
        <v>1269</v>
      </c>
      <c r="B795" s="95" t="s">
        <v>406</v>
      </c>
      <c r="C795" s="9" t="s">
        <v>48</v>
      </c>
      <c r="D795" s="25">
        <f t="shared" si="161"/>
        <v>290</v>
      </c>
      <c r="E795" s="54"/>
      <c r="F795" s="9"/>
      <c r="G795" s="9">
        <v>45</v>
      </c>
      <c r="H795" s="9">
        <f>245-180</f>
        <v>65</v>
      </c>
      <c r="I795" s="9">
        <v>0</v>
      </c>
      <c r="J795" s="9">
        <v>0</v>
      </c>
      <c r="K795" s="9">
        <v>0</v>
      </c>
      <c r="L795" s="9">
        <v>0</v>
      </c>
      <c r="M795" s="9">
        <v>0</v>
      </c>
      <c r="N795" s="9">
        <v>0</v>
      </c>
      <c r="O795" s="9">
        <v>0</v>
      </c>
      <c r="P795" s="9">
        <v>0</v>
      </c>
      <c r="Q795" s="9">
        <v>0</v>
      </c>
      <c r="R795" s="9">
        <v>0</v>
      </c>
      <c r="S795" s="9">
        <v>0</v>
      </c>
      <c r="T795" s="9">
        <v>0</v>
      </c>
      <c r="U795" s="9">
        <v>180</v>
      </c>
      <c r="V795" s="9">
        <v>0</v>
      </c>
      <c r="W795" s="9">
        <v>0</v>
      </c>
      <c r="X795" s="9">
        <v>0</v>
      </c>
      <c r="Y795" s="9">
        <v>0</v>
      </c>
      <c r="Z795" s="9">
        <v>0</v>
      </c>
      <c r="AA795" s="9">
        <v>0</v>
      </c>
      <c r="AB795" s="9">
        <v>0</v>
      </c>
      <c r="AC795" s="9">
        <v>0</v>
      </c>
      <c r="AD795" s="53" t="e">
        <f>#REF!*D795</f>
        <v>#REF!</v>
      </c>
      <c r="AE795" s="53" t="e">
        <f>AD795-#REF!</f>
        <v>#REF!</v>
      </c>
      <c r="AF795" s="9"/>
      <c r="AG795" s="33" t="e">
        <f>#REF!-D795</f>
        <v>#REF!</v>
      </c>
      <c r="AH795" s="9"/>
      <c r="AI795" s="9"/>
      <c r="AJ795" s="9"/>
      <c r="AK795" s="9"/>
    </row>
    <row r="796" spans="1:37" s="12" customFormat="1" ht="10.199999999999999" outlineLevel="1" x14ac:dyDescent="0.2">
      <c r="A796" s="61" t="s">
        <v>1270</v>
      </c>
      <c r="B796" s="11" t="s">
        <v>56</v>
      </c>
      <c r="C796" s="9" t="s">
        <v>57</v>
      </c>
      <c r="D796" s="25">
        <f t="shared" si="161"/>
        <v>83</v>
      </c>
      <c r="E796" s="54"/>
      <c r="F796" s="9"/>
      <c r="G796" s="49">
        <f t="shared" ref="G796:AC796" si="163">MROUND(SUM(G772:G775)*3/100,1)</f>
        <v>0</v>
      </c>
      <c r="H796" s="49">
        <f t="shared" si="163"/>
        <v>7</v>
      </c>
      <c r="I796" s="49">
        <f t="shared" si="163"/>
        <v>7</v>
      </c>
      <c r="J796" s="49">
        <f t="shared" si="163"/>
        <v>6</v>
      </c>
      <c r="K796" s="49">
        <f t="shared" si="163"/>
        <v>2</v>
      </c>
      <c r="L796" s="49">
        <f t="shared" si="163"/>
        <v>6</v>
      </c>
      <c r="M796" s="49">
        <f t="shared" si="163"/>
        <v>5</v>
      </c>
      <c r="N796" s="49">
        <f t="shared" si="163"/>
        <v>5</v>
      </c>
      <c r="O796" s="49">
        <f t="shared" si="163"/>
        <v>7</v>
      </c>
      <c r="P796" s="49">
        <f t="shared" si="163"/>
        <v>4</v>
      </c>
      <c r="Q796" s="49">
        <f t="shared" si="163"/>
        <v>6</v>
      </c>
      <c r="R796" s="49">
        <f t="shared" si="163"/>
        <v>1</v>
      </c>
      <c r="S796" s="49">
        <f t="shared" si="163"/>
        <v>0</v>
      </c>
      <c r="T796" s="49">
        <f t="shared" si="163"/>
        <v>0</v>
      </c>
      <c r="U796" s="49">
        <f t="shared" si="163"/>
        <v>7</v>
      </c>
      <c r="V796" s="49">
        <f t="shared" si="163"/>
        <v>4</v>
      </c>
      <c r="W796" s="49">
        <f t="shared" si="163"/>
        <v>2</v>
      </c>
      <c r="X796" s="49">
        <f t="shared" si="163"/>
        <v>3</v>
      </c>
      <c r="Y796" s="49">
        <f t="shared" si="163"/>
        <v>4</v>
      </c>
      <c r="Z796" s="49">
        <f t="shared" si="163"/>
        <v>4</v>
      </c>
      <c r="AA796" s="49">
        <f t="shared" si="163"/>
        <v>3</v>
      </c>
      <c r="AB796" s="49">
        <f t="shared" si="163"/>
        <v>0</v>
      </c>
      <c r="AC796" s="49">
        <f t="shared" si="163"/>
        <v>0</v>
      </c>
      <c r="AD796" s="53" t="e">
        <f>#REF!*D796</f>
        <v>#REF!</v>
      </c>
      <c r="AE796" s="53" t="e">
        <f>AD796-#REF!</f>
        <v>#REF!</v>
      </c>
      <c r="AF796" s="9"/>
      <c r="AG796" s="33" t="e">
        <f>#REF!-D796</f>
        <v>#REF!</v>
      </c>
      <c r="AH796" s="9"/>
      <c r="AI796" s="9"/>
      <c r="AJ796" s="9"/>
      <c r="AK796" s="9"/>
    </row>
    <row r="797" spans="1:37" s="12" customFormat="1" ht="20.399999999999999" outlineLevel="1" x14ac:dyDescent="0.2">
      <c r="A797" s="61" t="s">
        <v>1271</v>
      </c>
      <c r="B797" s="14" t="s">
        <v>2478</v>
      </c>
      <c r="C797" s="9" t="s">
        <v>47</v>
      </c>
      <c r="D797" s="25">
        <f t="shared" si="161"/>
        <v>1723</v>
      </c>
      <c r="E797" s="54"/>
      <c r="F797" s="78"/>
      <c r="G797" s="33">
        <v>0</v>
      </c>
      <c r="H797" s="33">
        <f>230/2</f>
        <v>115</v>
      </c>
      <c r="I797" s="9">
        <f>90-5</f>
        <v>85</v>
      </c>
      <c r="J797" s="9">
        <v>60</v>
      </c>
      <c r="K797" s="9">
        <f>80-32</f>
        <v>48</v>
      </c>
      <c r="L797" s="9">
        <f>70+95-62</f>
        <v>103</v>
      </c>
      <c r="M797" s="9">
        <v>125</v>
      </c>
      <c r="N797" s="9">
        <v>124</v>
      </c>
      <c r="O797" s="9">
        <v>177</v>
      </c>
      <c r="P797" s="9">
        <v>100</v>
      </c>
      <c r="Q797" s="9">
        <v>160</v>
      </c>
      <c r="R797" s="9">
        <v>20</v>
      </c>
      <c r="S797" s="9">
        <v>0</v>
      </c>
      <c r="T797" s="9">
        <v>0</v>
      </c>
      <c r="U797" s="33">
        <f>230/2</f>
        <v>115</v>
      </c>
      <c r="V797" s="9">
        <v>82</v>
      </c>
      <c r="W797" s="9">
        <v>42</v>
      </c>
      <c r="X797" s="9">
        <v>58</v>
      </c>
      <c r="Y797" s="9">
        <v>78</v>
      </c>
      <c r="Z797" s="9">
        <v>144</v>
      </c>
      <c r="AA797" s="9">
        <v>67</v>
      </c>
      <c r="AB797" s="9">
        <v>20</v>
      </c>
      <c r="AC797" s="9">
        <v>0</v>
      </c>
      <c r="AD797" s="53" t="e">
        <f>#REF!*D797</f>
        <v>#REF!</v>
      </c>
      <c r="AE797" s="53" t="e">
        <f>AD797-#REF!</f>
        <v>#REF!</v>
      </c>
      <c r="AF797" s="9"/>
      <c r="AG797" s="33" t="e">
        <f>#REF!-D797</f>
        <v>#REF!</v>
      </c>
      <c r="AH797" s="9"/>
      <c r="AI797" s="9"/>
      <c r="AJ797" s="9"/>
      <c r="AK797" s="9"/>
    </row>
    <row r="798" spans="1:37" s="12" customFormat="1" ht="20.399999999999999" outlineLevel="1" x14ac:dyDescent="0.2">
      <c r="A798" s="61" t="s">
        <v>1272</v>
      </c>
      <c r="B798" s="14" t="s">
        <v>2480</v>
      </c>
      <c r="C798" s="9" t="s">
        <v>47</v>
      </c>
      <c r="D798" s="25">
        <f t="shared" si="161"/>
        <v>31</v>
      </c>
      <c r="E798" s="54"/>
      <c r="F798" s="78"/>
      <c r="G798" s="33">
        <v>0</v>
      </c>
      <c r="H798" s="33">
        <v>10</v>
      </c>
      <c r="I798" s="9">
        <v>0</v>
      </c>
      <c r="J798" s="9">
        <v>0</v>
      </c>
      <c r="K798" s="9">
        <v>0</v>
      </c>
      <c r="L798" s="9">
        <v>0</v>
      </c>
      <c r="M798" s="9">
        <v>0</v>
      </c>
      <c r="N798" s="9">
        <v>0</v>
      </c>
      <c r="O798" s="9">
        <v>0</v>
      </c>
      <c r="P798" s="9">
        <v>0</v>
      </c>
      <c r="Q798" s="9">
        <v>0</v>
      </c>
      <c r="R798" s="9">
        <v>12</v>
      </c>
      <c r="S798" s="9">
        <v>0</v>
      </c>
      <c r="T798" s="9">
        <v>0</v>
      </c>
      <c r="U798" s="33">
        <v>9</v>
      </c>
      <c r="V798" s="9">
        <v>0</v>
      </c>
      <c r="W798" s="9">
        <v>0</v>
      </c>
      <c r="X798" s="9">
        <v>0</v>
      </c>
      <c r="Y798" s="9">
        <v>0</v>
      </c>
      <c r="Z798" s="9">
        <v>0</v>
      </c>
      <c r="AA798" s="9">
        <v>0</v>
      </c>
      <c r="AB798" s="9">
        <v>0</v>
      </c>
      <c r="AC798" s="9">
        <v>0</v>
      </c>
      <c r="AD798" s="53" t="e">
        <f>#REF!*D798</f>
        <v>#REF!</v>
      </c>
      <c r="AE798" s="53" t="e">
        <f>AD798-#REF!</f>
        <v>#REF!</v>
      </c>
      <c r="AF798" s="9"/>
      <c r="AG798" s="33" t="e">
        <f>#REF!-D798</f>
        <v>#REF!</v>
      </c>
      <c r="AH798" s="9"/>
      <c r="AI798" s="9"/>
      <c r="AJ798" s="9"/>
      <c r="AK798" s="9"/>
    </row>
    <row r="799" spans="1:37" s="12" customFormat="1" ht="20.399999999999999" outlineLevel="1" x14ac:dyDescent="0.2">
      <c r="A799" s="61" t="s">
        <v>1273</v>
      </c>
      <c r="B799" s="14" t="s">
        <v>69</v>
      </c>
      <c r="C799" s="9" t="s">
        <v>47</v>
      </c>
      <c r="D799" s="25">
        <f t="shared" si="161"/>
        <v>1754</v>
      </c>
      <c r="E799" s="54"/>
      <c r="F799" s="78"/>
      <c r="G799" s="88">
        <f t="shared" ref="G799:AC799" si="164">SUM(G797:G798)</f>
        <v>0</v>
      </c>
      <c r="H799" s="88">
        <f t="shared" si="164"/>
        <v>125</v>
      </c>
      <c r="I799" s="88">
        <f t="shared" si="164"/>
        <v>85</v>
      </c>
      <c r="J799" s="88">
        <f t="shared" si="164"/>
        <v>60</v>
      </c>
      <c r="K799" s="88">
        <f t="shared" si="164"/>
        <v>48</v>
      </c>
      <c r="L799" s="88">
        <f t="shared" si="164"/>
        <v>103</v>
      </c>
      <c r="M799" s="88">
        <f t="shared" si="164"/>
        <v>125</v>
      </c>
      <c r="N799" s="88">
        <f t="shared" si="164"/>
        <v>124</v>
      </c>
      <c r="O799" s="88">
        <f t="shared" si="164"/>
        <v>177</v>
      </c>
      <c r="P799" s="88">
        <f t="shared" si="164"/>
        <v>100</v>
      </c>
      <c r="Q799" s="88">
        <f t="shared" si="164"/>
        <v>160</v>
      </c>
      <c r="R799" s="88">
        <f t="shared" si="164"/>
        <v>32</v>
      </c>
      <c r="S799" s="88">
        <f t="shared" si="164"/>
        <v>0</v>
      </c>
      <c r="T799" s="88">
        <f t="shared" si="164"/>
        <v>0</v>
      </c>
      <c r="U799" s="88">
        <f t="shared" si="164"/>
        <v>124</v>
      </c>
      <c r="V799" s="88">
        <f t="shared" si="164"/>
        <v>82</v>
      </c>
      <c r="W799" s="88">
        <f t="shared" si="164"/>
        <v>42</v>
      </c>
      <c r="X799" s="88">
        <f t="shared" si="164"/>
        <v>58</v>
      </c>
      <c r="Y799" s="88">
        <f t="shared" si="164"/>
        <v>78</v>
      </c>
      <c r="Z799" s="88">
        <f t="shared" si="164"/>
        <v>144</v>
      </c>
      <c r="AA799" s="88">
        <f t="shared" si="164"/>
        <v>67</v>
      </c>
      <c r="AB799" s="88">
        <f t="shared" si="164"/>
        <v>20</v>
      </c>
      <c r="AC799" s="88">
        <f t="shared" si="164"/>
        <v>0</v>
      </c>
      <c r="AD799" s="53" t="e">
        <f>#REF!*D799</f>
        <v>#REF!</v>
      </c>
      <c r="AE799" s="53" t="e">
        <f>AD799-#REF!</f>
        <v>#REF!</v>
      </c>
      <c r="AF799" s="9"/>
      <c r="AG799" s="33" t="e">
        <f>#REF!-D799</f>
        <v>#REF!</v>
      </c>
      <c r="AH799" s="9"/>
      <c r="AI799" s="9"/>
      <c r="AJ799" s="9"/>
      <c r="AK799" s="9"/>
    </row>
    <row r="800" spans="1:37" s="12" customFormat="1" ht="20.399999999999999" outlineLevel="1" x14ac:dyDescent="0.2">
      <c r="A800" s="61" t="s">
        <v>1274</v>
      </c>
      <c r="B800" s="14" t="s">
        <v>1032</v>
      </c>
      <c r="C800" s="9" t="s">
        <v>47</v>
      </c>
      <c r="D800" s="25">
        <f t="shared" si="161"/>
        <v>1754</v>
      </c>
      <c r="E800" s="54"/>
      <c r="F800" s="78"/>
      <c r="G800" s="88">
        <f t="shared" ref="G800:AC800" si="165">G799</f>
        <v>0</v>
      </c>
      <c r="H800" s="88">
        <f t="shared" si="165"/>
        <v>125</v>
      </c>
      <c r="I800" s="88">
        <f t="shared" si="165"/>
        <v>85</v>
      </c>
      <c r="J800" s="88">
        <f t="shared" si="165"/>
        <v>60</v>
      </c>
      <c r="K800" s="88">
        <f t="shared" si="165"/>
        <v>48</v>
      </c>
      <c r="L800" s="88">
        <f t="shared" si="165"/>
        <v>103</v>
      </c>
      <c r="M800" s="88">
        <f t="shared" si="165"/>
        <v>125</v>
      </c>
      <c r="N800" s="88">
        <f t="shared" si="165"/>
        <v>124</v>
      </c>
      <c r="O800" s="88">
        <f t="shared" si="165"/>
        <v>177</v>
      </c>
      <c r="P800" s="88">
        <f t="shared" si="165"/>
        <v>100</v>
      </c>
      <c r="Q800" s="88">
        <f t="shared" si="165"/>
        <v>160</v>
      </c>
      <c r="R800" s="88">
        <f t="shared" si="165"/>
        <v>32</v>
      </c>
      <c r="S800" s="88">
        <f t="shared" si="165"/>
        <v>0</v>
      </c>
      <c r="T800" s="88">
        <f t="shared" si="165"/>
        <v>0</v>
      </c>
      <c r="U800" s="88">
        <f t="shared" si="165"/>
        <v>124</v>
      </c>
      <c r="V800" s="88">
        <f t="shared" si="165"/>
        <v>82</v>
      </c>
      <c r="W800" s="88">
        <f t="shared" si="165"/>
        <v>42</v>
      </c>
      <c r="X800" s="88">
        <f t="shared" si="165"/>
        <v>58</v>
      </c>
      <c r="Y800" s="88">
        <f t="shared" si="165"/>
        <v>78</v>
      </c>
      <c r="Z800" s="88">
        <f t="shared" si="165"/>
        <v>144</v>
      </c>
      <c r="AA800" s="88">
        <f t="shared" si="165"/>
        <v>67</v>
      </c>
      <c r="AB800" s="88">
        <f t="shared" si="165"/>
        <v>20</v>
      </c>
      <c r="AC800" s="88">
        <f t="shared" si="165"/>
        <v>0</v>
      </c>
      <c r="AD800" s="53" t="e">
        <f>#REF!*D800</f>
        <v>#REF!</v>
      </c>
      <c r="AE800" s="53" t="e">
        <f>AD800-#REF!</f>
        <v>#REF!</v>
      </c>
      <c r="AF800" s="9"/>
      <c r="AG800" s="33" t="e">
        <f>#REF!-D800</f>
        <v>#REF!</v>
      </c>
      <c r="AH800" s="9"/>
      <c r="AI800" s="9"/>
      <c r="AJ800" s="9"/>
      <c r="AK800" s="9"/>
    </row>
    <row r="801" spans="1:37" s="12" customFormat="1" ht="20.399999999999999" outlineLevel="1" x14ac:dyDescent="0.2">
      <c r="A801" s="61" t="s">
        <v>1275</v>
      </c>
      <c r="B801" s="14" t="s">
        <v>70</v>
      </c>
      <c r="C801" s="9" t="s">
        <v>47</v>
      </c>
      <c r="D801" s="25">
        <f t="shared" si="161"/>
        <v>268</v>
      </c>
      <c r="E801" s="54"/>
      <c r="F801" s="9"/>
      <c r="G801" s="9">
        <v>0</v>
      </c>
      <c r="H801" s="9">
        <f>H1052+H1055+H1071+H1068+H1067+H1066</f>
        <v>77</v>
      </c>
      <c r="I801" s="9">
        <v>1</v>
      </c>
      <c r="J801" s="9">
        <f>17+5</f>
        <v>22</v>
      </c>
      <c r="K801" s="9">
        <v>5</v>
      </c>
      <c r="L801" s="9">
        <f>35-13</f>
        <v>22</v>
      </c>
      <c r="M801" s="9">
        <v>31</v>
      </c>
      <c r="N801" s="9">
        <v>31</v>
      </c>
      <c r="O801" s="9">
        <v>30</v>
      </c>
      <c r="P801" s="9">
        <v>0</v>
      </c>
      <c r="Q801" s="9">
        <v>15</v>
      </c>
      <c r="R801" s="9">
        <v>0</v>
      </c>
      <c r="S801" s="9">
        <v>0</v>
      </c>
      <c r="T801" s="9">
        <v>0</v>
      </c>
      <c r="U801" s="9">
        <v>6</v>
      </c>
      <c r="V801" s="9">
        <v>2</v>
      </c>
      <c r="W801" s="9">
        <v>2</v>
      </c>
      <c r="X801" s="9">
        <v>18</v>
      </c>
      <c r="Y801" s="9">
        <v>4</v>
      </c>
      <c r="Z801" s="9">
        <v>2</v>
      </c>
      <c r="AA801" s="9">
        <v>0</v>
      </c>
      <c r="AB801" s="9">
        <v>0</v>
      </c>
      <c r="AC801" s="9">
        <v>0</v>
      </c>
      <c r="AD801" s="53" t="e">
        <f>#REF!*D801</f>
        <v>#REF!</v>
      </c>
      <c r="AE801" s="53" t="e">
        <f>AD801-#REF!</f>
        <v>#REF!</v>
      </c>
      <c r="AF801" s="9"/>
      <c r="AG801" s="33" t="e">
        <f>#REF!-D801</f>
        <v>#REF!</v>
      </c>
      <c r="AH801" s="9"/>
      <c r="AI801" s="9"/>
      <c r="AJ801" s="9"/>
      <c r="AK801" s="9"/>
    </row>
    <row r="802" spans="1:37" s="17" customFormat="1" ht="20.399999999999999" outlineLevel="1" x14ac:dyDescent="0.2">
      <c r="A802" s="61" t="s">
        <v>1276</v>
      </c>
      <c r="B802" s="14" t="s">
        <v>71</v>
      </c>
      <c r="C802" s="8" t="s">
        <v>47</v>
      </c>
      <c r="D802" s="25">
        <f t="shared" si="161"/>
        <v>1856</v>
      </c>
      <c r="E802" s="54"/>
      <c r="F802" s="9"/>
      <c r="G802" s="49">
        <f t="shared" ref="G802:AC802" si="166">SUM(G858:G862)+G866</f>
        <v>0</v>
      </c>
      <c r="H802" s="49">
        <f t="shared" si="166"/>
        <v>205</v>
      </c>
      <c r="I802" s="49">
        <f t="shared" si="166"/>
        <v>148</v>
      </c>
      <c r="J802" s="49">
        <f t="shared" si="166"/>
        <v>116</v>
      </c>
      <c r="K802" s="49">
        <f t="shared" si="166"/>
        <v>100</v>
      </c>
      <c r="L802" s="49">
        <f t="shared" si="166"/>
        <v>115</v>
      </c>
      <c r="M802" s="49">
        <f t="shared" si="166"/>
        <v>79</v>
      </c>
      <c r="N802" s="49">
        <f t="shared" si="166"/>
        <v>76</v>
      </c>
      <c r="O802" s="49">
        <f t="shared" si="166"/>
        <v>92</v>
      </c>
      <c r="P802" s="49">
        <f t="shared" si="166"/>
        <v>145</v>
      </c>
      <c r="Q802" s="49">
        <f t="shared" si="166"/>
        <v>129</v>
      </c>
      <c r="R802" s="49">
        <f t="shared" si="166"/>
        <v>27</v>
      </c>
      <c r="S802" s="49">
        <f t="shared" si="166"/>
        <v>0</v>
      </c>
      <c r="T802" s="49">
        <f t="shared" si="166"/>
        <v>0</v>
      </c>
      <c r="U802" s="49">
        <f t="shared" si="166"/>
        <v>103</v>
      </c>
      <c r="V802" s="49">
        <f t="shared" si="166"/>
        <v>105</v>
      </c>
      <c r="W802" s="49">
        <f t="shared" si="166"/>
        <v>49</v>
      </c>
      <c r="X802" s="49">
        <f t="shared" si="166"/>
        <v>85</v>
      </c>
      <c r="Y802" s="49">
        <f t="shared" si="166"/>
        <v>89</v>
      </c>
      <c r="Z802" s="49">
        <f t="shared" si="166"/>
        <v>99</v>
      </c>
      <c r="AA802" s="49">
        <f t="shared" si="166"/>
        <v>69</v>
      </c>
      <c r="AB802" s="49">
        <f t="shared" si="166"/>
        <v>25</v>
      </c>
      <c r="AC802" s="49">
        <f t="shared" si="166"/>
        <v>0</v>
      </c>
      <c r="AD802" s="53" t="e">
        <f>#REF!*D802</f>
        <v>#REF!</v>
      </c>
      <c r="AE802" s="53" t="e">
        <f>AD802-#REF!</f>
        <v>#REF!</v>
      </c>
      <c r="AF802" s="8"/>
      <c r="AG802" s="33" t="e">
        <f>#REF!-D802</f>
        <v>#REF!</v>
      </c>
      <c r="AH802" s="8"/>
      <c r="AI802" s="8"/>
      <c r="AJ802" s="8"/>
      <c r="AK802" s="8"/>
    </row>
    <row r="803" spans="1:37" s="12" customFormat="1" ht="20.399999999999999" outlineLevel="1" x14ac:dyDescent="0.2">
      <c r="A803" s="61" t="s">
        <v>1277</v>
      </c>
      <c r="B803" s="14" t="s">
        <v>2882</v>
      </c>
      <c r="C803" s="9" t="s">
        <v>47</v>
      </c>
      <c r="D803" s="25">
        <f t="shared" si="161"/>
        <v>240</v>
      </c>
      <c r="E803" s="54"/>
      <c r="F803" s="9"/>
      <c r="G803" s="9">
        <v>0</v>
      </c>
      <c r="H803" s="9">
        <v>185</v>
      </c>
      <c r="I803" s="9">
        <v>0</v>
      </c>
      <c r="J803" s="9">
        <v>0</v>
      </c>
      <c r="K803" s="9">
        <v>0</v>
      </c>
      <c r="L803" s="9">
        <v>0</v>
      </c>
      <c r="M803" s="9">
        <v>0</v>
      </c>
      <c r="N803" s="9">
        <v>0</v>
      </c>
      <c r="O803" s="9">
        <v>0</v>
      </c>
      <c r="P803" s="9">
        <v>0</v>
      </c>
      <c r="Q803" s="9">
        <v>0</v>
      </c>
      <c r="R803" s="9">
        <v>0</v>
      </c>
      <c r="S803" s="9">
        <v>0</v>
      </c>
      <c r="T803" s="9">
        <v>0</v>
      </c>
      <c r="U803" s="9">
        <v>7</v>
      </c>
      <c r="V803" s="9">
        <v>6</v>
      </c>
      <c r="W803" s="9">
        <v>8</v>
      </c>
      <c r="X803" s="9">
        <v>8</v>
      </c>
      <c r="Y803" s="9">
        <v>7</v>
      </c>
      <c r="Z803" s="9">
        <v>9</v>
      </c>
      <c r="AA803" s="9">
        <v>7</v>
      </c>
      <c r="AB803" s="9">
        <v>3</v>
      </c>
      <c r="AC803" s="9">
        <v>0</v>
      </c>
      <c r="AD803" s="53" t="e">
        <f>#REF!*D803</f>
        <v>#REF!</v>
      </c>
      <c r="AE803" s="53" t="e">
        <f>AD803-#REF!</f>
        <v>#REF!</v>
      </c>
      <c r="AF803" s="9"/>
      <c r="AG803" s="33" t="e">
        <f>#REF!-D803</f>
        <v>#REF!</v>
      </c>
      <c r="AH803" s="9"/>
      <c r="AI803" s="9"/>
      <c r="AJ803" s="9"/>
      <c r="AK803" s="9"/>
    </row>
    <row r="804" spans="1:37" s="17" customFormat="1" ht="20.399999999999999" outlineLevel="1" x14ac:dyDescent="0.2">
      <c r="A804" s="61" t="s">
        <v>1278</v>
      </c>
      <c r="B804" s="63" t="s">
        <v>2872</v>
      </c>
      <c r="C804" s="8" t="s">
        <v>47</v>
      </c>
      <c r="D804" s="25">
        <f t="shared" si="161"/>
        <v>80</v>
      </c>
      <c r="E804" s="54"/>
      <c r="F804" s="9"/>
      <c r="G804" s="9">
        <v>0</v>
      </c>
      <c r="H804" s="9">
        <v>0</v>
      </c>
      <c r="I804" s="9">
        <v>0</v>
      </c>
      <c r="J804" s="9">
        <v>0</v>
      </c>
      <c r="K804" s="9">
        <v>0</v>
      </c>
      <c r="L804" s="9">
        <v>0</v>
      </c>
      <c r="M804" s="9">
        <v>0</v>
      </c>
      <c r="N804" s="9">
        <v>0</v>
      </c>
      <c r="O804" s="9">
        <v>0</v>
      </c>
      <c r="P804" s="9">
        <v>0</v>
      </c>
      <c r="Q804" s="9">
        <v>0</v>
      </c>
      <c r="R804" s="9">
        <v>0</v>
      </c>
      <c r="S804" s="9">
        <v>0</v>
      </c>
      <c r="T804" s="9">
        <v>0</v>
      </c>
      <c r="U804" s="9">
        <v>0</v>
      </c>
      <c r="V804" s="9">
        <v>0</v>
      </c>
      <c r="W804" s="9">
        <v>0</v>
      </c>
      <c r="X804" s="9">
        <v>30</v>
      </c>
      <c r="Y804" s="9">
        <v>21</v>
      </c>
      <c r="Z804" s="9">
        <v>0</v>
      </c>
      <c r="AA804" s="9">
        <v>29</v>
      </c>
      <c r="AB804" s="9">
        <v>0</v>
      </c>
      <c r="AC804" s="9">
        <v>0</v>
      </c>
      <c r="AD804" s="53" t="e">
        <f>#REF!*D804</f>
        <v>#REF!</v>
      </c>
      <c r="AE804" s="53" t="e">
        <f>AD804-#REF!</f>
        <v>#REF!</v>
      </c>
      <c r="AF804" s="8"/>
      <c r="AG804" s="33" t="e">
        <f>#REF!-D804</f>
        <v>#REF!</v>
      </c>
      <c r="AH804" s="8"/>
      <c r="AI804" s="8"/>
      <c r="AJ804" s="8"/>
      <c r="AK804" s="8"/>
    </row>
    <row r="805" spans="1:37" s="17" customFormat="1" ht="20.399999999999999" outlineLevel="1" x14ac:dyDescent="0.2">
      <c r="A805" s="61" t="s">
        <v>1279</v>
      </c>
      <c r="B805" s="63" t="s">
        <v>2873</v>
      </c>
      <c r="C805" s="8" t="s">
        <v>47</v>
      </c>
      <c r="D805" s="25">
        <f t="shared" si="161"/>
        <v>10</v>
      </c>
      <c r="E805" s="54"/>
      <c r="F805" s="9"/>
      <c r="G805" s="9">
        <v>0</v>
      </c>
      <c r="H805" s="9">
        <v>0</v>
      </c>
      <c r="I805" s="9">
        <v>0</v>
      </c>
      <c r="J805" s="9">
        <v>0</v>
      </c>
      <c r="K805" s="9">
        <v>0</v>
      </c>
      <c r="L805" s="9">
        <v>0</v>
      </c>
      <c r="M805" s="9">
        <v>0</v>
      </c>
      <c r="N805" s="9">
        <v>0</v>
      </c>
      <c r="O805" s="9">
        <v>0</v>
      </c>
      <c r="P805" s="9">
        <v>0</v>
      </c>
      <c r="Q805" s="9">
        <v>0</v>
      </c>
      <c r="R805" s="9">
        <v>0</v>
      </c>
      <c r="S805" s="9">
        <v>0</v>
      </c>
      <c r="T805" s="9">
        <v>0</v>
      </c>
      <c r="U805" s="9">
        <v>0</v>
      </c>
      <c r="V805" s="9">
        <v>0</v>
      </c>
      <c r="W805" s="9">
        <v>0</v>
      </c>
      <c r="X805" s="9">
        <v>0</v>
      </c>
      <c r="Y805" s="9">
        <v>0</v>
      </c>
      <c r="Z805" s="9">
        <v>10</v>
      </c>
      <c r="AA805" s="9">
        <v>0</v>
      </c>
      <c r="AB805" s="9">
        <v>0</v>
      </c>
      <c r="AC805" s="9">
        <v>0</v>
      </c>
      <c r="AD805" s="53" t="e">
        <f>#REF!*D805</f>
        <v>#REF!</v>
      </c>
      <c r="AE805" s="53" t="e">
        <f>AD805-#REF!</f>
        <v>#REF!</v>
      </c>
      <c r="AF805" s="8"/>
      <c r="AG805" s="33" t="e">
        <f>#REF!-D805</f>
        <v>#REF!</v>
      </c>
      <c r="AH805" s="8"/>
      <c r="AI805" s="8"/>
      <c r="AJ805" s="8"/>
      <c r="AK805" s="8"/>
    </row>
    <row r="806" spans="1:37" s="12" customFormat="1" ht="30.6" outlineLevel="1" x14ac:dyDescent="0.2">
      <c r="A806" s="61" t="s">
        <v>1280</v>
      </c>
      <c r="B806" s="14" t="s">
        <v>2952</v>
      </c>
      <c r="C806" s="8" t="s">
        <v>47</v>
      </c>
      <c r="D806" s="25">
        <f t="shared" si="161"/>
        <v>136</v>
      </c>
      <c r="E806" s="54"/>
      <c r="F806" s="9"/>
      <c r="G806" s="9">
        <v>0</v>
      </c>
      <c r="H806" s="9">
        <f>6+9+1</f>
        <v>16</v>
      </c>
      <c r="I806" s="9">
        <f>5+2</f>
        <v>7</v>
      </c>
      <c r="J806" s="9">
        <f>4+1</f>
        <v>5</v>
      </c>
      <c r="K806" s="9">
        <f>4+1</f>
        <v>5</v>
      </c>
      <c r="L806" s="9">
        <f>1+1+1</f>
        <v>3</v>
      </c>
      <c r="M806" s="9">
        <f>1+1+1</f>
        <v>3</v>
      </c>
      <c r="N806" s="9">
        <f>2+1</f>
        <v>3</v>
      </c>
      <c r="O806" s="9">
        <v>5</v>
      </c>
      <c r="P806" s="9">
        <v>4</v>
      </c>
      <c r="Q806" s="9">
        <f>8+4+2</f>
        <v>14</v>
      </c>
      <c r="R806" s="9">
        <v>0</v>
      </c>
      <c r="S806" s="9">
        <v>0</v>
      </c>
      <c r="T806" s="9">
        <v>0</v>
      </c>
      <c r="U806" s="9">
        <v>7</v>
      </c>
      <c r="V806" s="9">
        <v>5</v>
      </c>
      <c r="W806" s="9">
        <v>2</v>
      </c>
      <c r="X806" s="9">
        <v>7</v>
      </c>
      <c r="Y806" s="9">
        <f>7+22</f>
        <v>29</v>
      </c>
      <c r="Z806" s="9">
        <f>2+11</f>
        <v>13</v>
      </c>
      <c r="AA806" s="9">
        <f>1+7</f>
        <v>8</v>
      </c>
      <c r="AB806" s="9">
        <v>0</v>
      </c>
      <c r="AC806" s="9">
        <v>0</v>
      </c>
      <c r="AD806" s="53" t="e">
        <f>#REF!*D806</f>
        <v>#REF!</v>
      </c>
      <c r="AE806" s="53" t="e">
        <f>AD806-#REF!</f>
        <v>#REF!</v>
      </c>
      <c r="AF806" s="9"/>
      <c r="AG806" s="33" t="e">
        <f>#REF!-D806</f>
        <v>#REF!</v>
      </c>
      <c r="AH806" s="9"/>
      <c r="AI806" s="9"/>
      <c r="AJ806" s="9"/>
      <c r="AK806" s="9"/>
    </row>
    <row r="807" spans="1:37" s="12" customFormat="1" ht="30.6" outlineLevel="1" x14ac:dyDescent="0.2">
      <c r="A807" s="61" t="s">
        <v>1281</v>
      </c>
      <c r="B807" s="14" t="s">
        <v>1189</v>
      </c>
      <c r="C807" s="8" t="s">
        <v>47</v>
      </c>
      <c r="D807" s="25">
        <f t="shared" si="161"/>
        <v>2</v>
      </c>
      <c r="E807" s="54"/>
      <c r="F807" s="9"/>
      <c r="G807" s="9">
        <v>0</v>
      </c>
      <c r="H807" s="9">
        <v>1</v>
      </c>
      <c r="I807" s="9">
        <v>0</v>
      </c>
      <c r="J807" s="9">
        <v>0</v>
      </c>
      <c r="K807" s="9">
        <v>0</v>
      </c>
      <c r="L807" s="9">
        <v>0</v>
      </c>
      <c r="M807" s="9">
        <v>0</v>
      </c>
      <c r="N807" s="9">
        <v>0</v>
      </c>
      <c r="O807" s="9">
        <v>0</v>
      </c>
      <c r="P807" s="9">
        <v>0</v>
      </c>
      <c r="Q807" s="9">
        <v>0</v>
      </c>
      <c r="R807" s="9">
        <v>0</v>
      </c>
      <c r="S807" s="9">
        <v>0</v>
      </c>
      <c r="T807" s="9">
        <v>0</v>
      </c>
      <c r="U807" s="9">
        <v>1</v>
      </c>
      <c r="V807" s="9">
        <v>0</v>
      </c>
      <c r="W807" s="9">
        <v>0</v>
      </c>
      <c r="X807" s="9">
        <v>0</v>
      </c>
      <c r="Y807" s="9">
        <v>0</v>
      </c>
      <c r="Z807" s="9">
        <v>0</v>
      </c>
      <c r="AA807" s="9">
        <v>0</v>
      </c>
      <c r="AB807" s="9">
        <v>0</v>
      </c>
      <c r="AC807" s="9">
        <v>0</v>
      </c>
      <c r="AD807" s="53" t="e">
        <f>#REF!*D807</f>
        <v>#REF!</v>
      </c>
      <c r="AE807" s="53" t="e">
        <f>AD807-#REF!</f>
        <v>#REF!</v>
      </c>
      <c r="AF807" s="9"/>
      <c r="AG807" s="33" t="e">
        <f>#REF!-D807</f>
        <v>#REF!</v>
      </c>
      <c r="AH807" s="9"/>
      <c r="AI807" s="9"/>
      <c r="AJ807" s="9"/>
      <c r="AK807" s="9"/>
    </row>
    <row r="808" spans="1:37" s="17" customFormat="1" ht="30.6" outlineLevel="1" x14ac:dyDescent="0.2">
      <c r="A808" s="61" t="s">
        <v>1282</v>
      </c>
      <c r="B808" s="14" t="s">
        <v>218</v>
      </c>
      <c r="C808" s="8" t="s">
        <v>47</v>
      </c>
      <c r="D808" s="25">
        <f t="shared" si="161"/>
        <v>202</v>
      </c>
      <c r="E808" s="54"/>
      <c r="F808" s="78"/>
      <c r="G808" s="33">
        <v>0</v>
      </c>
      <c r="H808" s="33">
        <v>60</v>
      </c>
      <c r="I808" s="9">
        <v>3</v>
      </c>
      <c r="J808" s="9">
        <v>0</v>
      </c>
      <c r="K808" s="9">
        <v>0</v>
      </c>
      <c r="L808" s="9">
        <v>0</v>
      </c>
      <c r="M808" s="9">
        <v>0</v>
      </c>
      <c r="N808" s="9">
        <v>0</v>
      </c>
      <c r="O808" s="9">
        <v>0</v>
      </c>
      <c r="P808" s="9">
        <v>0</v>
      </c>
      <c r="Q808" s="9">
        <v>0</v>
      </c>
      <c r="R808" s="9">
        <v>0</v>
      </c>
      <c r="S808" s="9">
        <v>0</v>
      </c>
      <c r="T808" s="9">
        <v>0</v>
      </c>
      <c r="U808" s="33">
        <v>15</v>
      </c>
      <c r="V808" s="9">
        <v>14</v>
      </c>
      <c r="W808" s="9">
        <v>14</v>
      </c>
      <c r="X808" s="9">
        <v>28</v>
      </c>
      <c r="Y808" s="9">
        <v>26</v>
      </c>
      <c r="Z808" s="9">
        <v>20</v>
      </c>
      <c r="AA808" s="9">
        <v>20</v>
      </c>
      <c r="AB808" s="9">
        <v>2</v>
      </c>
      <c r="AC808" s="9">
        <v>0</v>
      </c>
      <c r="AD808" s="53" t="e">
        <f>#REF!*D808</f>
        <v>#REF!</v>
      </c>
      <c r="AE808" s="53" t="e">
        <f>AD808-#REF!</f>
        <v>#REF!</v>
      </c>
      <c r="AF808" s="8"/>
      <c r="AG808" s="33" t="e">
        <f>#REF!-D808</f>
        <v>#REF!</v>
      </c>
      <c r="AH808" s="8"/>
      <c r="AI808" s="8"/>
      <c r="AJ808" s="8"/>
      <c r="AK808" s="8"/>
    </row>
    <row r="809" spans="1:37" s="17" customFormat="1" ht="20.399999999999999" outlineLevel="1" x14ac:dyDescent="0.2">
      <c r="A809" s="61" t="s">
        <v>1283</v>
      </c>
      <c r="B809" s="47" t="s">
        <v>219</v>
      </c>
      <c r="C809" s="8" t="s">
        <v>47</v>
      </c>
      <c r="D809" s="25">
        <f t="shared" si="161"/>
        <v>606</v>
      </c>
      <c r="E809" s="54"/>
      <c r="F809" s="78"/>
      <c r="G809" s="33">
        <v>0</v>
      </c>
      <c r="H809" s="88">
        <f t="shared" ref="H809:AC809" si="167">H808*3</f>
        <v>180</v>
      </c>
      <c r="I809" s="88">
        <f t="shared" si="167"/>
        <v>9</v>
      </c>
      <c r="J809" s="88">
        <f t="shared" si="167"/>
        <v>0</v>
      </c>
      <c r="K809" s="88">
        <f t="shared" si="167"/>
        <v>0</v>
      </c>
      <c r="L809" s="88">
        <f t="shared" si="167"/>
        <v>0</v>
      </c>
      <c r="M809" s="88">
        <f t="shared" si="167"/>
        <v>0</v>
      </c>
      <c r="N809" s="88">
        <f t="shared" si="167"/>
        <v>0</v>
      </c>
      <c r="O809" s="88">
        <f t="shared" si="167"/>
        <v>0</v>
      </c>
      <c r="P809" s="88">
        <f t="shared" si="167"/>
        <v>0</v>
      </c>
      <c r="Q809" s="88">
        <f t="shared" si="167"/>
        <v>0</v>
      </c>
      <c r="R809" s="88">
        <f t="shared" si="167"/>
        <v>0</v>
      </c>
      <c r="S809" s="88">
        <f t="shared" si="167"/>
        <v>0</v>
      </c>
      <c r="T809" s="88">
        <f t="shared" si="167"/>
        <v>0</v>
      </c>
      <c r="U809" s="88">
        <f t="shared" si="167"/>
        <v>45</v>
      </c>
      <c r="V809" s="88">
        <f t="shared" si="167"/>
        <v>42</v>
      </c>
      <c r="W809" s="88">
        <f t="shared" si="167"/>
        <v>42</v>
      </c>
      <c r="X809" s="88">
        <f t="shared" si="167"/>
        <v>84</v>
      </c>
      <c r="Y809" s="88">
        <f t="shared" si="167"/>
        <v>78</v>
      </c>
      <c r="Z809" s="88">
        <f t="shared" si="167"/>
        <v>60</v>
      </c>
      <c r="AA809" s="88">
        <f t="shared" si="167"/>
        <v>60</v>
      </c>
      <c r="AB809" s="88">
        <f t="shared" si="167"/>
        <v>6</v>
      </c>
      <c r="AC809" s="88">
        <f t="shared" si="167"/>
        <v>0</v>
      </c>
      <c r="AD809" s="53" t="e">
        <f>#REF!*D809</f>
        <v>#REF!</v>
      </c>
      <c r="AE809" s="53" t="e">
        <f>AD809-#REF!</f>
        <v>#REF!</v>
      </c>
      <c r="AF809" s="8"/>
      <c r="AG809" s="33" t="e">
        <f>#REF!-D809</f>
        <v>#REF!</v>
      </c>
      <c r="AH809" s="8"/>
      <c r="AI809" s="8"/>
      <c r="AJ809" s="8"/>
      <c r="AK809" s="8"/>
    </row>
    <row r="810" spans="1:37" s="17" customFormat="1" ht="20.399999999999999" outlineLevel="1" x14ac:dyDescent="0.2">
      <c r="A810" s="61" t="s">
        <v>1290</v>
      </c>
      <c r="B810" s="14" t="s">
        <v>424</v>
      </c>
      <c r="C810" s="8" t="s">
        <v>47</v>
      </c>
      <c r="D810" s="25">
        <f t="shared" si="161"/>
        <v>1754</v>
      </c>
      <c r="E810" s="54"/>
      <c r="F810" s="9"/>
      <c r="G810" s="88">
        <f t="shared" ref="G810:AC810" si="168">SUM(G797:G798)</f>
        <v>0</v>
      </c>
      <c r="H810" s="88">
        <f t="shared" si="168"/>
        <v>125</v>
      </c>
      <c r="I810" s="88">
        <f t="shared" si="168"/>
        <v>85</v>
      </c>
      <c r="J810" s="88">
        <f t="shared" si="168"/>
        <v>60</v>
      </c>
      <c r="K810" s="88">
        <f t="shared" si="168"/>
        <v>48</v>
      </c>
      <c r="L810" s="88">
        <f t="shared" si="168"/>
        <v>103</v>
      </c>
      <c r="M810" s="88">
        <f t="shared" si="168"/>
        <v>125</v>
      </c>
      <c r="N810" s="88">
        <f t="shared" si="168"/>
        <v>124</v>
      </c>
      <c r="O810" s="88">
        <f t="shared" si="168"/>
        <v>177</v>
      </c>
      <c r="P810" s="88">
        <f t="shared" si="168"/>
        <v>100</v>
      </c>
      <c r="Q810" s="88">
        <f t="shared" si="168"/>
        <v>160</v>
      </c>
      <c r="R810" s="88">
        <f t="shared" si="168"/>
        <v>32</v>
      </c>
      <c r="S810" s="88">
        <f t="shared" si="168"/>
        <v>0</v>
      </c>
      <c r="T810" s="88">
        <f t="shared" si="168"/>
        <v>0</v>
      </c>
      <c r="U810" s="88">
        <f t="shared" si="168"/>
        <v>124</v>
      </c>
      <c r="V810" s="88">
        <f t="shared" si="168"/>
        <v>82</v>
      </c>
      <c r="W810" s="88">
        <f t="shared" si="168"/>
        <v>42</v>
      </c>
      <c r="X810" s="88">
        <f t="shared" si="168"/>
        <v>58</v>
      </c>
      <c r="Y810" s="88">
        <f t="shared" si="168"/>
        <v>78</v>
      </c>
      <c r="Z810" s="88">
        <f t="shared" si="168"/>
        <v>144</v>
      </c>
      <c r="AA810" s="88">
        <f t="shared" si="168"/>
        <v>67</v>
      </c>
      <c r="AB810" s="88">
        <f t="shared" si="168"/>
        <v>20</v>
      </c>
      <c r="AC810" s="88">
        <f t="shared" si="168"/>
        <v>0</v>
      </c>
      <c r="AD810" s="53" t="e">
        <f>#REF!*D810</f>
        <v>#REF!</v>
      </c>
      <c r="AE810" s="53" t="e">
        <f>AD810-#REF!</f>
        <v>#REF!</v>
      </c>
      <c r="AF810" s="8"/>
      <c r="AG810" s="33" t="e">
        <f>#REF!-D810</f>
        <v>#REF!</v>
      </c>
      <c r="AH810" s="8"/>
      <c r="AI810" s="8"/>
      <c r="AJ810" s="8"/>
      <c r="AK810" s="8"/>
    </row>
    <row r="811" spans="1:37" s="12" customFormat="1" ht="20.399999999999999" outlineLevel="1" x14ac:dyDescent="0.2">
      <c r="A811" s="61" t="s">
        <v>1317</v>
      </c>
      <c r="B811" s="14" t="s">
        <v>69</v>
      </c>
      <c r="C811" s="9" t="s">
        <v>47</v>
      </c>
      <c r="D811" s="25">
        <f t="shared" si="161"/>
        <v>3508</v>
      </c>
      <c r="E811" s="54"/>
      <c r="F811" s="78"/>
      <c r="G811" s="88">
        <f t="shared" ref="G811:AC811" si="169">G810*2</f>
        <v>0</v>
      </c>
      <c r="H811" s="88">
        <f t="shared" si="169"/>
        <v>250</v>
      </c>
      <c r="I811" s="88">
        <f t="shared" si="169"/>
        <v>170</v>
      </c>
      <c r="J811" s="88">
        <f t="shared" si="169"/>
        <v>120</v>
      </c>
      <c r="K811" s="88">
        <f t="shared" si="169"/>
        <v>96</v>
      </c>
      <c r="L811" s="88">
        <f t="shared" si="169"/>
        <v>206</v>
      </c>
      <c r="M811" s="88">
        <f t="shared" si="169"/>
        <v>250</v>
      </c>
      <c r="N811" s="88">
        <f t="shared" si="169"/>
        <v>248</v>
      </c>
      <c r="O811" s="88">
        <f t="shared" si="169"/>
        <v>354</v>
      </c>
      <c r="P811" s="88">
        <f t="shared" si="169"/>
        <v>200</v>
      </c>
      <c r="Q811" s="88">
        <f t="shared" si="169"/>
        <v>320</v>
      </c>
      <c r="R811" s="88">
        <f t="shared" si="169"/>
        <v>64</v>
      </c>
      <c r="S811" s="88">
        <f t="shared" si="169"/>
        <v>0</v>
      </c>
      <c r="T811" s="88">
        <f t="shared" si="169"/>
        <v>0</v>
      </c>
      <c r="U811" s="88">
        <f t="shared" si="169"/>
        <v>248</v>
      </c>
      <c r="V811" s="88">
        <f t="shared" si="169"/>
        <v>164</v>
      </c>
      <c r="W811" s="88">
        <f t="shared" si="169"/>
        <v>84</v>
      </c>
      <c r="X811" s="88">
        <f t="shared" si="169"/>
        <v>116</v>
      </c>
      <c r="Y811" s="88">
        <f t="shared" si="169"/>
        <v>156</v>
      </c>
      <c r="Z811" s="88">
        <f t="shared" si="169"/>
        <v>288</v>
      </c>
      <c r="AA811" s="88">
        <f t="shared" si="169"/>
        <v>134</v>
      </c>
      <c r="AB811" s="88">
        <f t="shared" si="169"/>
        <v>40</v>
      </c>
      <c r="AC811" s="88">
        <f t="shared" si="169"/>
        <v>0</v>
      </c>
      <c r="AD811" s="53" t="e">
        <f>#REF!*D811</f>
        <v>#REF!</v>
      </c>
      <c r="AE811" s="53" t="e">
        <f>AD811-#REF!</f>
        <v>#REF!</v>
      </c>
      <c r="AF811" s="9"/>
      <c r="AG811" s="33" t="e">
        <f>#REF!-D811</f>
        <v>#REF!</v>
      </c>
      <c r="AH811" s="9"/>
      <c r="AI811" s="9"/>
      <c r="AJ811" s="9"/>
      <c r="AK811" s="9"/>
    </row>
    <row r="812" spans="1:37" s="12" customFormat="1" ht="20.399999999999999" outlineLevel="1" x14ac:dyDescent="0.2">
      <c r="A812" s="61" t="s">
        <v>1318</v>
      </c>
      <c r="B812" s="14" t="s">
        <v>1032</v>
      </c>
      <c r="C812" s="9" t="s">
        <v>47</v>
      </c>
      <c r="D812" s="25">
        <f t="shared" si="161"/>
        <v>10524</v>
      </c>
      <c r="E812" s="54"/>
      <c r="F812" s="78"/>
      <c r="G812" s="88">
        <f t="shared" ref="G812:AC812" si="170">G810*6</f>
        <v>0</v>
      </c>
      <c r="H812" s="88">
        <f t="shared" si="170"/>
        <v>750</v>
      </c>
      <c r="I812" s="88">
        <f t="shared" si="170"/>
        <v>510</v>
      </c>
      <c r="J812" s="88">
        <f t="shared" si="170"/>
        <v>360</v>
      </c>
      <c r="K812" s="88">
        <f t="shared" si="170"/>
        <v>288</v>
      </c>
      <c r="L812" s="88">
        <f t="shared" si="170"/>
        <v>618</v>
      </c>
      <c r="M812" s="88">
        <f t="shared" si="170"/>
        <v>750</v>
      </c>
      <c r="N812" s="88">
        <f t="shared" si="170"/>
        <v>744</v>
      </c>
      <c r="O812" s="88">
        <f t="shared" si="170"/>
        <v>1062</v>
      </c>
      <c r="P812" s="88">
        <f t="shared" si="170"/>
        <v>600</v>
      </c>
      <c r="Q812" s="88">
        <f t="shared" si="170"/>
        <v>960</v>
      </c>
      <c r="R812" s="88">
        <f t="shared" si="170"/>
        <v>192</v>
      </c>
      <c r="S812" s="88">
        <f t="shared" si="170"/>
        <v>0</v>
      </c>
      <c r="T812" s="88">
        <f t="shared" si="170"/>
        <v>0</v>
      </c>
      <c r="U812" s="88">
        <f t="shared" si="170"/>
        <v>744</v>
      </c>
      <c r="V812" s="88">
        <f t="shared" si="170"/>
        <v>492</v>
      </c>
      <c r="W812" s="88">
        <f t="shared" si="170"/>
        <v>252</v>
      </c>
      <c r="X812" s="88">
        <f t="shared" si="170"/>
        <v>348</v>
      </c>
      <c r="Y812" s="88">
        <f t="shared" si="170"/>
        <v>468</v>
      </c>
      <c r="Z812" s="88">
        <f t="shared" si="170"/>
        <v>864</v>
      </c>
      <c r="AA812" s="88">
        <f t="shared" si="170"/>
        <v>402</v>
      </c>
      <c r="AB812" s="88">
        <f t="shared" si="170"/>
        <v>120</v>
      </c>
      <c r="AC812" s="88">
        <f t="shared" si="170"/>
        <v>0</v>
      </c>
      <c r="AD812" s="53" t="e">
        <f>#REF!*D812</f>
        <v>#REF!</v>
      </c>
      <c r="AE812" s="53" t="e">
        <f>AD812-#REF!</f>
        <v>#REF!</v>
      </c>
      <c r="AF812" s="9"/>
      <c r="AG812" s="33" t="e">
        <f>#REF!-D812</f>
        <v>#REF!</v>
      </c>
      <c r="AH812" s="9"/>
      <c r="AI812" s="9"/>
      <c r="AJ812" s="9"/>
      <c r="AK812" s="9"/>
    </row>
    <row r="813" spans="1:37" s="17" customFormat="1" ht="20.399999999999999" outlineLevel="1" x14ac:dyDescent="0.2">
      <c r="A813" s="61" t="s">
        <v>1319</v>
      </c>
      <c r="B813" s="14" t="s">
        <v>1033</v>
      </c>
      <c r="C813" s="8" t="s">
        <v>48</v>
      </c>
      <c r="D813" s="25">
        <f t="shared" si="161"/>
        <v>147</v>
      </c>
      <c r="E813" s="54"/>
      <c r="F813" s="9"/>
      <c r="G813" s="88">
        <f t="shared" ref="G813:AC813" si="171">MROUND(G801*0.55,3)</f>
        <v>0</v>
      </c>
      <c r="H813" s="88">
        <f t="shared" si="171"/>
        <v>42</v>
      </c>
      <c r="I813" s="88">
        <f t="shared" si="171"/>
        <v>0</v>
      </c>
      <c r="J813" s="88">
        <f t="shared" si="171"/>
        <v>12</v>
      </c>
      <c r="K813" s="88">
        <f t="shared" si="171"/>
        <v>3</v>
      </c>
      <c r="L813" s="88">
        <f t="shared" si="171"/>
        <v>12</v>
      </c>
      <c r="M813" s="88">
        <f t="shared" si="171"/>
        <v>18</v>
      </c>
      <c r="N813" s="88">
        <f t="shared" si="171"/>
        <v>18</v>
      </c>
      <c r="O813" s="88">
        <f t="shared" si="171"/>
        <v>18</v>
      </c>
      <c r="P813" s="88">
        <f t="shared" si="171"/>
        <v>0</v>
      </c>
      <c r="Q813" s="88">
        <f t="shared" si="171"/>
        <v>9</v>
      </c>
      <c r="R813" s="88">
        <f t="shared" si="171"/>
        <v>0</v>
      </c>
      <c r="S813" s="88">
        <f t="shared" si="171"/>
        <v>0</v>
      </c>
      <c r="T813" s="88">
        <f t="shared" si="171"/>
        <v>0</v>
      </c>
      <c r="U813" s="88">
        <f t="shared" si="171"/>
        <v>3</v>
      </c>
      <c r="V813" s="88">
        <f t="shared" si="171"/>
        <v>0</v>
      </c>
      <c r="W813" s="88">
        <f t="shared" si="171"/>
        <v>0</v>
      </c>
      <c r="X813" s="88">
        <f t="shared" si="171"/>
        <v>9</v>
      </c>
      <c r="Y813" s="88">
        <f t="shared" si="171"/>
        <v>3</v>
      </c>
      <c r="Z813" s="88">
        <f t="shared" si="171"/>
        <v>0</v>
      </c>
      <c r="AA813" s="88">
        <f t="shared" si="171"/>
        <v>0</v>
      </c>
      <c r="AB813" s="88">
        <f t="shared" si="171"/>
        <v>0</v>
      </c>
      <c r="AC813" s="88">
        <f t="shared" si="171"/>
        <v>0</v>
      </c>
      <c r="AD813" s="53" t="e">
        <f>#REF!*D813</f>
        <v>#REF!</v>
      </c>
      <c r="AE813" s="53" t="e">
        <f>AD813-#REF!</f>
        <v>#REF!</v>
      </c>
      <c r="AF813" s="8"/>
      <c r="AG813" s="33" t="e">
        <f>#REF!-D813</f>
        <v>#REF!</v>
      </c>
      <c r="AH813" s="8"/>
      <c r="AI813" s="8"/>
      <c r="AJ813" s="8"/>
      <c r="AK813" s="8"/>
    </row>
    <row r="814" spans="1:37" s="17" customFormat="1" ht="40.799999999999997" outlineLevel="1" x14ac:dyDescent="0.2">
      <c r="A814" s="61" t="s">
        <v>1320</v>
      </c>
      <c r="B814" s="14" t="s">
        <v>2594</v>
      </c>
      <c r="C814" s="9" t="s">
        <v>47</v>
      </c>
      <c r="D814" s="25">
        <f t="shared" si="161"/>
        <v>1</v>
      </c>
      <c r="E814" s="54"/>
      <c r="F814" s="9"/>
      <c r="G814" s="9">
        <v>0</v>
      </c>
      <c r="H814" s="9">
        <v>0</v>
      </c>
      <c r="I814" s="9">
        <v>0</v>
      </c>
      <c r="J814" s="9">
        <v>0</v>
      </c>
      <c r="K814" s="9">
        <v>0</v>
      </c>
      <c r="L814" s="9">
        <v>0</v>
      </c>
      <c r="M814" s="9">
        <v>0</v>
      </c>
      <c r="N814" s="9">
        <v>0</v>
      </c>
      <c r="O814" s="9">
        <v>0</v>
      </c>
      <c r="P814" s="9">
        <v>0</v>
      </c>
      <c r="Q814" s="9">
        <v>0</v>
      </c>
      <c r="R814" s="9">
        <v>0</v>
      </c>
      <c r="S814" s="9">
        <v>0</v>
      </c>
      <c r="T814" s="9">
        <v>0</v>
      </c>
      <c r="U814" s="9">
        <v>1</v>
      </c>
      <c r="V814" s="9">
        <v>0</v>
      </c>
      <c r="W814" s="9">
        <v>0</v>
      </c>
      <c r="X814" s="9">
        <v>0</v>
      </c>
      <c r="Y814" s="9">
        <v>0</v>
      </c>
      <c r="Z814" s="9">
        <v>0</v>
      </c>
      <c r="AA814" s="9">
        <v>0</v>
      </c>
      <c r="AB814" s="9">
        <v>0</v>
      </c>
      <c r="AC814" s="9">
        <v>0</v>
      </c>
      <c r="AD814" s="53" t="e">
        <f>#REF!*D814</f>
        <v>#REF!</v>
      </c>
      <c r="AE814" s="53" t="e">
        <f>AD814-#REF!</f>
        <v>#REF!</v>
      </c>
      <c r="AF814" s="21"/>
      <c r="AG814" s="33" t="e">
        <f>#REF!-D814</f>
        <v>#REF!</v>
      </c>
      <c r="AH814" s="21"/>
      <c r="AI814" s="21"/>
    </row>
    <row r="815" spans="1:37" s="17" customFormat="1" ht="20.399999999999999" outlineLevel="1" x14ac:dyDescent="0.2">
      <c r="A815" s="61" t="s">
        <v>2878</v>
      </c>
      <c r="B815" s="14" t="s">
        <v>1316</v>
      </c>
      <c r="C815" s="9" t="s">
        <v>47</v>
      </c>
      <c r="D815" s="25">
        <f t="shared" si="161"/>
        <v>3</v>
      </c>
      <c r="E815" s="54"/>
      <c r="F815" s="9"/>
      <c r="G815" s="9">
        <v>0</v>
      </c>
      <c r="H815" s="9">
        <v>0</v>
      </c>
      <c r="I815" s="9">
        <v>0</v>
      </c>
      <c r="J815" s="9">
        <v>0</v>
      </c>
      <c r="K815" s="9">
        <v>0</v>
      </c>
      <c r="L815" s="9">
        <v>0</v>
      </c>
      <c r="M815" s="9">
        <v>0</v>
      </c>
      <c r="N815" s="9">
        <v>0</v>
      </c>
      <c r="O815" s="9">
        <v>0</v>
      </c>
      <c r="P815" s="9">
        <v>0</v>
      </c>
      <c r="Q815" s="9">
        <v>0</v>
      </c>
      <c r="R815" s="9">
        <v>0</v>
      </c>
      <c r="S815" s="9">
        <v>0</v>
      </c>
      <c r="T815" s="9">
        <v>0</v>
      </c>
      <c r="U815" s="9">
        <v>3</v>
      </c>
      <c r="V815" s="9">
        <v>0</v>
      </c>
      <c r="W815" s="9">
        <v>0</v>
      </c>
      <c r="X815" s="9">
        <v>0</v>
      </c>
      <c r="Y815" s="9">
        <v>0</v>
      </c>
      <c r="Z815" s="9">
        <v>0</v>
      </c>
      <c r="AA815" s="9">
        <v>0</v>
      </c>
      <c r="AB815" s="9">
        <v>0</v>
      </c>
      <c r="AC815" s="9">
        <v>0</v>
      </c>
      <c r="AD815" s="53" t="e">
        <f>#REF!*D815</f>
        <v>#REF!</v>
      </c>
      <c r="AE815" s="53" t="e">
        <f>AD815-#REF!</f>
        <v>#REF!</v>
      </c>
      <c r="AF815" s="21"/>
      <c r="AG815" s="33" t="e">
        <f>#REF!-D815</f>
        <v>#REF!</v>
      </c>
      <c r="AH815" s="21"/>
      <c r="AI815" s="21"/>
    </row>
    <row r="816" spans="1:37" s="17" customFormat="1" ht="30.6" outlineLevel="1" x14ac:dyDescent="0.2">
      <c r="A816" s="61" t="s">
        <v>2879</v>
      </c>
      <c r="B816" s="14" t="s">
        <v>221</v>
      </c>
      <c r="C816" s="9" t="s">
        <v>47</v>
      </c>
      <c r="D816" s="25">
        <f t="shared" si="161"/>
        <v>1</v>
      </c>
      <c r="E816" s="54"/>
      <c r="F816" s="9"/>
      <c r="G816" s="9">
        <v>0</v>
      </c>
      <c r="H816" s="9">
        <v>0</v>
      </c>
      <c r="I816" s="9">
        <v>0</v>
      </c>
      <c r="J816" s="9">
        <v>0</v>
      </c>
      <c r="K816" s="9">
        <v>0</v>
      </c>
      <c r="L816" s="9">
        <v>0</v>
      </c>
      <c r="M816" s="9">
        <v>0</v>
      </c>
      <c r="N816" s="9">
        <v>0</v>
      </c>
      <c r="O816" s="9">
        <v>0</v>
      </c>
      <c r="P816" s="9">
        <v>0</v>
      </c>
      <c r="Q816" s="9">
        <v>0</v>
      </c>
      <c r="R816" s="9">
        <v>0</v>
      </c>
      <c r="S816" s="9">
        <v>0</v>
      </c>
      <c r="T816" s="9">
        <v>0</v>
      </c>
      <c r="U816" s="9">
        <v>1</v>
      </c>
      <c r="V816" s="9">
        <v>0</v>
      </c>
      <c r="W816" s="9">
        <v>0</v>
      </c>
      <c r="X816" s="9">
        <v>0</v>
      </c>
      <c r="Y816" s="9">
        <v>0</v>
      </c>
      <c r="Z816" s="9">
        <v>0</v>
      </c>
      <c r="AA816" s="9">
        <v>0</v>
      </c>
      <c r="AB816" s="9">
        <v>0</v>
      </c>
      <c r="AC816" s="9">
        <v>0</v>
      </c>
      <c r="AD816" s="53" t="e">
        <f>#REF!*D816</f>
        <v>#REF!</v>
      </c>
      <c r="AE816" s="53" t="e">
        <f>AD816-#REF!</f>
        <v>#REF!</v>
      </c>
      <c r="AF816" s="21"/>
      <c r="AG816" s="33" t="e">
        <f>#REF!-D816</f>
        <v>#REF!</v>
      </c>
      <c r="AH816" s="21"/>
      <c r="AI816" s="21"/>
    </row>
    <row r="817" spans="1:37" s="12" customFormat="1" ht="10.199999999999999" outlineLevel="1" x14ac:dyDescent="0.2">
      <c r="A817" s="61"/>
      <c r="B817" s="94"/>
      <c r="C817" s="24"/>
      <c r="D817" s="25"/>
      <c r="E817" s="54"/>
      <c r="F817" s="9"/>
      <c r="G817" s="9"/>
      <c r="H817" s="9"/>
      <c r="I817" s="9"/>
      <c r="J817" s="9"/>
      <c r="K817" s="9"/>
      <c r="L817" s="9"/>
      <c r="M817" s="9"/>
      <c r="N817" s="9"/>
      <c r="O817" s="9"/>
      <c r="P817" s="9"/>
      <c r="Q817" s="9"/>
      <c r="R817" s="9"/>
      <c r="S817" s="9"/>
      <c r="T817" s="9"/>
      <c r="U817" s="9"/>
      <c r="V817" s="9"/>
      <c r="W817" s="9"/>
      <c r="X817" s="9"/>
      <c r="Y817" s="9"/>
      <c r="Z817" s="9"/>
      <c r="AA817" s="9"/>
      <c r="AB817" s="9"/>
      <c r="AC817" s="9"/>
      <c r="AD817" s="53" t="e">
        <f>#REF!*D817</f>
        <v>#REF!</v>
      </c>
      <c r="AE817" s="53" t="e">
        <f>AD817-#REF!</f>
        <v>#REF!</v>
      </c>
      <c r="AF817" s="24"/>
      <c r="AG817" s="33" t="e">
        <f>#REF!-D817</f>
        <v>#REF!</v>
      </c>
      <c r="AH817" s="24"/>
      <c r="AI817" s="24"/>
      <c r="AJ817" s="24"/>
      <c r="AK817" s="24"/>
    </row>
    <row r="818" spans="1:37" s="12" customFormat="1" ht="12" x14ac:dyDescent="0.25">
      <c r="A818" s="18" t="s">
        <v>13</v>
      </c>
      <c r="B818" s="35" t="s">
        <v>384</v>
      </c>
      <c r="C818" s="18" t="s">
        <v>41</v>
      </c>
      <c r="D818" s="52" t="e">
        <f>#REF!/#REF!*100</f>
        <v>#REF!</v>
      </c>
      <c r="E818" s="54"/>
      <c r="F818" s="9"/>
      <c r="G818" s="9"/>
      <c r="H818" s="9"/>
      <c r="I818" s="9"/>
      <c r="J818" s="9"/>
      <c r="K818" s="9"/>
      <c r="L818" s="9"/>
      <c r="M818" s="9"/>
      <c r="N818" s="9"/>
      <c r="O818" s="9"/>
      <c r="P818" s="9"/>
      <c r="Q818" s="9"/>
      <c r="R818" s="9"/>
      <c r="S818" s="9"/>
      <c r="T818" s="9"/>
      <c r="U818" s="9"/>
      <c r="V818" s="9"/>
      <c r="W818" s="9"/>
      <c r="X818" s="9"/>
      <c r="Y818" s="9"/>
      <c r="Z818" s="9"/>
      <c r="AA818" s="9"/>
      <c r="AB818" s="9"/>
      <c r="AC818" s="9"/>
      <c r="AD818" s="53" t="e">
        <f>#REF!*D818</f>
        <v>#REF!</v>
      </c>
      <c r="AE818" s="53" t="e">
        <f>AD818-#REF!</f>
        <v>#REF!</v>
      </c>
      <c r="AF818" s="9"/>
      <c r="AG818" s="33" t="e">
        <f>#REF!-D818</f>
        <v>#REF!</v>
      </c>
      <c r="AH818" s="9"/>
      <c r="AI818" s="9"/>
      <c r="AJ818" s="9"/>
      <c r="AK818" s="9"/>
    </row>
    <row r="819" spans="1:37" s="17" customFormat="1" ht="30.6" outlineLevel="1" x14ac:dyDescent="0.2">
      <c r="A819" s="61" t="s">
        <v>1201</v>
      </c>
      <c r="B819" s="63" t="s">
        <v>2874</v>
      </c>
      <c r="C819" s="9" t="s">
        <v>48</v>
      </c>
      <c r="D819" s="25">
        <f t="shared" ref="D819:D855" si="172">SUM(G819:AC819)</f>
        <v>123</v>
      </c>
      <c r="E819" s="54"/>
      <c r="F819" s="9"/>
      <c r="G819" s="9">
        <v>0</v>
      </c>
      <c r="H819" s="9">
        <v>0</v>
      </c>
      <c r="I819" s="9">
        <v>0</v>
      </c>
      <c r="J819" s="9">
        <v>0</v>
      </c>
      <c r="K819" s="9">
        <v>0</v>
      </c>
      <c r="L819" s="9">
        <v>0</v>
      </c>
      <c r="M819" s="9">
        <v>0</v>
      </c>
      <c r="N819" s="9">
        <v>0</v>
      </c>
      <c r="O819" s="9">
        <v>0</v>
      </c>
      <c r="P819" s="9">
        <v>0</v>
      </c>
      <c r="Q819" s="9">
        <v>0</v>
      </c>
      <c r="R819" s="9">
        <v>0</v>
      </c>
      <c r="S819" s="9">
        <v>0</v>
      </c>
      <c r="T819" s="9">
        <v>0</v>
      </c>
      <c r="U819" s="9">
        <v>18</v>
      </c>
      <c r="V819" s="9">
        <v>15</v>
      </c>
      <c r="W819" s="9">
        <v>12</v>
      </c>
      <c r="X819" s="9">
        <v>18</v>
      </c>
      <c r="Y819" s="9">
        <v>18</v>
      </c>
      <c r="Z819" s="9">
        <v>21</v>
      </c>
      <c r="AA819" s="9">
        <v>18</v>
      </c>
      <c r="AB819" s="9">
        <v>3</v>
      </c>
      <c r="AC819" s="9">
        <v>0</v>
      </c>
      <c r="AD819" s="53" t="e">
        <f>#REF!*D819</f>
        <v>#REF!</v>
      </c>
      <c r="AE819" s="53" t="e">
        <f>AD819-#REF!</f>
        <v>#REF!</v>
      </c>
      <c r="AF819" s="8"/>
      <c r="AG819" s="33" t="e">
        <f>#REF!-D819</f>
        <v>#REF!</v>
      </c>
      <c r="AH819" s="8"/>
      <c r="AI819" s="8"/>
      <c r="AJ819" s="8"/>
      <c r="AK819" s="8"/>
    </row>
    <row r="820" spans="1:37" s="17" customFormat="1" ht="31.5" customHeight="1" outlineLevel="1" x14ac:dyDescent="0.2">
      <c r="A820" s="61" t="s">
        <v>1202</v>
      </c>
      <c r="B820" s="47" t="s">
        <v>457</v>
      </c>
      <c r="C820" s="9" t="s">
        <v>48</v>
      </c>
      <c r="D820" s="25">
        <f t="shared" si="172"/>
        <v>123</v>
      </c>
      <c r="E820" s="54"/>
      <c r="F820" s="9"/>
      <c r="G820" s="49">
        <f t="shared" ref="G820:T820" si="173">G817</f>
        <v>0</v>
      </c>
      <c r="H820" s="49">
        <f t="shared" si="173"/>
        <v>0</v>
      </c>
      <c r="I820" s="49">
        <f t="shared" si="173"/>
        <v>0</v>
      </c>
      <c r="J820" s="49">
        <f t="shared" si="173"/>
        <v>0</v>
      </c>
      <c r="K820" s="49">
        <f t="shared" si="173"/>
        <v>0</v>
      </c>
      <c r="L820" s="49">
        <f t="shared" si="173"/>
        <v>0</v>
      </c>
      <c r="M820" s="49">
        <f t="shared" si="173"/>
        <v>0</v>
      </c>
      <c r="N820" s="49">
        <f t="shared" si="173"/>
        <v>0</v>
      </c>
      <c r="O820" s="49">
        <f t="shared" si="173"/>
        <v>0</v>
      </c>
      <c r="P820" s="49">
        <f t="shared" si="173"/>
        <v>0</v>
      </c>
      <c r="Q820" s="49">
        <f t="shared" si="173"/>
        <v>0</v>
      </c>
      <c r="R820" s="49">
        <f t="shared" si="173"/>
        <v>0</v>
      </c>
      <c r="S820" s="49">
        <f t="shared" si="173"/>
        <v>0</v>
      </c>
      <c r="T820" s="49">
        <f t="shared" si="173"/>
        <v>0</v>
      </c>
      <c r="U820" s="49">
        <f t="shared" ref="U820:AC820" si="174">U819</f>
        <v>18</v>
      </c>
      <c r="V820" s="49">
        <f t="shared" si="174"/>
        <v>15</v>
      </c>
      <c r="W820" s="49">
        <f t="shared" si="174"/>
        <v>12</v>
      </c>
      <c r="X820" s="49">
        <f t="shared" si="174"/>
        <v>18</v>
      </c>
      <c r="Y820" s="49">
        <f t="shared" si="174"/>
        <v>18</v>
      </c>
      <c r="Z820" s="49">
        <f t="shared" si="174"/>
        <v>21</v>
      </c>
      <c r="AA820" s="49">
        <f t="shared" si="174"/>
        <v>18</v>
      </c>
      <c r="AB820" s="49">
        <f t="shared" si="174"/>
        <v>3</v>
      </c>
      <c r="AC820" s="49">
        <f t="shared" si="174"/>
        <v>0</v>
      </c>
      <c r="AD820" s="53" t="e">
        <f>#REF!*D820</f>
        <v>#REF!</v>
      </c>
      <c r="AE820" s="53" t="e">
        <f>AD820-#REF!</f>
        <v>#REF!</v>
      </c>
      <c r="AF820" s="8"/>
      <c r="AG820" s="33" t="e">
        <f>#REF!-D820</f>
        <v>#REF!</v>
      </c>
      <c r="AH820" s="8"/>
      <c r="AI820" s="8"/>
      <c r="AJ820" s="8"/>
      <c r="AK820" s="8"/>
    </row>
    <row r="821" spans="1:37" s="17" customFormat="1" ht="30.6" outlineLevel="1" x14ac:dyDescent="0.2">
      <c r="A821" s="61" t="s">
        <v>1203</v>
      </c>
      <c r="B821" s="14" t="s">
        <v>1234</v>
      </c>
      <c r="C821" s="9" t="s">
        <v>48</v>
      </c>
      <c r="D821" s="25">
        <f t="shared" si="172"/>
        <v>942</v>
      </c>
      <c r="E821" s="54"/>
      <c r="F821" s="9"/>
      <c r="G821" s="9">
        <v>0</v>
      </c>
      <c r="H821" s="9">
        <v>48</v>
      </c>
      <c r="I821" s="9">
        <v>0</v>
      </c>
      <c r="J821" s="9">
        <v>48</v>
      </c>
      <c r="K821" s="9">
        <v>0</v>
      </c>
      <c r="L821" s="9">
        <v>0</v>
      </c>
      <c r="M821" s="9">
        <v>33</v>
      </c>
      <c r="N821" s="9">
        <v>33</v>
      </c>
      <c r="O821" s="9">
        <v>45</v>
      </c>
      <c r="P821" s="9">
        <v>9</v>
      </c>
      <c r="Q821" s="9">
        <v>24</v>
      </c>
      <c r="R821" s="9">
        <v>24</v>
      </c>
      <c r="S821" s="9">
        <v>0</v>
      </c>
      <c r="T821" s="9">
        <v>0</v>
      </c>
      <c r="U821" s="9">
        <v>120</v>
      </c>
      <c r="V821" s="9">
        <v>105</v>
      </c>
      <c r="W821" s="9">
        <v>90</v>
      </c>
      <c r="X821" s="9">
        <v>72</v>
      </c>
      <c r="Y821" s="9">
        <v>78</v>
      </c>
      <c r="Z821" s="9">
        <v>96</v>
      </c>
      <c r="AA821" s="9">
        <v>75</v>
      </c>
      <c r="AB821" s="9">
        <v>42</v>
      </c>
      <c r="AC821" s="9">
        <v>0</v>
      </c>
      <c r="AD821" s="53" t="e">
        <f>#REF!*D821</f>
        <v>#REF!</v>
      </c>
      <c r="AE821" s="53" t="e">
        <f>AD821-#REF!</f>
        <v>#REF!</v>
      </c>
      <c r="AF821" s="8"/>
      <c r="AG821" s="33" t="e">
        <f>#REF!-D821</f>
        <v>#REF!</v>
      </c>
      <c r="AH821" s="8"/>
      <c r="AI821" s="8"/>
      <c r="AJ821" s="8"/>
      <c r="AK821" s="8"/>
    </row>
    <row r="822" spans="1:37" s="17" customFormat="1" ht="31.5" customHeight="1" outlineLevel="1" x14ac:dyDescent="0.2">
      <c r="A822" s="61" t="s">
        <v>1204</v>
      </c>
      <c r="B822" s="47" t="s">
        <v>393</v>
      </c>
      <c r="C822" s="9" t="s">
        <v>48</v>
      </c>
      <c r="D822" s="25">
        <f t="shared" si="172"/>
        <v>678</v>
      </c>
      <c r="E822" s="54"/>
      <c r="F822" s="9"/>
      <c r="G822" s="49">
        <f t="shared" ref="G822:T822" si="175">G819</f>
        <v>0</v>
      </c>
      <c r="H822" s="49">
        <f t="shared" si="175"/>
        <v>0</v>
      </c>
      <c r="I822" s="49">
        <f t="shared" si="175"/>
        <v>0</v>
      </c>
      <c r="J822" s="49">
        <f t="shared" si="175"/>
        <v>0</v>
      </c>
      <c r="K822" s="49">
        <f t="shared" si="175"/>
        <v>0</v>
      </c>
      <c r="L822" s="49">
        <f t="shared" si="175"/>
        <v>0</v>
      </c>
      <c r="M822" s="49">
        <f t="shared" si="175"/>
        <v>0</v>
      </c>
      <c r="N822" s="49">
        <f t="shared" si="175"/>
        <v>0</v>
      </c>
      <c r="O822" s="49">
        <f t="shared" si="175"/>
        <v>0</v>
      </c>
      <c r="P822" s="49">
        <f t="shared" si="175"/>
        <v>0</v>
      </c>
      <c r="Q822" s="49">
        <f t="shared" si="175"/>
        <v>0</v>
      </c>
      <c r="R822" s="49">
        <f t="shared" si="175"/>
        <v>0</v>
      </c>
      <c r="S822" s="49">
        <f t="shared" si="175"/>
        <v>0</v>
      </c>
      <c r="T822" s="49">
        <f t="shared" si="175"/>
        <v>0</v>
      </c>
      <c r="U822" s="49">
        <f t="shared" ref="U822:AC822" si="176">U821</f>
        <v>120</v>
      </c>
      <c r="V822" s="49">
        <f t="shared" si="176"/>
        <v>105</v>
      </c>
      <c r="W822" s="49">
        <f t="shared" si="176"/>
        <v>90</v>
      </c>
      <c r="X822" s="49">
        <f t="shared" si="176"/>
        <v>72</v>
      </c>
      <c r="Y822" s="49">
        <f t="shared" si="176"/>
        <v>78</v>
      </c>
      <c r="Z822" s="49">
        <f t="shared" si="176"/>
        <v>96</v>
      </c>
      <c r="AA822" s="49">
        <f t="shared" si="176"/>
        <v>75</v>
      </c>
      <c r="AB822" s="49">
        <f t="shared" si="176"/>
        <v>42</v>
      </c>
      <c r="AC822" s="49">
        <f t="shared" si="176"/>
        <v>0</v>
      </c>
      <c r="AD822" s="53" t="e">
        <f>#REF!*D822</f>
        <v>#REF!</v>
      </c>
      <c r="AE822" s="53" t="e">
        <f>AD822-#REF!</f>
        <v>#REF!</v>
      </c>
      <c r="AF822" s="8"/>
      <c r="AG822" s="33" t="e">
        <f>#REF!-D822</f>
        <v>#REF!</v>
      </c>
      <c r="AH822" s="8"/>
      <c r="AI822" s="8"/>
      <c r="AJ822" s="8"/>
      <c r="AK822" s="8"/>
    </row>
    <row r="823" spans="1:37" s="17" customFormat="1" ht="30.6" outlineLevel="1" x14ac:dyDescent="0.2">
      <c r="A823" s="61" t="s">
        <v>1205</v>
      </c>
      <c r="B823" s="14" t="s">
        <v>2492</v>
      </c>
      <c r="C823" s="9" t="s">
        <v>48</v>
      </c>
      <c r="D823" s="25">
        <f t="shared" si="172"/>
        <v>123</v>
      </c>
      <c r="E823" s="54"/>
      <c r="F823" s="9"/>
      <c r="G823" s="49">
        <f t="shared" ref="G823:AC823" si="177">G819</f>
        <v>0</v>
      </c>
      <c r="H823" s="49">
        <f t="shared" si="177"/>
        <v>0</v>
      </c>
      <c r="I823" s="49">
        <f t="shared" si="177"/>
        <v>0</v>
      </c>
      <c r="J823" s="49">
        <f t="shared" si="177"/>
        <v>0</v>
      </c>
      <c r="K823" s="49">
        <f t="shared" si="177"/>
        <v>0</v>
      </c>
      <c r="L823" s="49">
        <f t="shared" si="177"/>
        <v>0</v>
      </c>
      <c r="M823" s="49">
        <f t="shared" si="177"/>
        <v>0</v>
      </c>
      <c r="N823" s="49">
        <f t="shared" si="177"/>
        <v>0</v>
      </c>
      <c r="O823" s="49">
        <f t="shared" si="177"/>
        <v>0</v>
      </c>
      <c r="P823" s="49">
        <f t="shared" si="177"/>
        <v>0</v>
      </c>
      <c r="Q823" s="49">
        <f t="shared" si="177"/>
        <v>0</v>
      </c>
      <c r="R823" s="49">
        <f t="shared" si="177"/>
        <v>0</v>
      </c>
      <c r="S823" s="49">
        <f t="shared" si="177"/>
        <v>0</v>
      </c>
      <c r="T823" s="49">
        <f t="shared" si="177"/>
        <v>0</v>
      </c>
      <c r="U823" s="49">
        <f t="shared" si="177"/>
        <v>18</v>
      </c>
      <c r="V823" s="49">
        <f t="shared" si="177"/>
        <v>15</v>
      </c>
      <c r="W823" s="49">
        <f t="shared" si="177"/>
        <v>12</v>
      </c>
      <c r="X823" s="49">
        <f t="shared" si="177"/>
        <v>18</v>
      </c>
      <c r="Y823" s="49">
        <f t="shared" si="177"/>
        <v>18</v>
      </c>
      <c r="Z823" s="49">
        <f t="shared" si="177"/>
        <v>21</v>
      </c>
      <c r="AA823" s="49">
        <f t="shared" si="177"/>
        <v>18</v>
      </c>
      <c r="AB823" s="49">
        <f t="shared" si="177"/>
        <v>3</v>
      </c>
      <c r="AC823" s="49">
        <f t="shared" si="177"/>
        <v>0</v>
      </c>
      <c r="AD823" s="53" t="e">
        <f>#REF!*D823</f>
        <v>#REF!</v>
      </c>
      <c r="AE823" s="53" t="e">
        <f>AD823-#REF!</f>
        <v>#REF!</v>
      </c>
      <c r="AF823" s="8"/>
      <c r="AG823" s="33" t="e">
        <f>#REF!-D823</f>
        <v>#REF!</v>
      </c>
      <c r="AH823" s="8"/>
      <c r="AI823" s="8"/>
      <c r="AJ823" s="8"/>
      <c r="AK823" s="8"/>
    </row>
    <row r="824" spans="1:37" s="17" customFormat="1" ht="30.6" outlineLevel="1" x14ac:dyDescent="0.2">
      <c r="A824" s="61" t="s">
        <v>1206</v>
      </c>
      <c r="B824" s="14" t="s">
        <v>1186</v>
      </c>
      <c r="C824" s="8" t="s">
        <v>47</v>
      </c>
      <c r="D824" s="25">
        <f t="shared" si="172"/>
        <v>29</v>
      </c>
      <c r="E824" s="54"/>
      <c r="F824" s="9"/>
      <c r="G824" s="9">
        <v>0</v>
      </c>
      <c r="H824" s="9">
        <v>3</v>
      </c>
      <c r="I824" s="9">
        <v>0</v>
      </c>
      <c r="J824" s="9">
        <v>1</v>
      </c>
      <c r="K824" s="9">
        <v>0</v>
      </c>
      <c r="L824" s="9">
        <v>2</v>
      </c>
      <c r="M824" s="9">
        <v>0</v>
      </c>
      <c r="N824" s="9">
        <v>0</v>
      </c>
      <c r="O824" s="9">
        <v>1</v>
      </c>
      <c r="P824" s="9">
        <v>0</v>
      </c>
      <c r="Q824" s="9">
        <v>0</v>
      </c>
      <c r="R824" s="9">
        <v>2</v>
      </c>
      <c r="S824" s="9">
        <v>0</v>
      </c>
      <c r="T824" s="9">
        <v>0</v>
      </c>
      <c r="U824" s="9">
        <v>5</v>
      </c>
      <c r="V824" s="9">
        <v>4</v>
      </c>
      <c r="W824" s="9">
        <v>2</v>
      </c>
      <c r="X824" s="9">
        <v>1</v>
      </c>
      <c r="Y824" s="9">
        <v>5</v>
      </c>
      <c r="Z824" s="9">
        <v>1</v>
      </c>
      <c r="AA824" s="9">
        <v>1</v>
      </c>
      <c r="AB824" s="9">
        <v>1</v>
      </c>
      <c r="AC824" s="9">
        <v>0</v>
      </c>
      <c r="AD824" s="53" t="e">
        <f>#REF!*D824</f>
        <v>#REF!</v>
      </c>
      <c r="AE824" s="53" t="e">
        <f>AD824-#REF!</f>
        <v>#REF!</v>
      </c>
      <c r="AF824" s="8"/>
      <c r="AG824" s="33" t="e">
        <f>#REF!-D824</f>
        <v>#REF!</v>
      </c>
      <c r="AH824" s="8"/>
      <c r="AI824" s="8"/>
      <c r="AJ824" s="8"/>
      <c r="AK824" s="8"/>
    </row>
    <row r="825" spans="1:37" s="17" customFormat="1" ht="30.6" outlineLevel="1" x14ac:dyDescent="0.2">
      <c r="A825" s="61" t="s">
        <v>1207</v>
      </c>
      <c r="B825" s="14" t="s">
        <v>1187</v>
      </c>
      <c r="C825" s="8" t="s">
        <v>47</v>
      </c>
      <c r="D825" s="25">
        <f t="shared" si="172"/>
        <v>146</v>
      </c>
      <c r="E825" s="54"/>
      <c r="F825" s="9"/>
      <c r="G825" s="9">
        <v>0</v>
      </c>
      <c r="H825" s="49">
        <v>1</v>
      </c>
      <c r="I825" s="9">
        <v>0</v>
      </c>
      <c r="J825" s="9">
        <v>0</v>
      </c>
      <c r="K825" s="9">
        <v>0</v>
      </c>
      <c r="L825" s="9">
        <v>0</v>
      </c>
      <c r="M825" s="9">
        <v>0</v>
      </c>
      <c r="N825" s="9">
        <v>0</v>
      </c>
      <c r="O825" s="9">
        <v>0</v>
      </c>
      <c r="P825" s="9">
        <v>0</v>
      </c>
      <c r="Q825" s="9">
        <v>0</v>
      </c>
      <c r="R825" s="9">
        <v>0</v>
      </c>
      <c r="S825" s="9">
        <v>0</v>
      </c>
      <c r="T825" s="9">
        <v>0</v>
      </c>
      <c r="U825" s="9">
        <v>20</v>
      </c>
      <c r="V825" s="9">
        <v>24</v>
      </c>
      <c r="W825" s="9">
        <v>13</v>
      </c>
      <c r="X825" s="9">
        <v>20</v>
      </c>
      <c r="Y825" s="9">
        <v>20</v>
      </c>
      <c r="Z825" s="9">
        <v>26</v>
      </c>
      <c r="AA825" s="9">
        <v>19</v>
      </c>
      <c r="AB825" s="9">
        <v>3</v>
      </c>
      <c r="AC825" s="9">
        <v>0</v>
      </c>
      <c r="AD825" s="53" t="e">
        <f>#REF!*D825</f>
        <v>#REF!</v>
      </c>
      <c r="AE825" s="53" t="e">
        <f>AD825-#REF!</f>
        <v>#REF!</v>
      </c>
      <c r="AF825" s="8"/>
      <c r="AG825" s="33" t="e">
        <f>#REF!-D825</f>
        <v>#REF!</v>
      </c>
      <c r="AH825" s="8"/>
      <c r="AI825" s="8"/>
      <c r="AJ825" s="8"/>
      <c r="AK825" s="8"/>
    </row>
    <row r="826" spans="1:37" s="17" customFormat="1" ht="30.6" outlineLevel="1" x14ac:dyDescent="0.2">
      <c r="A826" s="61" t="s">
        <v>1208</v>
      </c>
      <c r="B826" s="14" t="s">
        <v>2875</v>
      </c>
      <c r="C826" s="8" t="s">
        <v>47</v>
      </c>
      <c r="D826" s="25">
        <f t="shared" si="172"/>
        <v>123</v>
      </c>
      <c r="E826" s="54"/>
      <c r="F826" s="9"/>
      <c r="G826" s="9">
        <v>0</v>
      </c>
      <c r="H826" s="9">
        <v>0</v>
      </c>
      <c r="I826" s="9">
        <v>0</v>
      </c>
      <c r="J826" s="9">
        <v>0</v>
      </c>
      <c r="K826" s="9">
        <v>0</v>
      </c>
      <c r="L826" s="9">
        <v>0</v>
      </c>
      <c r="M826" s="9">
        <v>0</v>
      </c>
      <c r="N826" s="9">
        <v>0</v>
      </c>
      <c r="O826" s="9">
        <v>0</v>
      </c>
      <c r="P826" s="9">
        <v>0</v>
      </c>
      <c r="Q826" s="9">
        <v>0</v>
      </c>
      <c r="R826" s="9">
        <v>0</v>
      </c>
      <c r="S826" s="9">
        <v>0</v>
      </c>
      <c r="T826" s="9">
        <v>0</v>
      </c>
      <c r="U826" s="9">
        <v>17</v>
      </c>
      <c r="V826" s="9">
        <v>23</v>
      </c>
      <c r="W826" s="9">
        <v>10</v>
      </c>
      <c r="X826" s="9">
        <v>18</v>
      </c>
      <c r="Y826" s="9">
        <v>18</v>
      </c>
      <c r="Z826" s="9">
        <v>21</v>
      </c>
      <c r="AA826" s="9">
        <v>16</v>
      </c>
      <c r="AB826" s="9">
        <v>0</v>
      </c>
      <c r="AC826" s="9">
        <v>0</v>
      </c>
      <c r="AD826" s="53" t="e">
        <f>#REF!*D826</f>
        <v>#REF!</v>
      </c>
      <c r="AE826" s="53" t="e">
        <f>AD826-#REF!</f>
        <v>#REF!</v>
      </c>
      <c r="AF826" s="8"/>
      <c r="AG826" s="33" t="e">
        <f>#REF!-D826</f>
        <v>#REF!</v>
      </c>
      <c r="AH826" s="8"/>
      <c r="AI826" s="8"/>
      <c r="AJ826" s="8"/>
      <c r="AK826" s="8"/>
    </row>
    <row r="827" spans="1:37" s="17" customFormat="1" ht="40.799999999999997" outlineLevel="1" x14ac:dyDescent="0.2">
      <c r="A827" s="61" t="s">
        <v>1209</v>
      </c>
      <c r="B827" s="14" t="s">
        <v>1188</v>
      </c>
      <c r="C827" s="8" t="s">
        <v>47</v>
      </c>
      <c r="D827" s="25">
        <f t="shared" si="172"/>
        <v>452</v>
      </c>
      <c r="E827" s="54"/>
      <c r="F827" s="9"/>
      <c r="G827" s="88">
        <f t="shared" ref="G827:T827" si="178">G819/1.5</f>
        <v>0</v>
      </c>
      <c r="H827" s="88">
        <f t="shared" si="178"/>
        <v>0</v>
      </c>
      <c r="I827" s="88">
        <f t="shared" si="178"/>
        <v>0</v>
      </c>
      <c r="J827" s="88">
        <f t="shared" si="178"/>
        <v>0</v>
      </c>
      <c r="K827" s="88">
        <f t="shared" si="178"/>
        <v>0</v>
      </c>
      <c r="L827" s="88">
        <f t="shared" si="178"/>
        <v>0</v>
      </c>
      <c r="M827" s="88">
        <f t="shared" si="178"/>
        <v>0</v>
      </c>
      <c r="N827" s="88">
        <f t="shared" si="178"/>
        <v>0</v>
      </c>
      <c r="O827" s="88">
        <f t="shared" si="178"/>
        <v>0</v>
      </c>
      <c r="P827" s="88">
        <f t="shared" si="178"/>
        <v>0</v>
      </c>
      <c r="Q827" s="88">
        <f t="shared" si="178"/>
        <v>0</v>
      </c>
      <c r="R827" s="88">
        <f t="shared" si="178"/>
        <v>0</v>
      </c>
      <c r="S827" s="88">
        <f t="shared" si="178"/>
        <v>0</v>
      </c>
      <c r="T827" s="88">
        <f t="shared" si="178"/>
        <v>0</v>
      </c>
      <c r="U827" s="88">
        <f t="shared" ref="U827:AC827" si="179">U821/1.5</f>
        <v>80</v>
      </c>
      <c r="V827" s="88">
        <f t="shared" si="179"/>
        <v>70</v>
      </c>
      <c r="W827" s="88">
        <f t="shared" si="179"/>
        <v>60</v>
      </c>
      <c r="X827" s="88">
        <f t="shared" si="179"/>
        <v>48</v>
      </c>
      <c r="Y827" s="88">
        <f t="shared" si="179"/>
        <v>52</v>
      </c>
      <c r="Z827" s="88">
        <f t="shared" si="179"/>
        <v>64</v>
      </c>
      <c r="AA827" s="88">
        <f t="shared" si="179"/>
        <v>50</v>
      </c>
      <c r="AB827" s="88">
        <f t="shared" si="179"/>
        <v>28</v>
      </c>
      <c r="AC827" s="88">
        <f t="shared" si="179"/>
        <v>0</v>
      </c>
      <c r="AD827" s="53" t="e">
        <f>#REF!*D827</f>
        <v>#REF!</v>
      </c>
      <c r="AE827" s="53" t="e">
        <f>AD827-#REF!</f>
        <v>#REF!</v>
      </c>
      <c r="AF827" s="8"/>
      <c r="AG827" s="33" t="e">
        <f>#REF!-D827</f>
        <v>#REF!</v>
      </c>
      <c r="AH827" s="8"/>
      <c r="AI827" s="8"/>
      <c r="AJ827" s="8"/>
      <c r="AK827" s="8"/>
    </row>
    <row r="828" spans="1:37" s="17" customFormat="1" ht="30.6" outlineLevel="1" x14ac:dyDescent="0.2">
      <c r="A828" s="61" t="s">
        <v>1210</v>
      </c>
      <c r="B828" s="14" t="s">
        <v>1066</v>
      </c>
      <c r="C828" s="9" t="s">
        <v>48</v>
      </c>
      <c r="D828" s="25">
        <f t="shared" si="172"/>
        <v>2352</v>
      </c>
      <c r="E828" s="54"/>
      <c r="F828" s="9"/>
      <c r="G828" s="9">
        <v>0</v>
      </c>
      <c r="H828" s="9">
        <v>0</v>
      </c>
      <c r="I828" s="9">
        <v>366</v>
      </c>
      <c r="J828" s="9">
        <v>348</v>
      </c>
      <c r="K828" s="9">
        <v>495</v>
      </c>
      <c r="L828" s="9">
        <v>285</v>
      </c>
      <c r="M828" s="9">
        <f>144</f>
        <v>144</v>
      </c>
      <c r="N828" s="9">
        <v>144</v>
      </c>
      <c r="O828" s="9">
        <v>132</v>
      </c>
      <c r="P828" s="9">
        <v>201</v>
      </c>
      <c r="Q828" s="9">
        <v>159</v>
      </c>
      <c r="R828" s="9">
        <v>78</v>
      </c>
      <c r="S828" s="9">
        <v>0</v>
      </c>
      <c r="T828" s="9">
        <v>0</v>
      </c>
      <c r="U828" s="9">
        <v>0</v>
      </c>
      <c r="V828" s="9">
        <v>0</v>
      </c>
      <c r="W828" s="9">
        <v>0</v>
      </c>
      <c r="X828" s="9">
        <v>0</v>
      </c>
      <c r="Y828" s="9">
        <v>0</v>
      </c>
      <c r="Z828" s="9">
        <v>0</v>
      </c>
      <c r="AA828" s="9">
        <v>0</v>
      </c>
      <c r="AB828" s="9">
        <v>0</v>
      </c>
      <c r="AC828" s="9">
        <v>0</v>
      </c>
      <c r="AD828" s="53" t="e">
        <f>#REF!*D828</f>
        <v>#REF!</v>
      </c>
      <c r="AE828" s="53" t="e">
        <f>AD828-#REF!</f>
        <v>#REF!</v>
      </c>
      <c r="AF828" s="8"/>
      <c r="AG828" s="33" t="e">
        <f>#REF!-D828</f>
        <v>#REF!</v>
      </c>
      <c r="AH828" s="8"/>
      <c r="AI828" s="8"/>
      <c r="AJ828" s="8"/>
      <c r="AK828" s="8"/>
    </row>
    <row r="829" spans="1:37" s="17" customFormat="1" ht="36" customHeight="1" outlineLevel="1" x14ac:dyDescent="0.2">
      <c r="A829" s="61" t="s">
        <v>1211</v>
      </c>
      <c r="B829" s="47" t="s">
        <v>394</v>
      </c>
      <c r="C829" s="9" t="s">
        <v>48</v>
      </c>
      <c r="D829" s="25">
        <f t="shared" si="172"/>
        <v>2352</v>
      </c>
      <c r="E829" s="54"/>
      <c r="F829" s="9"/>
      <c r="G829" s="49">
        <f t="shared" ref="G829:AC829" si="180">G828</f>
        <v>0</v>
      </c>
      <c r="H829" s="49">
        <f t="shared" si="180"/>
        <v>0</v>
      </c>
      <c r="I829" s="49">
        <f t="shared" si="180"/>
        <v>366</v>
      </c>
      <c r="J829" s="49">
        <f t="shared" si="180"/>
        <v>348</v>
      </c>
      <c r="K829" s="49">
        <f t="shared" si="180"/>
        <v>495</v>
      </c>
      <c r="L829" s="49">
        <f t="shared" si="180"/>
        <v>285</v>
      </c>
      <c r="M829" s="49">
        <f t="shared" si="180"/>
        <v>144</v>
      </c>
      <c r="N829" s="49">
        <f t="shared" si="180"/>
        <v>144</v>
      </c>
      <c r="O829" s="49">
        <f t="shared" si="180"/>
        <v>132</v>
      </c>
      <c r="P829" s="49">
        <f t="shared" si="180"/>
        <v>201</v>
      </c>
      <c r="Q829" s="49">
        <f t="shared" si="180"/>
        <v>159</v>
      </c>
      <c r="R829" s="49">
        <f t="shared" si="180"/>
        <v>78</v>
      </c>
      <c r="S829" s="49">
        <f t="shared" si="180"/>
        <v>0</v>
      </c>
      <c r="T829" s="49">
        <f t="shared" si="180"/>
        <v>0</v>
      </c>
      <c r="U829" s="49">
        <f t="shared" si="180"/>
        <v>0</v>
      </c>
      <c r="V829" s="49">
        <f t="shared" si="180"/>
        <v>0</v>
      </c>
      <c r="W829" s="49">
        <f t="shared" si="180"/>
        <v>0</v>
      </c>
      <c r="X829" s="49">
        <f t="shared" si="180"/>
        <v>0</v>
      </c>
      <c r="Y829" s="49">
        <f t="shared" si="180"/>
        <v>0</v>
      </c>
      <c r="Z829" s="49">
        <f t="shared" si="180"/>
        <v>0</v>
      </c>
      <c r="AA829" s="49">
        <f t="shared" si="180"/>
        <v>0</v>
      </c>
      <c r="AB829" s="49">
        <f t="shared" si="180"/>
        <v>0</v>
      </c>
      <c r="AC829" s="49">
        <f t="shared" si="180"/>
        <v>0</v>
      </c>
      <c r="AD829" s="53" t="e">
        <f>#REF!*D829</f>
        <v>#REF!</v>
      </c>
      <c r="AE829" s="53" t="e">
        <f>AD829-#REF!</f>
        <v>#REF!</v>
      </c>
      <c r="AF829" s="8"/>
      <c r="AG829" s="33" t="e">
        <f>#REF!-D829</f>
        <v>#REF!</v>
      </c>
      <c r="AH829" s="8"/>
      <c r="AI829" s="8"/>
      <c r="AJ829" s="8"/>
      <c r="AK829" s="8"/>
    </row>
    <row r="830" spans="1:37" s="17" customFormat="1" ht="30.6" outlineLevel="1" x14ac:dyDescent="0.2">
      <c r="A830" s="61" t="s">
        <v>1212</v>
      </c>
      <c r="B830" s="14" t="s">
        <v>2492</v>
      </c>
      <c r="C830" s="9" t="s">
        <v>48</v>
      </c>
      <c r="D830" s="25">
        <f t="shared" si="172"/>
        <v>2352</v>
      </c>
      <c r="E830" s="54"/>
      <c r="F830" s="9"/>
      <c r="G830" s="49">
        <f t="shared" ref="G830:AC830" si="181">G828</f>
        <v>0</v>
      </c>
      <c r="H830" s="49">
        <f t="shared" si="181"/>
        <v>0</v>
      </c>
      <c r="I830" s="49">
        <f t="shared" si="181"/>
        <v>366</v>
      </c>
      <c r="J830" s="49">
        <f t="shared" si="181"/>
        <v>348</v>
      </c>
      <c r="K830" s="49">
        <f t="shared" si="181"/>
        <v>495</v>
      </c>
      <c r="L830" s="49">
        <f t="shared" si="181"/>
        <v>285</v>
      </c>
      <c r="M830" s="49">
        <f t="shared" si="181"/>
        <v>144</v>
      </c>
      <c r="N830" s="49">
        <f t="shared" si="181"/>
        <v>144</v>
      </c>
      <c r="O830" s="49">
        <f t="shared" si="181"/>
        <v>132</v>
      </c>
      <c r="P830" s="49">
        <f t="shared" si="181"/>
        <v>201</v>
      </c>
      <c r="Q830" s="49">
        <f t="shared" si="181"/>
        <v>159</v>
      </c>
      <c r="R830" s="49">
        <f t="shared" si="181"/>
        <v>78</v>
      </c>
      <c r="S830" s="49">
        <f t="shared" si="181"/>
        <v>0</v>
      </c>
      <c r="T830" s="49">
        <f t="shared" si="181"/>
        <v>0</v>
      </c>
      <c r="U830" s="49">
        <f t="shared" si="181"/>
        <v>0</v>
      </c>
      <c r="V830" s="49">
        <f t="shared" si="181"/>
        <v>0</v>
      </c>
      <c r="W830" s="49">
        <f t="shared" si="181"/>
        <v>0</v>
      </c>
      <c r="X830" s="49">
        <f t="shared" si="181"/>
        <v>0</v>
      </c>
      <c r="Y830" s="49">
        <f t="shared" si="181"/>
        <v>0</v>
      </c>
      <c r="Z830" s="49">
        <f t="shared" si="181"/>
        <v>0</v>
      </c>
      <c r="AA830" s="49">
        <f t="shared" si="181"/>
        <v>0</v>
      </c>
      <c r="AB830" s="49">
        <f t="shared" si="181"/>
        <v>0</v>
      </c>
      <c r="AC830" s="49">
        <f t="shared" si="181"/>
        <v>0</v>
      </c>
      <c r="AD830" s="53" t="e">
        <f>#REF!*D830</f>
        <v>#REF!</v>
      </c>
      <c r="AE830" s="53" t="e">
        <f>AD830-#REF!</f>
        <v>#REF!</v>
      </c>
      <c r="AF830" s="8"/>
      <c r="AG830" s="33" t="e">
        <f>#REF!-D830</f>
        <v>#REF!</v>
      </c>
      <c r="AH830" s="8"/>
      <c r="AI830" s="8"/>
      <c r="AJ830" s="8"/>
      <c r="AK830" s="8"/>
    </row>
    <row r="831" spans="1:37" s="17" customFormat="1" ht="30.6" outlineLevel="1" x14ac:dyDescent="0.2">
      <c r="A831" s="61" t="s">
        <v>1213</v>
      </c>
      <c r="B831" s="14" t="s">
        <v>396</v>
      </c>
      <c r="C831" s="8" t="s">
        <v>47</v>
      </c>
      <c r="D831" s="25">
        <f t="shared" si="172"/>
        <v>67</v>
      </c>
      <c r="E831" s="54"/>
      <c r="F831" s="9"/>
      <c r="G831" s="9">
        <v>0</v>
      </c>
      <c r="H831" s="9">
        <v>0</v>
      </c>
      <c r="I831" s="9">
        <v>12</v>
      </c>
      <c r="J831" s="9">
        <v>5</v>
      </c>
      <c r="K831" s="9">
        <v>7</v>
      </c>
      <c r="L831" s="9">
        <v>10</v>
      </c>
      <c r="M831" s="9">
        <v>5</v>
      </c>
      <c r="N831" s="9">
        <v>5</v>
      </c>
      <c r="O831" s="9">
        <v>3</v>
      </c>
      <c r="P831" s="9">
        <v>4</v>
      </c>
      <c r="Q831" s="9">
        <v>5</v>
      </c>
      <c r="R831" s="9">
        <v>6</v>
      </c>
      <c r="S831" s="9">
        <v>0</v>
      </c>
      <c r="T831" s="9">
        <v>0</v>
      </c>
      <c r="U831" s="9">
        <v>0</v>
      </c>
      <c r="V831" s="9">
        <v>0</v>
      </c>
      <c r="W831" s="9">
        <v>5</v>
      </c>
      <c r="X831" s="9">
        <v>0</v>
      </c>
      <c r="Y831" s="9">
        <v>0</v>
      </c>
      <c r="Z831" s="9">
        <v>0</v>
      </c>
      <c r="AA831" s="9">
        <v>0</v>
      </c>
      <c r="AB831" s="9">
        <v>0</v>
      </c>
      <c r="AC831" s="9">
        <v>0</v>
      </c>
      <c r="AD831" s="53" t="e">
        <f>#REF!*D831</f>
        <v>#REF!</v>
      </c>
      <c r="AE831" s="53" t="e">
        <f>AD831-#REF!</f>
        <v>#REF!</v>
      </c>
      <c r="AF831" s="8"/>
      <c r="AG831" s="33" t="e">
        <f>#REF!-D831</f>
        <v>#REF!</v>
      </c>
      <c r="AH831" s="8"/>
      <c r="AI831" s="8"/>
      <c r="AJ831" s="8"/>
      <c r="AK831" s="8"/>
    </row>
    <row r="832" spans="1:37" s="17" customFormat="1" ht="30.6" outlineLevel="1" x14ac:dyDescent="0.2">
      <c r="A832" s="61" t="s">
        <v>1214</v>
      </c>
      <c r="B832" s="14" t="s">
        <v>398</v>
      </c>
      <c r="C832" s="8" t="s">
        <v>47</v>
      </c>
      <c r="D832" s="25">
        <f t="shared" si="172"/>
        <v>22</v>
      </c>
      <c r="E832" s="54"/>
      <c r="F832" s="9"/>
      <c r="G832" s="9">
        <v>0</v>
      </c>
      <c r="H832" s="9">
        <v>0</v>
      </c>
      <c r="I832" s="9">
        <v>2</v>
      </c>
      <c r="J832" s="9">
        <v>2</v>
      </c>
      <c r="K832" s="9">
        <v>2</v>
      </c>
      <c r="L832" s="9">
        <v>2</v>
      </c>
      <c r="M832" s="9">
        <v>2</v>
      </c>
      <c r="N832" s="9">
        <v>2</v>
      </c>
      <c r="O832" s="9">
        <v>2</v>
      </c>
      <c r="P832" s="9">
        <v>2</v>
      </c>
      <c r="Q832" s="9">
        <v>2</v>
      </c>
      <c r="R832" s="9">
        <v>2</v>
      </c>
      <c r="S832" s="9">
        <v>0</v>
      </c>
      <c r="T832" s="9">
        <v>0</v>
      </c>
      <c r="U832" s="9">
        <v>0</v>
      </c>
      <c r="V832" s="9">
        <v>0</v>
      </c>
      <c r="W832" s="9">
        <v>2</v>
      </c>
      <c r="X832" s="9">
        <v>0</v>
      </c>
      <c r="Y832" s="9">
        <v>0</v>
      </c>
      <c r="Z832" s="9">
        <v>0</v>
      </c>
      <c r="AA832" s="9">
        <v>0</v>
      </c>
      <c r="AB832" s="9">
        <v>0</v>
      </c>
      <c r="AC832" s="9">
        <v>0</v>
      </c>
      <c r="AD832" s="53" t="e">
        <f>#REF!*D832</f>
        <v>#REF!</v>
      </c>
      <c r="AE832" s="53" t="e">
        <f>AD832-#REF!</f>
        <v>#REF!</v>
      </c>
      <c r="AF832" s="8"/>
      <c r="AG832" s="33" t="e">
        <f>#REF!-D832</f>
        <v>#REF!</v>
      </c>
      <c r="AH832" s="8"/>
      <c r="AI832" s="8"/>
      <c r="AJ832" s="8"/>
      <c r="AK832" s="8"/>
    </row>
    <row r="833" spans="1:37" s="17" customFormat="1" ht="30.6" outlineLevel="1" x14ac:dyDescent="0.2">
      <c r="A833" s="61" t="s">
        <v>1215</v>
      </c>
      <c r="B833" s="14" t="s">
        <v>400</v>
      </c>
      <c r="C833" s="8" t="s">
        <v>47</v>
      </c>
      <c r="D833" s="25">
        <f t="shared" si="172"/>
        <v>391</v>
      </c>
      <c r="E833" s="54"/>
      <c r="F833" s="9"/>
      <c r="G833" s="9">
        <v>0</v>
      </c>
      <c r="H833" s="9">
        <v>0</v>
      </c>
      <c r="I833" s="9">
        <v>54</v>
      </c>
      <c r="J833" s="9">
        <v>47</v>
      </c>
      <c r="K833" s="9">
        <v>47</v>
      </c>
      <c r="L833" s="9">
        <f>47+9</f>
        <v>56</v>
      </c>
      <c r="M833" s="9">
        <v>30</v>
      </c>
      <c r="N833" s="9">
        <v>30</v>
      </c>
      <c r="O833" s="9">
        <v>30</v>
      </c>
      <c r="P833" s="9">
        <v>16</v>
      </c>
      <c r="Q833" s="9">
        <v>25</v>
      </c>
      <c r="R833" s="9">
        <v>9</v>
      </c>
      <c r="S833" s="9">
        <v>0</v>
      </c>
      <c r="T833" s="9">
        <v>0</v>
      </c>
      <c r="U833" s="9">
        <v>0</v>
      </c>
      <c r="V833" s="9">
        <v>0</v>
      </c>
      <c r="W833" s="9">
        <v>47</v>
      </c>
      <c r="X833" s="9">
        <v>0</v>
      </c>
      <c r="Y833" s="9">
        <v>0</v>
      </c>
      <c r="Z833" s="9">
        <v>0</v>
      </c>
      <c r="AA833" s="9">
        <v>0</v>
      </c>
      <c r="AB833" s="9">
        <v>0</v>
      </c>
      <c r="AC833" s="9">
        <v>0</v>
      </c>
      <c r="AD833" s="53" t="e">
        <f>#REF!*D833</f>
        <v>#REF!</v>
      </c>
      <c r="AE833" s="53" t="e">
        <f>AD833-#REF!</f>
        <v>#REF!</v>
      </c>
      <c r="AF833" s="8"/>
      <c r="AG833" s="33" t="e">
        <f>#REF!-D833</f>
        <v>#REF!</v>
      </c>
      <c r="AH833" s="8"/>
      <c r="AI833" s="8"/>
      <c r="AJ833" s="8"/>
      <c r="AK833" s="8"/>
    </row>
    <row r="834" spans="1:37" s="17" customFormat="1" ht="30.6" outlineLevel="1" x14ac:dyDescent="0.2">
      <c r="A834" s="61" t="s">
        <v>1216</v>
      </c>
      <c r="B834" s="14" t="s">
        <v>2493</v>
      </c>
      <c r="C834" s="8" t="s">
        <v>47</v>
      </c>
      <c r="D834" s="25">
        <f t="shared" si="172"/>
        <v>1</v>
      </c>
      <c r="E834" s="54"/>
      <c r="F834" s="9"/>
      <c r="G834" s="9">
        <v>0</v>
      </c>
      <c r="H834" s="9">
        <v>0</v>
      </c>
      <c r="I834" s="9">
        <v>0</v>
      </c>
      <c r="J834" s="9">
        <v>0</v>
      </c>
      <c r="K834" s="9">
        <v>0</v>
      </c>
      <c r="L834" s="9">
        <v>0</v>
      </c>
      <c r="M834" s="9">
        <v>0</v>
      </c>
      <c r="N834" s="9">
        <v>0</v>
      </c>
      <c r="O834" s="9">
        <v>0</v>
      </c>
      <c r="P834" s="9">
        <v>1</v>
      </c>
      <c r="Q834" s="9">
        <v>0</v>
      </c>
      <c r="R834" s="9">
        <v>0</v>
      </c>
      <c r="S834" s="9">
        <v>0</v>
      </c>
      <c r="T834" s="9">
        <v>0</v>
      </c>
      <c r="U834" s="9">
        <v>0</v>
      </c>
      <c r="V834" s="9">
        <v>0</v>
      </c>
      <c r="W834" s="9">
        <v>0</v>
      </c>
      <c r="X834" s="9">
        <v>0</v>
      </c>
      <c r="Y834" s="9">
        <v>0</v>
      </c>
      <c r="Z834" s="9">
        <v>0</v>
      </c>
      <c r="AA834" s="9">
        <v>0</v>
      </c>
      <c r="AB834" s="9">
        <v>0</v>
      </c>
      <c r="AC834" s="9">
        <v>0</v>
      </c>
      <c r="AD834" s="53" t="e">
        <f>#REF!*D834</f>
        <v>#REF!</v>
      </c>
      <c r="AE834" s="53" t="e">
        <f>AD834-#REF!</f>
        <v>#REF!</v>
      </c>
      <c r="AF834" s="8"/>
      <c r="AG834" s="33" t="e">
        <f>#REF!-D834</f>
        <v>#REF!</v>
      </c>
      <c r="AH834" s="8"/>
      <c r="AI834" s="8"/>
      <c r="AJ834" s="8"/>
      <c r="AK834" s="8"/>
    </row>
    <row r="835" spans="1:37" s="17" customFormat="1" ht="30.6" outlineLevel="1" x14ac:dyDescent="0.2">
      <c r="A835" s="61" t="s">
        <v>1217</v>
      </c>
      <c r="B835" s="14" t="s">
        <v>2494</v>
      </c>
      <c r="C835" s="8" t="s">
        <v>47</v>
      </c>
      <c r="D835" s="25">
        <f t="shared" si="172"/>
        <v>289</v>
      </c>
      <c r="E835" s="54"/>
      <c r="F835" s="9"/>
      <c r="G835" s="9">
        <v>0</v>
      </c>
      <c r="H835" s="9">
        <v>0</v>
      </c>
      <c r="I835" s="9">
        <v>36</v>
      </c>
      <c r="J835" s="9">
        <v>33</v>
      </c>
      <c r="K835" s="9">
        <v>29</v>
      </c>
      <c r="L835" s="9">
        <v>47</v>
      </c>
      <c r="M835" s="9">
        <v>26</v>
      </c>
      <c r="N835" s="9">
        <v>26</v>
      </c>
      <c r="O835" s="9">
        <v>26</v>
      </c>
      <c r="P835" s="9">
        <v>8</v>
      </c>
      <c r="Q835" s="9">
        <v>18</v>
      </c>
      <c r="R835" s="9">
        <v>7</v>
      </c>
      <c r="S835" s="9">
        <v>0</v>
      </c>
      <c r="T835" s="9">
        <v>0</v>
      </c>
      <c r="U835" s="9">
        <v>0</v>
      </c>
      <c r="V835" s="9">
        <v>0</v>
      </c>
      <c r="W835" s="9">
        <v>33</v>
      </c>
      <c r="X835" s="9">
        <v>0</v>
      </c>
      <c r="Y835" s="9">
        <v>0</v>
      </c>
      <c r="Z835" s="9">
        <v>0</v>
      </c>
      <c r="AA835" s="9">
        <v>0</v>
      </c>
      <c r="AB835" s="9">
        <v>0</v>
      </c>
      <c r="AC835" s="9">
        <v>0</v>
      </c>
      <c r="AD835" s="53" t="e">
        <f>#REF!*D835</f>
        <v>#REF!</v>
      </c>
      <c r="AE835" s="53" t="e">
        <f>AD835-#REF!</f>
        <v>#REF!</v>
      </c>
      <c r="AF835" s="8"/>
      <c r="AG835" s="33" t="e">
        <f>#REF!-D835</f>
        <v>#REF!</v>
      </c>
      <c r="AH835" s="8"/>
      <c r="AI835" s="8"/>
      <c r="AJ835" s="8"/>
      <c r="AK835" s="8"/>
    </row>
    <row r="836" spans="1:37" s="17" customFormat="1" ht="30.6" outlineLevel="1" x14ac:dyDescent="0.2">
      <c r="A836" s="61" t="s">
        <v>1218</v>
      </c>
      <c r="B836" s="14" t="s">
        <v>401</v>
      </c>
      <c r="C836" s="8" t="s">
        <v>47</v>
      </c>
      <c r="D836" s="25">
        <f t="shared" si="172"/>
        <v>22</v>
      </c>
      <c r="E836" s="54"/>
      <c r="F836" s="9"/>
      <c r="G836" s="9">
        <v>0</v>
      </c>
      <c r="H836" s="9">
        <v>0</v>
      </c>
      <c r="I836" s="9">
        <v>2</v>
      </c>
      <c r="J836" s="9">
        <v>2</v>
      </c>
      <c r="K836" s="9">
        <v>2</v>
      </c>
      <c r="L836" s="9">
        <v>2</v>
      </c>
      <c r="M836" s="9">
        <v>2</v>
      </c>
      <c r="N836" s="9">
        <v>2</v>
      </c>
      <c r="O836" s="9">
        <v>2</v>
      </c>
      <c r="P836" s="9">
        <v>2</v>
      </c>
      <c r="Q836" s="9">
        <v>2</v>
      </c>
      <c r="R836" s="9">
        <v>2</v>
      </c>
      <c r="S836" s="9">
        <v>0</v>
      </c>
      <c r="T836" s="9">
        <v>0</v>
      </c>
      <c r="U836" s="9">
        <v>0</v>
      </c>
      <c r="V836" s="9">
        <v>0</v>
      </c>
      <c r="W836" s="9">
        <v>2</v>
      </c>
      <c r="X836" s="9">
        <v>0</v>
      </c>
      <c r="Y836" s="9">
        <v>0</v>
      </c>
      <c r="Z836" s="9">
        <v>0</v>
      </c>
      <c r="AA836" s="9">
        <v>0</v>
      </c>
      <c r="AB836" s="9">
        <v>0</v>
      </c>
      <c r="AC836" s="9">
        <v>0</v>
      </c>
      <c r="AD836" s="53" t="e">
        <f>#REF!*D836</f>
        <v>#REF!</v>
      </c>
      <c r="AE836" s="53" t="e">
        <f>AD836-#REF!</f>
        <v>#REF!</v>
      </c>
      <c r="AF836" s="8"/>
      <c r="AG836" s="33" t="e">
        <f>#REF!-D836</f>
        <v>#REF!</v>
      </c>
      <c r="AH836" s="8"/>
      <c r="AI836" s="8"/>
      <c r="AJ836" s="8"/>
      <c r="AK836" s="8"/>
    </row>
    <row r="837" spans="1:37" s="17" customFormat="1" ht="40.799999999999997" outlineLevel="1" x14ac:dyDescent="0.2">
      <c r="A837" s="61" t="s">
        <v>1219</v>
      </c>
      <c r="B837" s="14" t="s">
        <v>423</v>
      </c>
      <c r="C837" s="8" t="s">
        <v>47</v>
      </c>
      <c r="D837" s="25">
        <f t="shared" si="172"/>
        <v>1568</v>
      </c>
      <c r="E837" s="54"/>
      <c r="F837" s="9"/>
      <c r="G837" s="88">
        <f t="shared" ref="G837:AC837" si="182">G828/1.5</f>
        <v>0</v>
      </c>
      <c r="H837" s="88">
        <f t="shared" si="182"/>
        <v>0</v>
      </c>
      <c r="I837" s="88">
        <f t="shared" si="182"/>
        <v>244</v>
      </c>
      <c r="J837" s="88">
        <f t="shared" si="182"/>
        <v>232</v>
      </c>
      <c r="K837" s="88">
        <f t="shared" si="182"/>
        <v>330</v>
      </c>
      <c r="L837" s="88">
        <f t="shared" si="182"/>
        <v>190</v>
      </c>
      <c r="M837" s="88">
        <f t="shared" si="182"/>
        <v>96</v>
      </c>
      <c r="N837" s="88">
        <f t="shared" si="182"/>
        <v>96</v>
      </c>
      <c r="O837" s="88">
        <f t="shared" si="182"/>
        <v>88</v>
      </c>
      <c r="P837" s="88">
        <f t="shared" si="182"/>
        <v>134</v>
      </c>
      <c r="Q837" s="88">
        <f t="shared" si="182"/>
        <v>106</v>
      </c>
      <c r="R837" s="88">
        <f t="shared" si="182"/>
        <v>52</v>
      </c>
      <c r="S837" s="88">
        <f t="shared" si="182"/>
        <v>0</v>
      </c>
      <c r="T837" s="88">
        <f t="shared" si="182"/>
        <v>0</v>
      </c>
      <c r="U837" s="88">
        <f t="shared" si="182"/>
        <v>0</v>
      </c>
      <c r="V837" s="88">
        <f t="shared" si="182"/>
        <v>0</v>
      </c>
      <c r="W837" s="88">
        <f t="shared" si="182"/>
        <v>0</v>
      </c>
      <c r="X837" s="88">
        <f t="shared" si="182"/>
        <v>0</v>
      </c>
      <c r="Y837" s="88">
        <f t="shared" si="182"/>
        <v>0</v>
      </c>
      <c r="Z837" s="88">
        <f t="shared" si="182"/>
        <v>0</v>
      </c>
      <c r="AA837" s="88">
        <f t="shared" si="182"/>
        <v>0</v>
      </c>
      <c r="AB837" s="88">
        <f t="shared" si="182"/>
        <v>0</v>
      </c>
      <c r="AC837" s="88">
        <f t="shared" si="182"/>
        <v>0</v>
      </c>
      <c r="AD837" s="53" t="e">
        <f>#REF!*D837</f>
        <v>#REF!</v>
      </c>
      <c r="AE837" s="53" t="e">
        <f>AD837-#REF!</f>
        <v>#REF!</v>
      </c>
      <c r="AF837" s="8"/>
      <c r="AG837" s="33" t="e">
        <f>#REF!-D837</f>
        <v>#REF!</v>
      </c>
      <c r="AH837" s="8"/>
      <c r="AI837" s="8"/>
      <c r="AJ837" s="8"/>
      <c r="AK837" s="8"/>
    </row>
    <row r="838" spans="1:37" s="17" customFormat="1" ht="30.6" outlineLevel="1" x14ac:dyDescent="0.2">
      <c r="A838" s="61" t="s">
        <v>1220</v>
      </c>
      <c r="B838" s="14" t="s">
        <v>1235</v>
      </c>
      <c r="C838" s="9" t="s">
        <v>48</v>
      </c>
      <c r="D838" s="25">
        <f t="shared" si="172"/>
        <v>396</v>
      </c>
      <c r="E838" s="54"/>
      <c r="F838" s="9"/>
      <c r="G838" s="9">
        <v>0</v>
      </c>
      <c r="H838" s="9">
        <v>318</v>
      </c>
      <c r="I838" s="9">
        <v>0</v>
      </c>
      <c r="J838" s="9">
        <v>0</v>
      </c>
      <c r="K838" s="9">
        <v>0</v>
      </c>
      <c r="L838" s="9">
        <v>0</v>
      </c>
      <c r="M838" s="9">
        <v>0</v>
      </c>
      <c r="N838" s="9">
        <v>0</v>
      </c>
      <c r="O838" s="9">
        <v>0</v>
      </c>
      <c r="P838" s="9">
        <v>0</v>
      </c>
      <c r="Q838" s="9">
        <v>0</v>
      </c>
      <c r="R838" s="9">
        <v>0</v>
      </c>
      <c r="S838" s="9">
        <v>0</v>
      </c>
      <c r="T838" s="9">
        <f>78</f>
        <v>78</v>
      </c>
      <c r="U838" s="9">
        <v>0</v>
      </c>
      <c r="V838" s="9">
        <v>0</v>
      </c>
      <c r="W838" s="9">
        <v>0</v>
      </c>
      <c r="X838" s="9">
        <v>0</v>
      </c>
      <c r="Y838" s="9">
        <v>0</v>
      </c>
      <c r="Z838" s="9">
        <v>0</v>
      </c>
      <c r="AA838" s="9">
        <v>0</v>
      </c>
      <c r="AB838" s="9">
        <v>0</v>
      </c>
      <c r="AC838" s="9">
        <v>0</v>
      </c>
      <c r="AD838" s="53" t="e">
        <f>#REF!*D838</f>
        <v>#REF!</v>
      </c>
      <c r="AE838" s="53" t="e">
        <f>AD838-#REF!</f>
        <v>#REF!</v>
      </c>
      <c r="AF838" s="8"/>
      <c r="AG838" s="33" t="e">
        <f>#REF!-D838</f>
        <v>#REF!</v>
      </c>
      <c r="AH838" s="8"/>
      <c r="AI838" s="8"/>
      <c r="AJ838" s="8"/>
      <c r="AK838" s="8"/>
    </row>
    <row r="839" spans="1:37" s="17" customFormat="1" ht="31.5" customHeight="1" outlineLevel="1" x14ac:dyDescent="0.2">
      <c r="A839" s="61" t="s">
        <v>1221</v>
      </c>
      <c r="B839" s="47" t="s">
        <v>1181</v>
      </c>
      <c r="C839" s="9" t="s">
        <v>48</v>
      </c>
      <c r="D839" s="25">
        <f t="shared" si="172"/>
        <v>396</v>
      </c>
      <c r="E839" s="54"/>
      <c r="F839" s="9"/>
      <c r="G839" s="49">
        <f t="shared" ref="G839:AC839" si="183">G838</f>
        <v>0</v>
      </c>
      <c r="H839" s="49">
        <f t="shared" si="183"/>
        <v>318</v>
      </c>
      <c r="I839" s="49">
        <f t="shared" si="183"/>
        <v>0</v>
      </c>
      <c r="J839" s="49">
        <f t="shared" si="183"/>
        <v>0</v>
      </c>
      <c r="K839" s="49">
        <f t="shared" si="183"/>
        <v>0</v>
      </c>
      <c r="L839" s="49">
        <f t="shared" si="183"/>
        <v>0</v>
      </c>
      <c r="M839" s="49">
        <f t="shared" si="183"/>
        <v>0</v>
      </c>
      <c r="N839" s="49">
        <f t="shared" si="183"/>
        <v>0</v>
      </c>
      <c r="O839" s="49">
        <f t="shared" si="183"/>
        <v>0</v>
      </c>
      <c r="P839" s="49">
        <f t="shared" si="183"/>
        <v>0</v>
      </c>
      <c r="Q839" s="49">
        <f t="shared" si="183"/>
        <v>0</v>
      </c>
      <c r="R839" s="49">
        <f t="shared" si="183"/>
        <v>0</v>
      </c>
      <c r="S839" s="49">
        <f t="shared" si="183"/>
        <v>0</v>
      </c>
      <c r="T839" s="49">
        <f t="shared" si="183"/>
        <v>78</v>
      </c>
      <c r="U839" s="49">
        <f t="shared" si="183"/>
        <v>0</v>
      </c>
      <c r="V839" s="49">
        <f t="shared" si="183"/>
        <v>0</v>
      </c>
      <c r="W839" s="49">
        <f t="shared" si="183"/>
        <v>0</v>
      </c>
      <c r="X839" s="49">
        <f t="shared" si="183"/>
        <v>0</v>
      </c>
      <c r="Y839" s="49">
        <f t="shared" si="183"/>
        <v>0</v>
      </c>
      <c r="Z839" s="49">
        <f t="shared" si="183"/>
        <v>0</v>
      </c>
      <c r="AA839" s="49">
        <f t="shared" si="183"/>
        <v>0</v>
      </c>
      <c r="AB839" s="49">
        <f t="shared" si="183"/>
        <v>0</v>
      </c>
      <c r="AC839" s="49">
        <f t="shared" si="183"/>
        <v>0</v>
      </c>
      <c r="AD839" s="53" t="e">
        <f>#REF!*D839</f>
        <v>#REF!</v>
      </c>
      <c r="AE839" s="53" t="e">
        <f>AD839-#REF!</f>
        <v>#REF!</v>
      </c>
      <c r="AF839" s="8"/>
      <c r="AG839" s="33" t="e">
        <f>#REF!-D839</f>
        <v>#REF!</v>
      </c>
      <c r="AH839" s="8"/>
      <c r="AI839" s="8"/>
      <c r="AJ839" s="8"/>
      <c r="AK839" s="8"/>
    </row>
    <row r="840" spans="1:37" s="17" customFormat="1" ht="30.6" outlineLevel="1" x14ac:dyDescent="0.2">
      <c r="A840" s="61" t="s">
        <v>1222</v>
      </c>
      <c r="B840" s="14" t="s">
        <v>2492</v>
      </c>
      <c r="C840" s="9" t="s">
        <v>48</v>
      </c>
      <c r="D840" s="25">
        <f t="shared" si="172"/>
        <v>396</v>
      </c>
      <c r="E840" s="54"/>
      <c r="F840" s="9"/>
      <c r="G840" s="49">
        <f t="shared" ref="G840:AC840" si="184">G838</f>
        <v>0</v>
      </c>
      <c r="H840" s="49">
        <f t="shared" si="184"/>
        <v>318</v>
      </c>
      <c r="I840" s="49">
        <f t="shared" si="184"/>
        <v>0</v>
      </c>
      <c r="J840" s="49">
        <f t="shared" si="184"/>
        <v>0</v>
      </c>
      <c r="K840" s="49">
        <f t="shared" si="184"/>
        <v>0</v>
      </c>
      <c r="L840" s="49">
        <f t="shared" si="184"/>
        <v>0</v>
      </c>
      <c r="M840" s="49">
        <f t="shared" si="184"/>
        <v>0</v>
      </c>
      <c r="N840" s="49">
        <f t="shared" si="184"/>
        <v>0</v>
      </c>
      <c r="O840" s="49">
        <f t="shared" si="184"/>
        <v>0</v>
      </c>
      <c r="P840" s="49">
        <f t="shared" si="184"/>
        <v>0</v>
      </c>
      <c r="Q840" s="49">
        <f t="shared" si="184"/>
        <v>0</v>
      </c>
      <c r="R840" s="49">
        <f t="shared" si="184"/>
        <v>0</v>
      </c>
      <c r="S840" s="49">
        <f t="shared" si="184"/>
        <v>0</v>
      </c>
      <c r="T840" s="49">
        <f t="shared" si="184"/>
        <v>78</v>
      </c>
      <c r="U840" s="49">
        <f t="shared" si="184"/>
        <v>0</v>
      </c>
      <c r="V840" s="49">
        <f t="shared" si="184"/>
        <v>0</v>
      </c>
      <c r="W840" s="49">
        <f t="shared" si="184"/>
        <v>0</v>
      </c>
      <c r="X840" s="49">
        <f t="shared" si="184"/>
        <v>0</v>
      </c>
      <c r="Y840" s="49">
        <f t="shared" si="184"/>
        <v>0</v>
      </c>
      <c r="Z840" s="49">
        <f t="shared" si="184"/>
        <v>0</v>
      </c>
      <c r="AA840" s="49">
        <f t="shared" si="184"/>
        <v>0</v>
      </c>
      <c r="AB840" s="49">
        <f t="shared" si="184"/>
        <v>0</v>
      </c>
      <c r="AC840" s="49">
        <f t="shared" si="184"/>
        <v>0</v>
      </c>
      <c r="AD840" s="53" t="e">
        <f>#REF!*D840</f>
        <v>#REF!</v>
      </c>
      <c r="AE840" s="53" t="e">
        <f>AD840-#REF!</f>
        <v>#REF!</v>
      </c>
      <c r="AF840" s="8"/>
      <c r="AG840" s="33" t="e">
        <f>#REF!-D840</f>
        <v>#REF!</v>
      </c>
      <c r="AH840" s="8"/>
      <c r="AI840" s="8"/>
      <c r="AJ840" s="8"/>
      <c r="AK840" s="8"/>
    </row>
    <row r="841" spans="1:37" s="17" customFormat="1" ht="30.6" outlineLevel="1" x14ac:dyDescent="0.2">
      <c r="A841" s="61" t="s">
        <v>1223</v>
      </c>
      <c r="B841" s="14" t="s">
        <v>1182</v>
      </c>
      <c r="C841" s="8" t="s">
        <v>47</v>
      </c>
      <c r="D841" s="25">
        <f t="shared" si="172"/>
        <v>10</v>
      </c>
      <c r="E841" s="54"/>
      <c r="F841" s="9"/>
      <c r="G841" s="9">
        <v>0</v>
      </c>
      <c r="H841" s="9">
        <v>6</v>
      </c>
      <c r="I841" s="9">
        <v>0</v>
      </c>
      <c r="J841" s="9">
        <v>0</v>
      </c>
      <c r="K841" s="9">
        <v>0</v>
      </c>
      <c r="L841" s="9">
        <v>0</v>
      </c>
      <c r="M841" s="9">
        <v>0</v>
      </c>
      <c r="N841" s="9">
        <v>0</v>
      </c>
      <c r="O841" s="9">
        <v>0</v>
      </c>
      <c r="P841" s="9">
        <v>0</v>
      </c>
      <c r="Q841" s="9">
        <v>0</v>
      </c>
      <c r="R841" s="9">
        <v>0</v>
      </c>
      <c r="S841" s="9">
        <v>0</v>
      </c>
      <c r="T841" s="9">
        <v>4</v>
      </c>
      <c r="U841" s="9">
        <v>0</v>
      </c>
      <c r="V841" s="9">
        <v>0</v>
      </c>
      <c r="W841" s="9">
        <v>0</v>
      </c>
      <c r="X841" s="9">
        <v>0</v>
      </c>
      <c r="Y841" s="9">
        <v>0</v>
      </c>
      <c r="Z841" s="9">
        <v>0</v>
      </c>
      <c r="AA841" s="9">
        <v>0</v>
      </c>
      <c r="AB841" s="9">
        <v>0</v>
      </c>
      <c r="AC841" s="9">
        <v>0</v>
      </c>
      <c r="AD841" s="53" t="e">
        <f>#REF!*D841</f>
        <v>#REF!</v>
      </c>
      <c r="AE841" s="53" t="e">
        <f>AD841-#REF!</f>
        <v>#REF!</v>
      </c>
      <c r="AF841" s="8"/>
      <c r="AG841" s="33" t="e">
        <f>#REF!-D841</f>
        <v>#REF!</v>
      </c>
      <c r="AH841" s="8"/>
      <c r="AI841" s="8"/>
      <c r="AJ841" s="8"/>
      <c r="AK841" s="8"/>
    </row>
    <row r="842" spans="1:37" s="17" customFormat="1" ht="30.6" outlineLevel="1" x14ac:dyDescent="0.2">
      <c r="A842" s="61" t="s">
        <v>1224</v>
      </c>
      <c r="B842" s="14" t="s">
        <v>1183</v>
      </c>
      <c r="C842" s="8" t="s">
        <v>47</v>
      </c>
      <c r="D842" s="25">
        <f t="shared" si="172"/>
        <v>3</v>
      </c>
      <c r="E842" s="54"/>
      <c r="F842" s="9"/>
      <c r="G842" s="9">
        <v>0</v>
      </c>
      <c r="H842" s="9">
        <v>3</v>
      </c>
      <c r="I842" s="9">
        <v>0</v>
      </c>
      <c r="J842" s="9">
        <v>0</v>
      </c>
      <c r="K842" s="9">
        <v>0</v>
      </c>
      <c r="L842" s="9">
        <v>0</v>
      </c>
      <c r="M842" s="9">
        <v>0</v>
      </c>
      <c r="N842" s="9">
        <v>0</v>
      </c>
      <c r="O842" s="9">
        <v>0</v>
      </c>
      <c r="P842" s="9">
        <v>0</v>
      </c>
      <c r="Q842" s="9">
        <v>0</v>
      </c>
      <c r="R842" s="9">
        <v>0</v>
      </c>
      <c r="S842" s="9">
        <v>0</v>
      </c>
      <c r="T842" s="9">
        <v>0</v>
      </c>
      <c r="U842" s="9">
        <v>0</v>
      </c>
      <c r="V842" s="9">
        <v>0</v>
      </c>
      <c r="W842" s="9">
        <v>0</v>
      </c>
      <c r="X842" s="9">
        <v>0</v>
      </c>
      <c r="Y842" s="9">
        <v>0</v>
      </c>
      <c r="Z842" s="9">
        <v>0</v>
      </c>
      <c r="AA842" s="9">
        <v>0</v>
      </c>
      <c r="AB842" s="9">
        <v>0</v>
      </c>
      <c r="AC842" s="9">
        <v>0</v>
      </c>
      <c r="AD842" s="53" t="e">
        <f>#REF!*D842</f>
        <v>#REF!</v>
      </c>
      <c r="AE842" s="53" t="e">
        <f>AD842-#REF!</f>
        <v>#REF!</v>
      </c>
      <c r="AF842" s="8"/>
      <c r="AG842" s="33" t="e">
        <f>#REF!-D842</f>
        <v>#REF!</v>
      </c>
      <c r="AH842" s="8"/>
      <c r="AI842" s="8"/>
      <c r="AJ842" s="8"/>
      <c r="AK842" s="8"/>
    </row>
    <row r="843" spans="1:37" s="17" customFormat="1" ht="30.6" outlineLevel="1" x14ac:dyDescent="0.2">
      <c r="A843" s="61" t="s">
        <v>1225</v>
      </c>
      <c r="B843" s="14" t="s">
        <v>1184</v>
      </c>
      <c r="C843" s="8" t="s">
        <v>47</v>
      </c>
      <c r="D843" s="25">
        <f t="shared" si="172"/>
        <v>69</v>
      </c>
      <c r="E843" s="54"/>
      <c r="F843" s="9"/>
      <c r="G843" s="9">
        <v>0</v>
      </c>
      <c r="H843" s="9">
        <v>49</v>
      </c>
      <c r="I843" s="9">
        <v>0</v>
      </c>
      <c r="J843" s="9">
        <v>0</v>
      </c>
      <c r="K843" s="9">
        <v>0</v>
      </c>
      <c r="L843" s="9">
        <v>0</v>
      </c>
      <c r="M843" s="9">
        <v>0</v>
      </c>
      <c r="N843" s="9">
        <v>0</v>
      </c>
      <c r="O843" s="9">
        <v>0</v>
      </c>
      <c r="P843" s="9">
        <v>0</v>
      </c>
      <c r="Q843" s="9">
        <v>0</v>
      </c>
      <c r="R843" s="9">
        <v>0</v>
      </c>
      <c r="S843" s="9">
        <v>0</v>
      </c>
      <c r="T843" s="9">
        <v>20</v>
      </c>
      <c r="U843" s="9">
        <v>0</v>
      </c>
      <c r="V843" s="9">
        <v>0</v>
      </c>
      <c r="W843" s="9">
        <v>0</v>
      </c>
      <c r="X843" s="9">
        <v>0</v>
      </c>
      <c r="Y843" s="9">
        <v>0</v>
      </c>
      <c r="Z843" s="9">
        <v>0</v>
      </c>
      <c r="AA843" s="9">
        <v>0</v>
      </c>
      <c r="AB843" s="9">
        <v>0</v>
      </c>
      <c r="AC843" s="9">
        <v>0</v>
      </c>
      <c r="AD843" s="53" t="e">
        <f>#REF!*D843</f>
        <v>#REF!</v>
      </c>
      <c r="AE843" s="53" t="e">
        <f>AD843-#REF!</f>
        <v>#REF!</v>
      </c>
      <c r="AF843" s="8"/>
      <c r="AG843" s="33" t="e">
        <f>#REF!-D843</f>
        <v>#REF!</v>
      </c>
      <c r="AH843" s="8"/>
      <c r="AI843" s="8"/>
      <c r="AJ843" s="8"/>
      <c r="AK843" s="8"/>
    </row>
    <row r="844" spans="1:37" s="17" customFormat="1" ht="30.6" outlineLevel="1" x14ac:dyDescent="0.2">
      <c r="A844" s="61" t="s">
        <v>1226</v>
      </c>
      <c r="B844" s="14" t="s">
        <v>2495</v>
      </c>
      <c r="C844" s="8" t="s">
        <v>47</v>
      </c>
      <c r="D844" s="25">
        <f t="shared" si="172"/>
        <v>1</v>
      </c>
      <c r="E844" s="54"/>
      <c r="F844" s="9"/>
      <c r="G844" s="9">
        <v>0</v>
      </c>
      <c r="H844" s="9">
        <v>1</v>
      </c>
      <c r="I844" s="9">
        <v>0</v>
      </c>
      <c r="J844" s="9">
        <v>0</v>
      </c>
      <c r="K844" s="9">
        <v>0</v>
      </c>
      <c r="L844" s="9">
        <v>0</v>
      </c>
      <c r="M844" s="9">
        <v>0</v>
      </c>
      <c r="N844" s="9">
        <v>0</v>
      </c>
      <c r="O844" s="9">
        <v>0</v>
      </c>
      <c r="P844" s="9">
        <v>0</v>
      </c>
      <c r="Q844" s="9">
        <v>0</v>
      </c>
      <c r="R844" s="9">
        <v>0</v>
      </c>
      <c r="S844" s="9">
        <v>0</v>
      </c>
      <c r="T844" s="9">
        <v>0</v>
      </c>
      <c r="U844" s="9">
        <v>0</v>
      </c>
      <c r="V844" s="9">
        <v>0</v>
      </c>
      <c r="W844" s="9">
        <v>0</v>
      </c>
      <c r="X844" s="9">
        <v>0</v>
      </c>
      <c r="Y844" s="9">
        <v>0</v>
      </c>
      <c r="Z844" s="9">
        <v>0</v>
      </c>
      <c r="AA844" s="9">
        <v>0</v>
      </c>
      <c r="AB844" s="9">
        <v>0</v>
      </c>
      <c r="AC844" s="9">
        <v>0</v>
      </c>
      <c r="AD844" s="53" t="e">
        <f>#REF!*D844</f>
        <v>#REF!</v>
      </c>
      <c r="AE844" s="53" t="e">
        <f>AD844-#REF!</f>
        <v>#REF!</v>
      </c>
      <c r="AF844" s="8"/>
      <c r="AG844" s="33" t="e">
        <f>#REF!-D844</f>
        <v>#REF!</v>
      </c>
      <c r="AH844" s="8"/>
      <c r="AI844" s="8"/>
      <c r="AJ844" s="8"/>
      <c r="AK844" s="8"/>
    </row>
    <row r="845" spans="1:37" s="17" customFormat="1" ht="30.6" outlineLevel="1" x14ac:dyDescent="0.2">
      <c r="A845" s="61" t="s">
        <v>1227</v>
      </c>
      <c r="B845" s="14" t="s">
        <v>2496</v>
      </c>
      <c r="C845" s="8" t="s">
        <v>47</v>
      </c>
      <c r="D845" s="25">
        <f t="shared" si="172"/>
        <v>40</v>
      </c>
      <c r="E845" s="54"/>
      <c r="F845" s="9"/>
      <c r="G845" s="9">
        <v>0</v>
      </c>
      <c r="H845" s="9">
        <v>40</v>
      </c>
      <c r="I845" s="9">
        <v>0</v>
      </c>
      <c r="J845" s="9">
        <v>0</v>
      </c>
      <c r="K845" s="9">
        <v>0</v>
      </c>
      <c r="L845" s="9">
        <v>0</v>
      </c>
      <c r="M845" s="9">
        <v>0</v>
      </c>
      <c r="N845" s="9">
        <v>0</v>
      </c>
      <c r="O845" s="9">
        <v>0</v>
      </c>
      <c r="P845" s="9">
        <v>0</v>
      </c>
      <c r="Q845" s="9">
        <v>0</v>
      </c>
      <c r="R845" s="9">
        <v>0</v>
      </c>
      <c r="S845" s="9">
        <v>0</v>
      </c>
      <c r="T845" s="9">
        <v>0</v>
      </c>
      <c r="U845" s="9">
        <v>0</v>
      </c>
      <c r="V845" s="9">
        <v>0</v>
      </c>
      <c r="W845" s="9">
        <v>0</v>
      </c>
      <c r="X845" s="9">
        <v>0</v>
      </c>
      <c r="Y845" s="9">
        <v>0</v>
      </c>
      <c r="Z845" s="9">
        <v>0</v>
      </c>
      <c r="AA845" s="9">
        <v>0</v>
      </c>
      <c r="AB845" s="9">
        <v>0</v>
      </c>
      <c r="AC845" s="9">
        <v>0</v>
      </c>
      <c r="AD845" s="53" t="e">
        <f>#REF!*D845</f>
        <v>#REF!</v>
      </c>
      <c r="AE845" s="53" t="e">
        <f>AD845-#REF!</f>
        <v>#REF!</v>
      </c>
      <c r="AF845" s="8"/>
      <c r="AG845" s="33" t="e">
        <f>#REF!-D845</f>
        <v>#REF!</v>
      </c>
      <c r="AH845" s="8"/>
      <c r="AI845" s="8"/>
      <c r="AJ845" s="8"/>
      <c r="AK845" s="8"/>
    </row>
    <row r="846" spans="1:37" s="17" customFormat="1" ht="30.6" outlineLevel="1" x14ac:dyDescent="0.2">
      <c r="A846" s="61" t="s">
        <v>1228</v>
      </c>
      <c r="B846" s="14" t="s">
        <v>1185</v>
      </c>
      <c r="C846" s="8" t="s">
        <v>47</v>
      </c>
      <c r="D846" s="25">
        <f t="shared" si="172"/>
        <v>25</v>
      </c>
      <c r="E846" s="54"/>
      <c r="F846" s="9"/>
      <c r="G846" s="9">
        <v>0</v>
      </c>
      <c r="H846" s="9">
        <v>3</v>
      </c>
      <c r="I846" s="9">
        <v>0</v>
      </c>
      <c r="J846" s="9">
        <v>0</v>
      </c>
      <c r="K846" s="9">
        <v>0</v>
      </c>
      <c r="L846" s="9">
        <v>0</v>
      </c>
      <c r="M846" s="9">
        <v>0</v>
      </c>
      <c r="N846" s="9">
        <v>0</v>
      </c>
      <c r="O846" s="9">
        <v>0</v>
      </c>
      <c r="P846" s="9">
        <v>0</v>
      </c>
      <c r="Q846" s="9">
        <v>0</v>
      </c>
      <c r="R846" s="9">
        <v>0</v>
      </c>
      <c r="S846" s="9">
        <v>0</v>
      </c>
      <c r="T846" s="9">
        <v>22</v>
      </c>
      <c r="U846" s="9">
        <v>0</v>
      </c>
      <c r="V846" s="9">
        <v>0</v>
      </c>
      <c r="W846" s="9">
        <v>0</v>
      </c>
      <c r="X846" s="9">
        <v>0</v>
      </c>
      <c r="Y846" s="9">
        <v>0</v>
      </c>
      <c r="Z846" s="9">
        <v>0</v>
      </c>
      <c r="AA846" s="9">
        <v>0</v>
      </c>
      <c r="AB846" s="9">
        <v>0</v>
      </c>
      <c r="AC846" s="9">
        <v>0</v>
      </c>
      <c r="AD846" s="53" t="e">
        <f>#REF!*D846</f>
        <v>#REF!</v>
      </c>
      <c r="AE846" s="53" t="e">
        <f>AD846-#REF!</f>
        <v>#REF!</v>
      </c>
      <c r="AF846" s="8"/>
      <c r="AG846" s="33" t="e">
        <f>#REF!-D846</f>
        <v>#REF!</v>
      </c>
      <c r="AH846" s="8"/>
      <c r="AI846" s="8"/>
      <c r="AJ846" s="8"/>
      <c r="AK846" s="8"/>
    </row>
    <row r="847" spans="1:37" s="17" customFormat="1" ht="27.75" customHeight="1" outlineLevel="1" x14ac:dyDescent="0.2">
      <c r="A847" s="61" t="s">
        <v>1229</v>
      </c>
      <c r="B847" s="47" t="s">
        <v>2482</v>
      </c>
      <c r="C847" s="8" t="s">
        <v>47</v>
      </c>
      <c r="D847" s="25">
        <f t="shared" si="172"/>
        <v>1912</v>
      </c>
      <c r="E847" s="54"/>
      <c r="F847" s="9"/>
      <c r="G847" s="9">
        <v>0</v>
      </c>
      <c r="H847" s="9">
        <f>18+60+73+23+60+40+1</f>
        <v>275</v>
      </c>
      <c r="I847" s="9">
        <f>5+28+34+37+7+4+22+18</f>
        <v>155</v>
      </c>
      <c r="J847" s="9">
        <f>21+63+4+35+17+22+14</f>
        <v>176</v>
      </c>
      <c r="K847" s="9">
        <f>34+7+22+9+12</f>
        <v>84</v>
      </c>
      <c r="L847" s="9">
        <f>16+12+94+35+34+20</f>
        <v>211</v>
      </c>
      <c r="M847" s="9">
        <f>13+2+31+15+2+13+1+31</f>
        <v>108</v>
      </c>
      <c r="N847" s="9">
        <f>13+2+31+15+2+13+1+31-1</f>
        <v>107</v>
      </c>
      <c r="O847" s="9">
        <f>19+38+31+30+22+12</f>
        <v>152</v>
      </c>
      <c r="P847" s="9">
        <f>18+26+42+40+19</f>
        <v>145</v>
      </c>
      <c r="Q847" s="9">
        <f>24+33+15+8+20+22+22</f>
        <v>144</v>
      </c>
      <c r="R847" s="9">
        <f>13+6+8</f>
        <v>27</v>
      </c>
      <c r="S847" s="9">
        <v>0</v>
      </c>
      <c r="T847" s="9">
        <v>0</v>
      </c>
      <c r="U847" s="9">
        <v>39</v>
      </c>
      <c r="V847" s="9">
        <v>55</v>
      </c>
      <c r="W847" s="9">
        <v>28</v>
      </c>
      <c r="X847" s="9">
        <v>39</v>
      </c>
      <c r="Y847" s="9">
        <v>52</v>
      </c>
      <c r="Z847" s="9">
        <v>56</v>
      </c>
      <c r="AA847" s="9">
        <v>45</v>
      </c>
      <c r="AB847" s="9">
        <v>14</v>
      </c>
      <c r="AC847" s="9">
        <v>0</v>
      </c>
      <c r="AD847" s="53" t="e">
        <f>#REF!*D847</f>
        <v>#REF!</v>
      </c>
      <c r="AE847" s="53" t="e">
        <f>AD847-#REF!</f>
        <v>#REF!</v>
      </c>
      <c r="AF847" s="8"/>
      <c r="AG847" s="33" t="e">
        <f>#REF!-D847</f>
        <v>#REF!</v>
      </c>
      <c r="AH847" s="8"/>
      <c r="AI847" s="8"/>
      <c r="AJ847" s="8"/>
      <c r="AK847" s="8"/>
    </row>
    <row r="848" spans="1:37" s="17" customFormat="1" ht="30.6" outlineLevel="1" x14ac:dyDescent="0.2">
      <c r="A848" s="61" t="s">
        <v>1230</v>
      </c>
      <c r="B848" s="14" t="s">
        <v>421</v>
      </c>
      <c r="C848" s="8" t="s">
        <v>47</v>
      </c>
      <c r="D848" s="25">
        <f t="shared" si="172"/>
        <v>1568</v>
      </c>
      <c r="E848" s="54"/>
      <c r="F848" s="9"/>
      <c r="G848" s="88">
        <f t="shared" ref="G848:AC848" si="185">G828/3*2</f>
        <v>0</v>
      </c>
      <c r="H848" s="88">
        <f t="shared" si="185"/>
        <v>0</v>
      </c>
      <c r="I848" s="88">
        <f t="shared" si="185"/>
        <v>244</v>
      </c>
      <c r="J848" s="88">
        <f t="shared" si="185"/>
        <v>232</v>
      </c>
      <c r="K848" s="88">
        <f t="shared" si="185"/>
        <v>330</v>
      </c>
      <c r="L848" s="88">
        <f t="shared" si="185"/>
        <v>190</v>
      </c>
      <c r="M848" s="88">
        <f t="shared" si="185"/>
        <v>96</v>
      </c>
      <c r="N848" s="88">
        <f t="shared" si="185"/>
        <v>96</v>
      </c>
      <c r="O848" s="88">
        <f t="shared" si="185"/>
        <v>88</v>
      </c>
      <c r="P848" s="88">
        <f t="shared" si="185"/>
        <v>134</v>
      </c>
      <c r="Q848" s="88">
        <f t="shared" si="185"/>
        <v>106</v>
      </c>
      <c r="R848" s="88">
        <f t="shared" si="185"/>
        <v>52</v>
      </c>
      <c r="S848" s="88">
        <f t="shared" si="185"/>
        <v>0</v>
      </c>
      <c r="T848" s="88">
        <f t="shared" si="185"/>
        <v>0</v>
      </c>
      <c r="U848" s="88">
        <f t="shared" si="185"/>
        <v>0</v>
      </c>
      <c r="V848" s="88">
        <f t="shared" si="185"/>
        <v>0</v>
      </c>
      <c r="W848" s="88">
        <f t="shared" si="185"/>
        <v>0</v>
      </c>
      <c r="X848" s="88">
        <f t="shared" si="185"/>
        <v>0</v>
      </c>
      <c r="Y848" s="88">
        <f t="shared" si="185"/>
        <v>0</v>
      </c>
      <c r="Z848" s="88">
        <f t="shared" si="185"/>
        <v>0</v>
      </c>
      <c r="AA848" s="88">
        <f t="shared" si="185"/>
        <v>0</v>
      </c>
      <c r="AB848" s="88">
        <f t="shared" si="185"/>
        <v>0</v>
      </c>
      <c r="AC848" s="88">
        <f t="shared" si="185"/>
        <v>0</v>
      </c>
      <c r="AD848" s="53" t="e">
        <f>#REF!*D848</f>
        <v>#REF!</v>
      </c>
      <c r="AE848" s="53" t="e">
        <f>AD848-#REF!</f>
        <v>#REF!</v>
      </c>
      <c r="AF848" s="8"/>
      <c r="AG848" s="33" t="e">
        <f>#REF!-D848</f>
        <v>#REF!</v>
      </c>
      <c r="AH848" s="8"/>
      <c r="AI848" s="8"/>
      <c r="AJ848" s="8"/>
      <c r="AK848" s="8"/>
    </row>
    <row r="849" spans="1:37" s="17" customFormat="1" ht="30.6" outlineLevel="1" x14ac:dyDescent="0.2">
      <c r="A849" s="61" t="s">
        <v>1231</v>
      </c>
      <c r="B849" s="14" t="s">
        <v>2517</v>
      </c>
      <c r="C849" s="8" t="s">
        <v>47</v>
      </c>
      <c r="D849" s="25">
        <f t="shared" si="172"/>
        <v>892</v>
      </c>
      <c r="E849" s="54"/>
      <c r="F849" s="9"/>
      <c r="G849" s="88">
        <f>(G838+G819)/3*2</f>
        <v>0</v>
      </c>
      <c r="H849" s="88">
        <f t="shared" ref="H849:AC849" si="186">(H838+H821)/3*2</f>
        <v>244</v>
      </c>
      <c r="I849" s="88">
        <f t="shared" si="186"/>
        <v>0</v>
      </c>
      <c r="J849" s="88">
        <f t="shared" si="186"/>
        <v>32</v>
      </c>
      <c r="K849" s="88">
        <f t="shared" si="186"/>
        <v>0</v>
      </c>
      <c r="L849" s="88">
        <f t="shared" si="186"/>
        <v>0</v>
      </c>
      <c r="M849" s="88">
        <f t="shared" si="186"/>
        <v>22</v>
      </c>
      <c r="N849" s="88">
        <f t="shared" si="186"/>
        <v>22</v>
      </c>
      <c r="O849" s="88">
        <f t="shared" si="186"/>
        <v>30</v>
      </c>
      <c r="P849" s="88">
        <f t="shared" si="186"/>
        <v>6</v>
      </c>
      <c r="Q849" s="88">
        <f t="shared" si="186"/>
        <v>16</v>
      </c>
      <c r="R849" s="88">
        <f t="shared" si="186"/>
        <v>16</v>
      </c>
      <c r="S849" s="88">
        <f t="shared" si="186"/>
        <v>0</v>
      </c>
      <c r="T849" s="88">
        <f t="shared" si="186"/>
        <v>52</v>
      </c>
      <c r="U849" s="88">
        <f t="shared" si="186"/>
        <v>80</v>
      </c>
      <c r="V849" s="88">
        <f t="shared" si="186"/>
        <v>70</v>
      </c>
      <c r="W849" s="88">
        <f t="shared" si="186"/>
        <v>60</v>
      </c>
      <c r="X849" s="88">
        <f t="shared" si="186"/>
        <v>48</v>
      </c>
      <c r="Y849" s="88">
        <f t="shared" si="186"/>
        <v>52</v>
      </c>
      <c r="Z849" s="88">
        <f t="shared" si="186"/>
        <v>64</v>
      </c>
      <c r="AA849" s="88">
        <f t="shared" si="186"/>
        <v>50</v>
      </c>
      <c r="AB849" s="88">
        <f t="shared" si="186"/>
        <v>28</v>
      </c>
      <c r="AC849" s="88">
        <f t="shared" si="186"/>
        <v>0</v>
      </c>
      <c r="AD849" s="53" t="e">
        <f>#REF!*D849</f>
        <v>#REF!</v>
      </c>
      <c r="AE849" s="53" t="e">
        <f>AD849-#REF!</f>
        <v>#REF!</v>
      </c>
      <c r="AF849" s="8"/>
      <c r="AG849" s="33" t="e">
        <f>#REF!-D849</f>
        <v>#REF!</v>
      </c>
      <c r="AH849" s="8"/>
      <c r="AI849" s="8"/>
      <c r="AJ849" s="8"/>
      <c r="AK849" s="8"/>
    </row>
    <row r="850" spans="1:37" s="17" customFormat="1" ht="20.399999999999999" outlineLevel="1" x14ac:dyDescent="0.2">
      <c r="A850" s="61" t="s">
        <v>1232</v>
      </c>
      <c r="B850" s="14" t="s">
        <v>424</v>
      </c>
      <c r="C850" s="8" t="s">
        <v>47</v>
      </c>
      <c r="D850" s="25">
        <f t="shared" si="172"/>
        <v>2812</v>
      </c>
      <c r="E850" s="54"/>
      <c r="F850" s="9"/>
      <c r="G850" s="88">
        <f t="shared" ref="G850:AC850" si="187">G837+G827+G838/1.5*3</f>
        <v>0</v>
      </c>
      <c r="H850" s="88">
        <f t="shared" si="187"/>
        <v>636</v>
      </c>
      <c r="I850" s="88">
        <f t="shared" si="187"/>
        <v>244</v>
      </c>
      <c r="J850" s="88">
        <f t="shared" si="187"/>
        <v>232</v>
      </c>
      <c r="K850" s="88">
        <f t="shared" si="187"/>
        <v>330</v>
      </c>
      <c r="L850" s="88">
        <f t="shared" si="187"/>
        <v>190</v>
      </c>
      <c r="M850" s="88">
        <f t="shared" si="187"/>
        <v>96</v>
      </c>
      <c r="N850" s="88">
        <f t="shared" si="187"/>
        <v>96</v>
      </c>
      <c r="O850" s="88">
        <f t="shared" si="187"/>
        <v>88</v>
      </c>
      <c r="P850" s="88">
        <f t="shared" si="187"/>
        <v>134</v>
      </c>
      <c r="Q850" s="88">
        <f t="shared" si="187"/>
        <v>106</v>
      </c>
      <c r="R850" s="88">
        <f t="shared" si="187"/>
        <v>52</v>
      </c>
      <c r="S850" s="88">
        <f t="shared" si="187"/>
        <v>0</v>
      </c>
      <c r="T850" s="88">
        <f t="shared" si="187"/>
        <v>156</v>
      </c>
      <c r="U850" s="88">
        <f t="shared" si="187"/>
        <v>80</v>
      </c>
      <c r="V850" s="88">
        <f t="shared" si="187"/>
        <v>70</v>
      </c>
      <c r="W850" s="88">
        <f t="shared" si="187"/>
        <v>60</v>
      </c>
      <c r="X850" s="88">
        <f t="shared" si="187"/>
        <v>48</v>
      </c>
      <c r="Y850" s="88">
        <f t="shared" si="187"/>
        <v>52</v>
      </c>
      <c r="Z850" s="88">
        <f t="shared" si="187"/>
        <v>64</v>
      </c>
      <c r="AA850" s="88">
        <f t="shared" si="187"/>
        <v>50</v>
      </c>
      <c r="AB850" s="88">
        <f t="shared" si="187"/>
        <v>28</v>
      </c>
      <c r="AC850" s="88">
        <f t="shared" si="187"/>
        <v>0</v>
      </c>
      <c r="AD850" s="53" t="e">
        <f>#REF!*D850</f>
        <v>#REF!</v>
      </c>
      <c r="AE850" s="53" t="e">
        <f>AD850-#REF!</f>
        <v>#REF!</v>
      </c>
      <c r="AF850" s="8"/>
      <c r="AG850" s="33" t="e">
        <f>#REF!-D850</f>
        <v>#REF!</v>
      </c>
      <c r="AH850" s="8"/>
      <c r="AI850" s="8"/>
      <c r="AJ850" s="8"/>
      <c r="AK850" s="8"/>
    </row>
    <row r="851" spans="1:37" s="12" customFormat="1" ht="20.399999999999999" outlineLevel="1" x14ac:dyDescent="0.2">
      <c r="A851" s="61" t="s">
        <v>1233</v>
      </c>
      <c r="B851" s="14" t="s">
        <v>69</v>
      </c>
      <c r="C851" s="9" t="s">
        <v>47</v>
      </c>
      <c r="D851" s="25">
        <f t="shared" si="172"/>
        <v>5624</v>
      </c>
      <c r="E851" s="54"/>
      <c r="F851" s="78"/>
      <c r="G851" s="88">
        <f t="shared" ref="G851:AC851" si="188">G850*2</f>
        <v>0</v>
      </c>
      <c r="H851" s="88">
        <f t="shared" si="188"/>
        <v>1272</v>
      </c>
      <c r="I851" s="88">
        <f t="shared" si="188"/>
        <v>488</v>
      </c>
      <c r="J851" s="88">
        <f t="shared" si="188"/>
        <v>464</v>
      </c>
      <c r="K851" s="88">
        <f t="shared" si="188"/>
        <v>660</v>
      </c>
      <c r="L851" s="88">
        <f t="shared" si="188"/>
        <v>380</v>
      </c>
      <c r="M851" s="88">
        <f t="shared" si="188"/>
        <v>192</v>
      </c>
      <c r="N851" s="88">
        <f t="shared" si="188"/>
        <v>192</v>
      </c>
      <c r="O851" s="88">
        <f t="shared" si="188"/>
        <v>176</v>
      </c>
      <c r="P851" s="88">
        <f t="shared" si="188"/>
        <v>268</v>
      </c>
      <c r="Q851" s="88">
        <f t="shared" si="188"/>
        <v>212</v>
      </c>
      <c r="R851" s="88">
        <f t="shared" si="188"/>
        <v>104</v>
      </c>
      <c r="S851" s="88">
        <f t="shared" si="188"/>
        <v>0</v>
      </c>
      <c r="T851" s="88">
        <f t="shared" si="188"/>
        <v>312</v>
      </c>
      <c r="U851" s="88">
        <f t="shared" si="188"/>
        <v>160</v>
      </c>
      <c r="V851" s="88">
        <f t="shared" si="188"/>
        <v>140</v>
      </c>
      <c r="W851" s="88">
        <f t="shared" si="188"/>
        <v>120</v>
      </c>
      <c r="X851" s="88">
        <f t="shared" si="188"/>
        <v>96</v>
      </c>
      <c r="Y851" s="88">
        <f t="shared" si="188"/>
        <v>104</v>
      </c>
      <c r="Z851" s="88">
        <f t="shared" si="188"/>
        <v>128</v>
      </c>
      <c r="AA851" s="88">
        <f t="shared" si="188"/>
        <v>100</v>
      </c>
      <c r="AB851" s="88">
        <f t="shared" si="188"/>
        <v>56</v>
      </c>
      <c r="AC851" s="88">
        <f t="shared" si="188"/>
        <v>0</v>
      </c>
      <c r="AD851" s="53" t="e">
        <f>#REF!*D851</f>
        <v>#REF!</v>
      </c>
      <c r="AE851" s="53" t="e">
        <f>AD851-#REF!</f>
        <v>#REF!</v>
      </c>
      <c r="AF851" s="9"/>
      <c r="AG851" s="33" t="e">
        <f>#REF!-D851</f>
        <v>#REF!</v>
      </c>
      <c r="AH851" s="9"/>
      <c r="AI851" s="9"/>
      <c r="AJ851" s="9"/>
      <c r="AK851" s="9"/>
    </row>
    <row r="852" spans="1:37" s="12" customFormat="1" ht="20.399999999999999" outlineLevel="1" x14ac:dyDescent="0.2">
      <c r="A852" s="61" t="s">
        <v>2876</v>
      </c>
      <c r="B852" s="14" t="s">
        <v>1032</v>
      </c>
      <c r="C852" s="9" t="s">
        <v>47</v>
      </c>
      <c r="D852" s="25">
        <f t="shared" si="172"/>
        <v>16872</v>
      </c>
      <c r="E852" s="54"/>
      <c r="F852" s="78"/>
      <c r="G852" s="88">
        <f t="shared" ref="G852:AC852" si="189">G850*6</f>
        <v>0</v>
      </c>
      <c r="H852" s="88">
        <f t="shared" si="189"/>
        <v>3816</v>
      </c>
      <c r="I852" s="88">
        <f t="shared" si="189"/>
        <v>1464</v>
      </c>
      <c r="J852" s="88">
        <f t="shared" si="189"/>
        <v>1392</v>
      </c>
      <c r="K852" s="88">
        <f t="shared" si="189"/>
        <v>1980</v>
      </c>
      <c r="L852" s="88">
        <f t="shared" si="189"/>
        <v>1140</v>
      </c>
      <c r="M852" s="88">
        <f t="shared" si="189"/>
        <v>576</v>
      </c>
      <c r="N852" s="88">
        <f t="shared" si="189"/>
        <v>576</v>
      </c>
      <c r="O852" s="88">
        <f t="shared" si="189"/>
        <v>528</v>
      </c>
      <c r="P852" s="88">
        <f t="shared" si="189"/>
        <v>804</v>
      </c>
      <c r="Q852" s="88">
        <f t="shared" si="189"/>
        <v>636</v>
      </c>
      <c r="R852" s="88">
        <f t="shared" si="189"/>
        <v>312</v>
      </c>
      <c r="S852" s="88">
        <f t="shared" si="189"/>
        <v>0</v>
      </c>
      <c r="T852" s="88">
        <f t="shared" si="189"/>
        <v>936</v>
      </c>
      <c r="U852" s="88">
        <f t="shared" si="189"/>
        <v>480</v>
      </c>
      <c r="V852" s="88">
        <f t="shared" si="189"/>
        <v>420</v>
      </c>
      <c r="W852" s="88">
        <f t="shared" si="189"/>
        <v>360</v>
      </c>
      <c r="X852" s="88">
        <f t="shared" si="189"/>
        <v>288</v>
      </c>
      <c r="Y852" s="88">
        <f t="shared" si="189"/>
        <v>312</v>
      </c>
      <c r="Z852" s="88">
        <f t="shared" si="189"/>
        <v>384</v>
      </c>
      <c r="AA852" s="88">
        <f t="shared" si="189"/>
        <v>300</v>
      </c>
      <c r="AB852" s="88">
        <f t="shared" si="189"/>
        <v>168</v>
      </c>
      <c r="AC852" s="88">
        <f t="shared" si="189"/>
        <v>0</v>
      </c>
      <c r="AD852" s="53" t="e">
        <f>#REF!*D852</f>
        <v>#REF!</v>
      </c>
      <c r="AE852" s="53" t="e">
        <f>AD852-#REF!</f>
        <v>#REF!</v>
      </c>
      <c r="AF852" s="9"/>
      <c r="AG852" s="33" t="e">
        <f>#REF!-D852</f>
        <v>#REF!</v>
      </c>
      <c r="AH852" s="9"/>
      <c r="AI852" s="9"/>
      <c r="AJ852" s="9"/>
      <c r="AK852" s="9"/>
    </row>
    <row r="853" spans="1:37" s="17" customFormat="1" ht="20.399999999999999" outlineLevel="1" x14ac:dyDescent="0.2">
      <c r="A853" s="61" t="s">
        <v>2877</v>
      </c>
      <c r="B853" s="14" t="s">
        <v>1033</v>
      </c>
      <c r="C853" s="8" t="s">
        <v>48</v>
      </c>
      <c r="D853" s="25">
        <f t="shared" si="172"/>
        <v>1560</v>
      </c>
      <c r="E853" s="54"/>
      <c r="F853" s="9"/>
      <c r="G853" s="88">
        <f t="shared" ref="G853:AC853" si="190">MROUND(G850*0.55,3)</f>
        <v>0</v>
      </c>
      <c r="H853" s="88">
        <f t="shared" si="190"/>
        <v>351</v>
      </c>
      <c r="I853" s="88">
        <f t="shared" si="190"/>
        <v>135</v>
      </c>
      <c r="J853" s="88">
        <f t="shared" si="190"/>
        <v>129</v>
      </c>
      <c r="K853" s="88">
        <f t="shared" si="190"/>
        <v>183</v>
      </c>
      <c r="L853" s="88">
        <f t="shared" si="190"/>
        <v>105</v>
      </c>
      <c r="M853" s="88">
        <f t="shared" si="190"/>
        <v>54</v>
      </c>
      <c r="N853" s="88">
        <f t="shared" si="190"/>
        <v>54</v>
      </c>
      <c r="O853" s="88">
        <f t="shared" si="190"/>
        <v>48</v>
      </c>
      <c r="P853" s="88">
        <f t="shared" si="190"/>
        <v>75</v>
      </c>
      <c r="Q853" s="88">
        <f t="shared" si="190"/>
        <v>57</v>
      </c>
      <c r="R853" s="88">
        <f t="shared" si="190"/>
        <v>30</v>
      </c>
      <c r="S853" s="88">
        <f t="shared" si="190"/>
        <v>0</v>
      </c>
      <c r="T853" s="88">
        <f t="shared" si="190"/>
        <v>87</v>
      </c>
      <c r="U853" s="88">
        <f t="shared" si="190"/>
        <v>45</v>
      </c>
      <c r="V853" s="88">
        <f t="shared" si="190"/>
        <v>39</v>
      </c>
      <c r="W853" s="88">
        <f t="shared" si="190"/>
        <v>33</v>
      </c>
      <c r="X853" s="88">
        <f t="shared" si="190"/>
        <v>27</v>
      </c>
      <c r="Y853" s="88">
        <f t="shared" si="190"/>
        <v>30</v>
      </c>
      <c r="Z853" s="88">
        <f t="shared" si="190"/>
        <v>36</v>
      </c>
      <c r="AA853" s="88">
        <f t="shared" si="190"/>
        <v>27</v>
      </c>
      <c r="AB853" s="88">
        <f t="shared" si="190"/>
        <v>15</v>
      </c>
      <c r="AC853" s="88">
        <f t="shared" si="190"/>
        <v>0</v>
      </c>
      <c r="AD853" s="53" t="e">
        <f>#REF!*D853</f>
        <v>#REF!</v>
      </c>
      <c r="AE853" s="53" t="e">
        <f>AD853-#REF!</f>
        <v>#REF!</v>
      </c>
      <c r="AF853" s="8"/>
      <c r="AG853" s="33" t="e">
        <f>#REF!-D853</f>
        <v>#REF!</v>
      </c>
      <c r="AH853" s="8"/>
      <c r="AI853" s="8"/>
      <c r="AJ853" s="8"/>
      <c r="AK853" s="8"/>
    </row>
    <row r="854" spans="1:37" s="17" customFormat="1" ht="25.5" customHeight="1" outlineLevel="1" x14ac:dyDescent="0.2">
      <c r="A854" s="61" t="s">
        <v>2883</v>
      </c>
      <c r="B854" s="47" t="s">
        <v>425</v>
      </c>
      <c r="C854" s="8" t="s">
        <v>47</v>
      </c>
      <c r="D854" s="25">
        <f t="shared" si="172"/>
        <v>29279</v>
      </c>
      <c r="E854" s="54"/>
      <c r="F854" s="9"/>
      <c r="G854" s="88">
        <f>G849*12+(G846+G836)*2+(G823+G830+G840)/3+G835*4+G848*8</f>
        <v>0</v>
      </c>
      <c r="H854" s="88">
        <f t="shared" ref="H854:AC854" si="191">H849*12+(H846+H836)*2+(H823+H830+H840)/3+H835*4+H848*8+H847*2</f>
        <v>3590</v>
      </c>
      <c r="I854" s="88">
        <f t="shared" si="191"/>
        <v>2532</v>
      </c>
      <c r="J854" s="88">
        <f t="shared" si="191"/>
        <v>2844</v>
      </c>
      <c r="K854" s="88">
        <f t="shared" si="191"/>
        <v>3093</v>
      </c>
      <c r="L854" s="88">
        <f t="shared" si="191"/>
        <v>2229</v>
      </c>
      <c r="M854" s="88">
        <f t="shared" si="191"/>
        <v>1404</v>
      </c>
      <c r="N854" s="88">
        <f t="shared" si="191"/>
        <v>1402</v>
      </c>
      <c r="O854" s="88">
        <f t="shared" si="191"/>
        <v>1520</v>
      </c>
      <c r="P854" s="88">
        <f t="shared" si="191"/>
        <v>1537</v>
      </c>
      <c r="Q854" s="88">
        <f t="shared" si="191"/>
        <v>1457</v>
      </c>
      <c r="R854" s="88">
        <f t="shared" si="191"/>
        <v>720</v>
      </c>
      <c r="S854" s="88">
        <f t="shared" si="191"/>
        <v>0</v>
      </c>
      <c r="T854" s="88">
        <f t="shared" si="191"/>
        <v>694</v>
      </c>
      <c r="U854" s="88">
        <f t="shared" si="191"/>
        <v>1044</v>
      </c>
      <c r="V854" s="88">
        <f t="shared" si="191"/>
        <v>955</v>
      </c>
      <c r="W854" s="88">
        <f t="shared" si="191"/>
        <v>916</v>
      </c>
      <c r="X854" s="88">
        <f t="shared" si="191"/>
        <v>660</v>
      </c>
      <c r="Y854" s="88">
        <f t="shared" si="191"/>
        <v>734</v>
      </c>
      <c r="Z854" s="88">
        <f t="shared" si="191"/>
        <v>887</v>
      </c>
      <c r="AA854" s="88">
        <f t="shared" si="191"/>
        <v>696</v>
      </c>
      <c r="AB854" s="88">
        <f t="shared" si="191"/>
        <v>365</v>
      </c>
      <c r="AC854" s="88">
        <f t="shared" si="191"/>
        <v>0</v>
      </c>
      <c r="AD854" s="53" t="e">
        <f>#REF!*D854</f>
        <v>#REF!</v>
      </c>
      <c r="AE854" s="53" t="e">
        <f>AD854-#REF!</f>
        <v>#REF!</v>
      </c>
      <c r="AF854" s="8"/>
      <c r="AG854" s="33" t="e">
        <f>#REF!-D854</f>
        <v>#REF!</v>
      </c>
      <c r="AH854" s="8"/>
      <c r="AI854" s="8"/>
      <c r="AJ854" s="8"/>
      <c r="AK854" s="8"/>
    </row>
    <row r="855" spans="1:37" s="17" customFormat="1" ht="30.6" outlineLevel="1" x14ac:dyDescent="0.2">
      <c r="A855" s="61" t="s">
        <v>2884</v>
      </c>
      <c r="B855" s="47" t="s">
        <v>2468</v>
      </c>
      <c r="C855" s="8" t="s">
        <v>48</v>
      </c>
      <c r="D855" s="25">
        <f t="shared" si="172"/>
        <v>84</v>
      </c>
      <c r="E855" s="54"/>
      <c r="F855" s="9"/>
      <c r="G855" s="88">
        <f t="shared" ref="G855:S855" si="192">MROUND(G838/1.5*0.4,3)</f>
        <v>0</v>
      </c>
      <c r="H855" s="88">
        <f t="shared" si="192"/>
        <v>84</v>
      </c>
      <c r="I855" s="88">
        <f t="shared" si="192"/>
        <v>0</v>
      </c>
      <c r="J855" s="88">
        <f t="shared" si="192"/>
        <v>0</v>
      </c>
      <c r="K855" s="88">
        <f t="shared" si="192"/>
        <v>0</v>
      </c>
      <c r="L855" s="88">
        <f t="shared" si="192"/>
        <v>0</v>
      </c>
      <c r="M855" s="88">
        <f t="shared" si="192"/>
        <v>0</v>
      </c>
      <c r="N855" s="88">
        <f t="shared" si="192"/>
        <v>0</v>
      </c>
      <c r="O855" s="88">
        <f t="shared" si="192"/>
        <v>0</v>
      </c>
      <c r="P855" s="88">
        <f t="shared" si="192"/>
        <v>0</v>
      </c>
      <c r="Q855" s="88">
        <f t="shared" si="192"/>
        <v>0</v>
      </c>
      <c r="R855" s="88">
        <f t="shared" si="192"/>
        <v>0</v>
      </c>
      <c r="S855" s="88">
        <f t="shared" si="192"/>
        <v>0</v>
      </c>
      <c r="T855" s="88">
        <v>0</v>
      </c>
      <c r="U855" s="88">
        <f t="shared" ref="U855:AC855" si="193">MROUND(U838/1.5*0.4,3)</f>
        <v>0</v>
      </c>
      <c r="V855" s="88">
        <f t="shared" si="193"/>
        <v>0</v>
      </c>
      <c r="W855" s="88">
        <f t="shared" si="193"/>
        <v>0</v>
      </c>
      <c r="X855" s="88">
        <f t="shared" si="193"/>
        <v>0</v>
      </c>
      <c r="Y855" s="88">
        <f t="shared" si="193"/>
        <v>0</v>
      </c>
      <c r="Z855" s="88">
        <f t="shared" si="193"/>
        <v>0</v>
      </c>
      <c r="AA855" s="88">
        <f t="shared" si="193"/>
        <v>0</v>
      </c>
      <c r="AB855" s="88">
        <f t="shared" si="193"/>
        <v>0</v>
      </c>
      <c r="AC855" s="88">
        <f t="shared" si="193"/>
        <v>0</v>
      </c>
      <c r="AD855" s="53" t="e">
        <f>#REF!*D855</f>
        <v>#REF!</v>
      </c>
      <c r="AE855" s="53" t="e">
        <f>AD855-#REF!</f>
        <v>#REF!</v>
      </c>
      <c r="AF855" s="8"/>
      <c r="AG855" s="33" t="e">
        <f>#REF!-D855</f>
        <v>#REF!</v>
      </c>
      <c r="AH855" s="8"/>
      <c r="AI855" s="8"/>
      <c r="AJ855" s="8"/>
      <c r="AK855" s="8"/>
    </row>
    <row r="856" spans="1:37" s="12" customFormat="1" ht="10.199999999999999" outlineLevel="1" x14ac:dyDescent="0.2">
      <c r="A856" s="61"/>
      <c r="B856" s="94"/>
      <c r="C856" s="24"/>
      <c r="D856" s="25"/>
      <c r="E856" s="54"/>
      <c r="F856" s="9"/>
      <c r="G856" s="9"/>
      <c r="H856" s="9"/>
      <c r="I856" s="9"/>
      <c r="J856" s="9"/>
      <c r="K856" s="9"/>
      <c r="L856" s="9"/>
      <c r="M856" s="9"/>
      <c r="N856" s="9"/>
      <c r="O856" s="9"/>
      <c r="P856" s="9"/>
      <c r="Q856" s="9"/>
      <c r="R856" s="9"/>
      <c r="S856" s="9"/>
      <c r="T856" s="9"/>
      <c r="U856" s="9"/>
      <c r="V856" s="9"/>
      <c r="W856" s="9"/>
      <c r="X856" s="9"/>
      <c r="Y856" s="9"/>
      <c r="Z856" s="9"/>
      <c r="AA856" s="9"/>
      <c r="AB856" s="9"/>
      <c r="AC856" s="9"/>
      <c r="AD856" s="53" t="e">
        <f>#REF!*D856</f>
        <v>#REF!</v>
      </c>
      <c r="AE856" s="53" t="e">
        <f>AD856-#REF!</f>
        <v>#REF!</v>
      </c>
      <c r="AF856" s="24"/>
      <c r="AG856" s="33" t="e">
        <f>#REF!-D856</f>
        <v>#REF!</v>
      </c>
      <c r="AH856" s="24"/>
      <c r="AI856" s="24"/>
      <c r="AJ856" s="24"/>
      <c r="AK856" s="24"/>
    </row>
    <row r="857" spans="1:37" s="12" customFormat="1" ht="12" x14ac:dyDescent="0.25">
      <c r="A857" s="18" t="s">
        <v>24</v>
      </c>
      <c r="B857" s="35" t="s">
        <v>385</v>
      </c>
      <c r="C857" s="18" t="s">
        <v>41</v>
      </c>
      <c r="D857" s="52" t="e">
        <f>#REF!/#REF!*100</f>
        <v>#REF!</v>
      </c>
      <c r="E857" s="54"/>
      <c r="F857" s="9"/>
      <c r="G857" s="9"/>
      <c r="H857" s="9">
        <f>H858+H859*2+H860*4+H861+H862*2+H863+H864+H865*2</f>
        <v>302</v>
      </c>
      <c r="I857" s="9">
        <f t="shared" ref="I857:T857" si="194">I858+I859*2+I860*4+I861+I862*2+I863+I864+I865*2</f>
        <v>234</v>
      </c>
      <c r="J857" s="9">
        <f t="shared" si="194"/>
        <v>180</v>
      </c>
      <c r="K857" s="9">
        <f t="shared" si="194"/>
        <v>165</v>
      </c>
      <c r="L857" s="9">
        <f t="shared" si="194"/>
        <v>174</v>
      </c>
      <c r="M857" s="9">
        <f t="shared" si="194"/>
        <v>110</v>
      </c>
      <c r="N857" s="9">
        <f t="shared" si="194"/>
        <v>109</v>
      </c>
      <c r="O857" s="9">
        <f t="shared" si="194"/>
        <v>131</v>
      </c>
      <c r="P857" s="9">
        <f t="shared" si="194"/>
        <v>292</v>
      </c>
      <c r="Q857" s="9">
        <f t="shared" si="194"/>
        <v>182</v>
      </c>
      <c r="R857" s="9">
        <f t="shared" si="194"/>
        <v>40</v>
      </c>
      <c r="S857" s="9">
        <f t="shared" si="194"/>
        <v>0</v>
      </c>
      <c r="T857" s="9">
        <f t="shared" si="194"/>
        <v>0</v>
      </c>
      <c r="U857" s="9">
        <f t="shared" ref="U857" si="195">U858+U859*2+U860*4+U861+U862*2+U863+U864+U865*2</f>
        <v>156</v>
      </c>
      <c r="V857" s="9">
        <f t="shared" ref="V857" si="196">V858+V859*2+V860*4+V861+V862*2+V863+V864+V865*2</f>
        <v>233</v>
      </c>
      <c r="W857" s="9">
        <f t="shared" ref="W857" si="197">W858+W859*2+W860*4+W861+W862*2+W863+W864+W865*2</f>
        <v>80</v>
      </c>
      <c r="X857" s="9">
        <f t="shared" ref="X857" si="198">X858+X859*2+X860*4+X861+X862*2+X863+X864+X865*2</f>
        <v>99</v>
      </c>
      <c r="Y857" s="9">
        <f t="shared" ref="Y857" si="199">Y858+Y859*2+Y860*4+Y861+Y862*2+Y863+Y864+Y865*2</f>
        <v>108</v>
      </c>
      <c r="Z857" s="9">
        <f t="shared" ref="Z857" si="200">Z858+Z859*2+Z860*4+Z861+Z862*2+Z863+Z864+Z865*2</f>
        <v>125</v>
      </c>
      <c r="AA857" s="9">
        <f t="shared" ref="AA857" si="201">AA858+AA859*2+AA860*4+AA861+AA862*2+AA863+AA864+AA865*2</f>
        <v>77</v>
      </c>
      <c r="AB857" s="9">
        <f t="shared" ref="AB857" si="202">AB858+AB859*2+AB860*4+AB861+AB862*2+AB863+AB864+AB865*2</f>
        <v>31</v>
      </c>
      <c r="AC857" s="9">
        <f t="shared" ref="AC857" si="203">AC858+AC859*2+AC860*4+AC861+AC862*2+AC863+AC864+AC865*2</f>
        <v>0</v>
      </c>
      <c r="AD857" s="53" t="e">
        <f>#REF!*D857</f>
        <v>#REF!</v>
      </c>
      <c r="AE857" s="53" t="e">
        <f>AD857-#REF!</f>
        <v>#REF!</v>
      </c>
      <c r="AF857" s="24"/>
      <c r="AG857" s="33" t="e">
        <f>#REF!-D857</f>
        <v>#REF!</v>
      </c>
      <c r="AH857" s="24"/>
      <c r="AI857" s="24"/>
      <c r="AJ857" s="24"/>
      <c r="AK857" s="24"/>
    </row>
    <row r="858" spans="1:37" s="17" customFormat="1" ht="20.399999999999999" outlineLevel="1" x14ac:dyDescent="0.2">
      <c r="A858" s="61" t="s">
        <v>1193</v>
      </c>
      <c r="B858" s="80" t="s">
        <v>2367</v>
      </c>
      <c r="C858" s="21" t="s">
        <v>47</v>
      </c>
      <c r="D858" s="25">
        <f t="shared" ref="D858:D866" si="204">SUM(G858:AC858)</f>
        <v>1114</v>
      </c>
      <c r="E858" s="54"/>
      <c r="F858" s="9"/>
      <c r="G858" s="9">
        <v>0</v>
      </c>
      <c r="H858" s="9">
        <f>61+64</f>
        <v>125</v>
      </c>
      <c r="I858" s="9">
        <f>4+28+37+2+22-10</f>
        <v>83</v>
      </c>
      <c r="J858" s="9">
        <f>93-28</f>
        <v>65</v>
      </c>
      <c r="K858" s="9">
        <f>34+10+22</f>
        <v>66</v>
      </c>
      <c r="L858" s="9">
        <f>35+20+1</f>
        <v>56</v>
      </c>
      <c r="M858" s="9">
        <f>13+2+15+1+13</f>
        <v>44</v>
      </c>
      <c r="N858" s="9">
        <f>13+2+15+1+13-1</f>
        <v>43</v>
      </c>
      <c r="O858" s="9">
        <f>16+3+22+12</f>
        <v>53</v>
      </c>
      <c r="P858" s="9">
        <f>16+2+42+18</f>
        <v>78</v>
      </c>
      <c r="Q858" s="9">
        <f>21+11+22+22</f>
        <v>76</v>
      </c>
      <c r="R858" s="9">
        <f>6+8</f>
        <v>14</v>
      </c>
      <c r="S858" s="9">
        <v>0</v>
      </c>
      <c r="T858" s="9">
        <v>0</v>
      </c>
      <c r="U858" s="9">
        <f>36+U803</f>
        <v>43</v>
      </c>
      <c r="V858" s="9">
        <f>47+6-8+V803</f>
        <v>51</v>
      </c>
      <c r="W858" s="9">
        <f>17+W803</f>
        <v>25</v>
      </c>
      <c r="X858" s="9">
        <f>58+5+X803</f>
        <v>71</v>
      </c>
      <c r="Y858" s="9">
        <f>55+8+Y803</f>
        <v>70</v>
      </c>
      <c r="Z858" s="9">
        <f>65+Z803</f>
        <v>74</v>
      </c>
      <c r="AA858" s="9">
        <f>54+AA803</f>
        <v>61</v>
      </c>
      <c r="AB858" s="9">
        <f>13+AB803</f>
        <v>16</v>
      </c>
      <c r="AC858" s="9">
        <v>0</v>
      </c>
      <c r="AD858" s="53" t="e">
        <f>#REF!*D858</f>
        <v>#REF!</v>
      </c>
      <c r="AE858" s="53" t="e">
        <f>AD858-#REF!</f>
        <v>#REF!</v>
      </c>
      <c r="AF858" s="21"/>
      <c r="AG858" s="33" t="e">
        <f>#REF!-D858</f>
        <v>#REF!</v>
      </c>
      <c r="AH858" s="21"/>
      <c r="AI858" s="21"/>
      <c r="AJ858" s="21"/>
      <c r="AK858" s="21"/>
    </row>
    <row r="859" spans="1:37" s="17" customFormat="1" ht="20.399999999999999" outlineLevel="1" x14ac:dyDescent="0.2">
      <c r="A859" s="61" t="s">
        <v>1194</v>
      </c>
      <c r="B859" s="80" t="s">
        <v>2368</v>
      </c>
      <c r="C859" s="21" t="s">
        <v>47</v>
      </c>
      <c r="D859" s="25">
        <f t="shared" si="204"/>
        <v>664</v>
      </c>
      <c r="E859" s="54"/>
      <c r="F859" s="9"/>
      <c r="G859" s="9">
        <v>0</v>
      </c>
      <c r="H859" s="9">
        <f>76</f>
        <v>76</v>
      </c>
      <c r="I859" s="9">
        <f>34+7+1</f>
        <v>42</v>
      </c>
      <c r="J859" s="9">
        <f>68-20</f>
        <v>48</v>
      </c>
      <c r="K859" s="9">
        <f>52-18</f>
        <v>34</v>
      </c>
      <c r="L859" s="9">
        <f>94-35</f>
        <v>59</v>
      </c>
      <c r="M859" s="9">
        <v>33</v>
      </c>
      <c r="N859" s="9">
        <v>33</v>
      </c>
      <c r="O859" s="9">
        <f>35+4</f>
        <v>39</v>
      </c>
      <c r="P859" s="9">
        <f>26+1</f>
        <v>27</v>
      </c>
      <c r="Q859" s="9">
        <f>20+33</f>
        <v>53</v>
      </c>
      <c r="R859" s="9">
        <v>13</v>
      </c>
      <c r="S859" s="9">
        <v>0</v>
      </c>
      <c r="T859" s="9">
        <v>0</v>
      </c>
      <c r="U859" s="9">
        <v>56</v>
      </c>
      <c r="V859" s="9">
        <f>86-32</f>
        <v>54</v>
      </c>
      <c r="W859" s="9">
        <f>27-3</f>
        <v>24</v>
      </c>
      <c r="X859" s="9">
        <f>14</f>
        <v>14</v>
      </c>
      <c r="Y859" s="9">
        <f>19</f>
        <v>19</v>
      </c>
      <c r="Z859" s="9">
        <f>25</f>
        <v>25</v>
      </c>
      <c r="AA859" s="9">
        <f>8</f>
        <v>8</v>
      </c>
      <c r="AB859" s="9">
        <v>7</v>
      </c>
      <c r="AC859" s="9">
        <v>0</v>
      </c>
      <c r="AD859" s="53" t="e">
        <f>#REF!*D859</f>
        <v>#REF!</v>
      </c>
      <c r="AE859" s="53" t="e">
        <f>AD859-#REF!</f>
        <v>#REF!</v>
      </c>
      <c r="AF859" s="21"/>
      <c r="AG859" s="33" t="e">
        <f>#REF!-D859</f>
        <v>#REF!</v>
      </c>
      <c r="AH859" s="21"/>
      <c r="AI859" s="21"/>
      <c r="AJ859" s="21"/>
      <c r="AK859" s="21"/>
    </row>
    <row r="860" spans="1:37" s="17" customFormat="1" ht="30.6" outlineLevel="1" x14ac:dyDescent="0.2">
      <c r="A860" s="61" t="s">
        <v>1195</v>
      </c>
      <c r="B860" s="80" t="s">
        <v>2369</v>
      </c>
      <c r="C860" s="21" t="s">
        <v>47</v>
      </c>
      <c r="D860" s="25">
        <f t="shared" si="204"/>
        <v>40</v>
      </c>
      <c r="E860" s="54"/>
      <c r="F860" s="9"/>
      <c r="G860" s="9">
        <v>0</v>
      </c>
      <c r="H860" s="9">
        <v>0</v>
      </c>
      <c r="I860" s="9">
        <v>0</v>
      </c>
      <c r="J860" s="9">
        <v>0</v>
      </c>
      <c r="K860" s="9">
        <v>0</v>
      </c>
      <c r="L860" s="9">
        <v>0</v>
      </c>
      <c r="M860" s="9">
        <v>0</v>
      </c>
      <c r="N860" s="9">
        <v>0</v>
      </c>
      <c r="O860" s="9">
        <v>0</v>
      </c>
      <c r="P860" s="9">
        <v>40</v>
      </c>
      <c r="Q860" s="9">
        <v>0</v>
      </c>
      <c r="R860" s="9">
        <v>0</v>
      </c>
      <c r="S860" s="9">
        <v>0</v>
      </c>
      <c r="T860" s="9">
        <v>0</v>
      </c>
      <c r="U860" s="9">
        <v>0</v>
      </c>
      <c r="V860" s="9">
        <v>0</v>
      </c>
      <c r="W860" s="9">
        <v>0</v>
      </c>
      <c r="X860" s="9">
        <v>0</v>
      </c>
      <c r="Y860" s="9">
        <v>0</v>
      </c>
      <c r="Z860" s="9">
        <v>0</v>
      </c>
      <c r="AA860" s="9">
        <v>0</v>
      </c>
      <c r="AB860" s="9">
        <v>0</v>
      </c>
      <c r="AC860" s="9">
        <v>0</v>
      </c>
      <c r="AD860" s="53" t="e">
        <f>#REF!*D860</f>
        <v>#REF!</v>
      </c>
      <c r="AE860" s="53" t="e">
        <f>AD860-#REF!</f>
        <v>#REF!</v>
      </c>
      <c r="AF860" s="21"/>
      <c r="AG860" s="33" t="e">
        <f>#REF!-D860</f>
        <v>#REF!</v>
      </c>
      <c r="AH860" s="21"/>
      <c r="AI860" s="21"/>
      <c r="AJ860" s="21"/>
      <c r="AK860" s="21"/>
    </row>
    <row r="861" spans="1:37" s="17" customFormat="1" ht="26.25" customHeight="1" outlineLevel="1" x14ac:dyDescent="0.2">
      <c r="A861" s="61" t="s">
        <v>1196</v>
      </c>
      <c r="B861" s="80" t="s">
        <v>2370</v>
      </c>
      <c r="C861" s="21" t="s">
        <v>47</v>
      </c>
      <c r="D861" s="25">
        <f t="shared" si="204"/>
        <v>4</v>
      </c>
      <c r="E861" s="54"/>
      <c r="F861" s="9"/>
      <c r="G861" s="9">
        <v>0</v>
      </c>
      <c r="H861" s="9">
        <v>0</v>
      </c>
      <c r="I861" s="9">
        <v>4</v>
      </c>
      <c r="J861" s="9">
        <v>0</v>
      </c>
      <c r="K861" s="9">
        <v>0</v>
      </c>
      <c r="L861" s="9">
        <v>0</v>
      </c>
      <c r="M861" s="9">
        <v>0</v>
      </c>
      <c r="N861" s="9">
        <v>0</v>
      </c>
      <c r="O861" s="9">
        <v>0</v>
      </c>
      <c r="P861" s="9">
        <v>0</v>
      </c>
      <c r="Q861" s="9">
        <v>0</v>
      </c>
      <c r="R861" s="9">
        <v>0</v>
      </c>
      <c r="S861" s="9">
        <v>0</v>
      </c>
      <c r="T861" s="9">
        <v>0</v>
      </c>
      <c r="U861" s="9">
        <v>0</v>
      </c>
      <c r="V861" s="9">
        <v>0</v>
      </c>
      <c r="W861" s="9">
        <v>0</v>
      </c>
      <c r="X861" s="9">
        <v>0</v>
      </c>
      <c r="Y861" s="9">
        <v>0</v>
      </c>
      <c r="Z861" s="9">
        <v>0</v>
      </c>
      <c r="AA861" s="9">
        <v>0</v>
      </c>
      <c r="AB861" s="9">
        <v>0</v>
      </c>
      <c r="AC861" s="9">
        <v>0</v>
      </c>
      <c r="AD861" s="53" t="e">
        <f>#REF!*D861</f>
        <v>#REF!</v>
      </c>
      <c r="AE861" s="53" t="e">
        <f>AD861-#REF!</f>
        <v>#REF!</v>
      </c>
      <c r="AF861" s="21"/>
      <c r="AG861" s="33" t="e">
        <f>#REF!-D861</f>
        <v>#REF!</v>
      </c>
      <c r="AH861" s="21"/>
      <c r="AI861" s="21"/>
      <c r="AJ861" s="21"/>
      <c r="AK861" s="21"/>
    </row>
    <row r="862" spans="1:37" s="17" customFormat="1" ht="20.399999999999999" outlineLevel="1" x14ac:dyDescent="0.2">
      <c r="A862" s="61" t="s">
        <v>1197</v>
      </c>
      <c r="B862" s="80" t="s">
        <v>2371</v>
      </c>
      <c r="C862" s="21" t="s">
        <v>47</v>
      </c>
      <c r="D862" s="25">
        <f t="shared" si="204"/>
        <v>11</v>
      </c>
      <c r="E862" s="54"/>
      <c r="F862" s="9"/>
      <c r="G862" s="9">
        <v>0</v>
      </c>
      <c r="H862" s="9">
        <v>0</v>
      </c>
      <c r="I862" s="9">
        <v>11</v>
      </c>
      <c r="J862" s="9">
        <v>0</v>
      </c>
      <c r="K862" s="9">
        <v>0</v>
      </c>
      <c r="L862" s="9">
        <v>0</v>
      </c>
      <c r="M862" s="9">
        <v>0</v>
      </c>
      <c r="N862" s="9">
        <v>0</v>
      </c>
      <c r="O862" s="9">
        <v>0</v>
      </c>
      <c r="P862" s="9">
        <v>0</v>
      </c>
      <c r="Q862" s="9">
        <v>0</v>
      </c>
      <c r="R862" s="9">
        <v>0</v>
      </c>
      <c r="S862" s="9">
        <v>0</v>
      </c>
      <c r="T862" s="9">
        <v>0</v>
      </c>
      <c r="U862" s="9">
        <v>0</v>
      </c>
      <c r="V862" s="9">
        <v>0</v>
      </c>
      <c r="W862" s="9">
        <v>0</v>
      </c>
      <c r="X862" s="9">
        <v>0</v>
      </c>
      <c r="Y862" s="9">
        <v>0</v>
      </c>
      <c r="Z862" s="9">
        <v>0</v>
      </c>
      <c r="AA862" s="9">
        <v>0</v>
      </c>
      <c r="AB862" s="9">
        <v>0</v>
      </c>
      <c r="AC862" s="9">
        <v>0</v>
      </c>
      <c r="AD862" s="53" t="e">
        <f>#REF!*D862</f>
        <v>#REF!</v>
      </c>
      <c r="AE862" s="53" t="e">
        <f>AD862-#REF!</f>
        <v>#REF!</v>
      </c>
      <c r="AF862" s="21"/>
      <c r="AG862" s="33" t="e">
        <f>#REF!-D862</f>
        <v>#REF!</v>
      </c>
      <c r="AH862" s="21"/>
      <c r="AI862" s="21"/>
      <c r="AJ862" s="21"/>
      <c r="AK862" s="21"/>
    </row>
    <row r="863" spans="1:37" s="17" customFormat="1" ht="30.6" outlineLevel="1" x14ac:dyDescent="0.2">
      <c r="A863" s="61" t="s">
        <v>1198</v>
      </c>
      <c r="B863" s="14" t="s">
        <v>1190</v>
      </c>
      <c r="C863" s="21" t="s">
        <v>47</v>
      </c>
      <c r="D863" s="25">
        <f t="shared" si="204"/>
        <v>10</v>
      </c>
      <c r="E863" s="54"/>
      <c r="F863" s="9"/>
      <c r="G863" s="9">
        <v>0</v>
      </c>
      <c r="H863" s="9">
        <v>0</v>
      </c>
      <c r="I863" s="9">
        <v>5</v>
      </c>
      <c r="J863" s="9">
        <v>0</v>
      </c>
      <c r="K863" s="9">
        <v>0</v>
      </c>
      <c r="L863" s="9">
        <v>0</v>
      </c>
      <c r="M863" s="9">
        <v>0</v>
      </c>
      <c r="N863" s="9">
        <v>0</v>
      </c>
      <c r="O863" s="9">
        <v>0</v>
      </c>
      <c r="P863" s="9">
        <v>0</v>
      </c>
      <c r="Q863" s="9">
        <v>0</v>
      </c>
      <c r="R863" s="9">
        <v>0</v>
      </c>
      <c r="S863" s="9">
        <v>0</v>
      </c>
      <c r="T863" s="9">
        <v>0</v>
      </c>
      <c r="U863" s="9">
        <v>1</v>
      </c>
      <c r="V863" s="9">
        <v>2</v>
      </c>
      <c r="W863" s="9">
        <v>0</v>
      </c>
      <c r="X863" s="9">
        <v>0</v>
      </c>
      <c r="Y863" s="9">
        <v>0</v>
      </c>
      <c r="Z863" s="9">
        <v>1</v>
      </c>
      <c r="AA863" s="9">
        <v>0</v>
      </c>
      <c r="AB863" s="9">
        <v>1</v>
      </c>
      <c r="AC863" s="9">
        <v>0</v>
      </c>
      <c r="AD863" s="53" t="e">
        <f>#REF!*D863</f>
        <v>#REF!</v>
      </c>
      <c r="AE863" s="53" t="e">
        <f>AD863-#REF!</f>
        <v>#REF!</v>
      </c>
      <c r="AF863" s="21"/>
      <c r="AG863" s="33" t="e">
        <f>#REF!-D863</f>
        <v>#REF!</v>
      </c>
      <c r="AH863" s="21"/>
      <c r="AI863" s="21"/>
      <c r="AJ863" s="21"/>
      <c r="AK863" s="21"/>
    </row>
    <row r="864" spans="1:37" s="17" customFormat="1" ht="20.399999999999999" outlineLevel="1" x14ac:dyDescent="0.2">
      <c r="A864" s="61" t="s">
        <v>1199</v>
      </c>
      <c r="B864" s="14" t="s">
        <v>1191</v>
      </c>
      <c r="C864" s="21" t="s">
        <v>47</v>
      </c>
      <c r="D864" s="25">
        <f t="shared" si="204"/>
        <v>40</v>
      </c>
      <c r="E864" s="54"/>
      <c r="F864" s="9"/>
      <c r="G864" s="9">
        <v>0</v>
      </c>
      <c r="H864" s="9">
        <v>25</v>
      </c>
      <c r="I864" s="9">
        <v>0</v>
      </c>
      <c r="J864" s="9">
        <v>3</v>
      </c>
      <c r="K864" s="9">
        <v>3</v>
      </c>
      <c r="L864" s="9">
        <v>0</v>
      </c>
      <c r="M864" s="9">
        <v>0</v>
      </c>
      <c r="N864" s="9">
        <v>0</v>
      </c>
      <c r="O864" s="9">
        <v>0</v>
      </c>
      <c r="P864" s="9">
        <v>0</v>
      </c>
      <c r="Q864" s="9">
        <v>0</v>
      </c>
      <c r="R864" s="9">
        <v>0</v>
      </c>
      <c r="S864" s="9">
        <v>0</v>
      </c>
      <c r="T864" s="9">
        <v>0</v>
      </c>
      <c r="U864" s="9">
        <v>0</v>
      </c>
      <c r="V864" s="9">
        <v>8</v>
      </c>
      <c r="W864" s="9">
        <v>1</v>
      </c>
      <c r="X864" s="9">
        <v>0</v>
      </c>
      <c r="Y864" s="9">
        <v>0</v>
      </c>
      <c r="Z864" s="9">
        <v>0</v>
      </c>
      <c r="AA864" s="9">
        <v>0</v>
      </c>
      <c r="AB864" s="9">
        <v>0</v>
      </c>
      <c r="AC864" s="9">
        <v>0</v>
      </c>
      <c r="AD864" s="53" t="e">
        <f>#REF!*D864</f>
        <v>#REF!</v>
      </c>
      <c r="AE864" s="53" t="e">
        <f>AD864-#REF!</f>
        <v>#REF!</v>
      </c>
      <c r="AF864" s="21"/>
      <c r="AG864" s="33" t="e">
        <f>#REF!-D864</f>
        <v>#REF!</v>
      </c>
      <c r="AH864" s="21"/>
      <c r="AI864" s="21"/>
      <c r="AJ864" s="21"/>
      <c r="AK864" s="21"/>
    </row>
    <row r="865" spans="1:37" s="17" customFormat="1" ht="20.399999999999999" outlineLevel="1" x14ac:dyDescent="0.2">
      <c r="A865" s="61" t="s">
        <v>1200</v>
      </c>
      <c r="B865" s="14" t="s">
        <v>1192</v>
      </c>
      <c r="C865" s="21" t="s">
        <v>47</v>
      </c>
      <c r="D865" s="25">
        <f t="shared" si="204"/>
        <v>75</v>
      </c>
      <c r="E865" s="54"/>
      <c r="F865" s="9"/>
      <c r="G865" s="9">
        <v>0</v>
      </c>
      <c r="H865" s="9">
        <v>0</v>
      </c>
      <c r="I865" s="9">
        <f>23-5</f>
        <v>18</v>
      </c>
      <c r="J865" s="9">
        <v>8</v>
      </c>
      <c r="K865" s="9">
        <f>20-6</f>
        <v>14</v>
      </c>
      <c r="L865" s="9">
        <v>0</v>
      </c>
      <c r="M865" s="9">
        <v>0</v>
      </c>
      <c r="N865" s="9">
        <v>0</v>
      </c>
      <c r="O865" s="9">
        <v>0</v>
      </c>
      <c r="P865" s="9">
        <v>0</v>
      </c>
      <c r="Q865" s="9">
        <v>0</v>
      </c>
      <c r="R865" s="9">
        <v>0</v>
      </c>
      <c r="S865" s="9">
        <v>0</v>
      </c>
      <c r="T865" s="9">
        <v>0</v>
      </c>
      <c r="U865" s="9">
        <v>0</v>
      </c>
      <c r="V865" s="9">
        <v>32</v>
      </c>
      <c r="W865" s="9">
        <v>3</v>
      </c>
      <c r="X865" s="9">
        <v>0</v>
      </c>
      <c r="Y865" s="9">
        <v>0</v>
      </c>
      <c r="Z865" s="9">
        <v>0</v>
      </c>
      <c r="AA865" s="9">
        <v>0</v>
      </c>
      <c r="AB865" s="9">
        <v>0</v>
      </c>
      <c r="AC865" s="9">
        <v>0</v>
      </c>
      <c r="AD865" s="53" t="e">
        <f>#REF!*D865</f>
        <v>#REF!</v>
      </c>
      <c r="AE865" s="53" t="e">
        <f>AD865-#REF!</f>
        <v>#REF!</v>
      </c>
      <c r="AF865" s="21"/>
      <c r="AG865" s="33" t="e">
        <f>#REF!-D865</f>
        <v>#REF!</v>
      </c>
      <c r="AH865" s="21"/>
      <c r="AI865" s="21"/>
      <c r="AJ865" s="21"/>
      <c r="AK865" s="21"/>
    </row>
    <row r="866" spans="1:37" s="17" customFormat="1" ht="20.399999999999999" outlineLevel="1" x14ac:dyDescent="0.2">
      <c r="A866" s="61" t="s">
        <v>1237</v>
      </c>
      <c r="B866" s="14" t="s">
        <v>317</v>
      </c>
      <c r="C866" s="8" t="s">
        <v>47</v>
      </c>
      <c r="D866" s="25">
        <f t="shared" si="204"/>
        <v>23</v>
      </c>
      <c r="E866" s="54"/>
      <c r="F866" s="9"/>
      <c r="G866" s="9">
        <v>0</v>
      </c>
      <c r="H866" s="9">
        <v>4</v>
      </c>
      <c r="I866" s="9">
        <v>8</v>
      </c>
      <c r="J866" s="9">
        <v>3</v>
      </c>
      <c r="K866" s="9">
        <v>0</v>
      </c>
      <c r="L866" s="9">
        <v>0</v>
      </c>
      <c r="M866" s="9">
        <v>2</v>
      </c>
      <c r="N866" s="9">
        <v>0</v>
      </c>
      <c r="O866" s="9">
        <v>0</v>
      </c>
      <c r="P866" s="9">
        <v>0</v>
      </c>
      <c r="Q866" s="9">
        <v>0</v>
      </c>
      <c r="R866" s="9">
        <v>0</v>
      </c>
      <c r="S866" s="9">
        <v>0</v>
      </c>
      <c r="T866" s="9">
        <v>0</v>
      </c>
      <c r="U866" s="9">
        <v>4</v>
      </c>
      <c r="V866" s="9">
        <v>0</v>
      </c>
      <c r="W866" s="9">
        <v>0</v>
      </c>
      <c r="X866" s="9">
        <v>0</v>
      </c>
      <c r="Y866" s="9">
        <v>0</v>
      </c>
      <c r="Z866" s="9">
        <v>0</v>
      </c>
      <c r="AA866" s="9">
        <v>0</v>
      </c>
      <c r="AB866" s="9">
        <v>2</v>
      </c>
      <c r="AC866" s="9">
        <v>0</v>
      </c>
      <c r="AD866" s="53" t="e">
        <f>#REF!*D866</f>
        <v>#REF!</v>
      </c>
      <c r="AE866" s="53" t="e">
        <f>AD866-#REF!</f>
        <v>#REF!</v>
      </c>
      <c r="AF866" s="8"/>
      <c r="AG866" s="33" t="e">
        <f>#REF!-D866</f>
        <v>#REF!</v>
      </c>
      <c r="AH866" s="8"/>
      <c r="AI866" s="8"/>
      <c r="AJ866" s="8"/>
      <c r="AK866" s="8"/>
    </row>
    <row r="867" spans="1:37" s="12" customFormat="1" ht="10.199999999999999" outlineLevel="1" x14ac:dyDescent="0.2">
      <c r="A867" s="61"/>
      <c r="B867" s="94"/>
      <c r="C867" s="24"/>
      <c r="D867" s="25"/>
      <c r="E867" s="54"/>
      <c r="F867" s="9"/>
      <c r="G867" s="9"/>
      <c r="H867" s="9"/>
      <c r="I867" s="9"/>
      <c r="J867" s="9"/>
      <c r="K867" s="9"/>
      <c r="L867" s="9"/>
      <c r="M867" s="9"/>
      <c r="N867" s="9"/>
      <c r="O867" s="9"/>
      <c r="P867" s="9"/>
      <c r="Q867" s="9"/>
      <c r="R867" s="9"/>
      <c r="S867" s="9"/>
      <c r="T867" s="9"/>
      <c r="U867" s="9"/>
      <c r="V867" s="9"/>
      <c r="W867" s="9"/>
      <c r="X867" s="9"/>
      <c r="Y867" s="9"/>
      <c r="Z867" s="9"/>
      <c r="AA867" s="9"/>
      <c r="AB867" s="9"/>
      <c r="AC867" s="9"/>
      <c r="AD867" s="53" t="e">
        <f>#REF!*D867</f>
        <v>#REF!</v>
      </c>
      <c r="AE867" s="53" t="e">
        <f>AD867-#REF!</f>
        <v>#REF!</v>
      </c>
      <c r="AF867" s="24"/>
      <c r="AG867" s="33" t="e">
        <f>#REF!-D867</f>
        <v>#REF!</v>
      </c>
      <c r="AH867" s="24"/>
      <c r="AI867" s="24"/>
      <c r="AJ867" s="24"/>
      <c r="AK867" s="24"/>
    </row>
    <row r="868" spans="1:37" s="12" customFormat="1" ht="12" x14ac:dyDescent="0.25">
      <c r="A868" s="18" t="s">
        <v>42</v>
      </c>
      <c r="B868" s="35" t="s">
        <v>1324</v>
      </c>
      <c r="C868" s="18" t="s">
        <v>41</v>
      </c>
      <c r="D868" s="52" t="e">
        <f>#REF!/#REF!*100</f>
        <v>#REF!</v>
      </c>
      <c r="E868" s="54"/>
      <c r="F868" s="9"/>
      <c r="G868" s="9"/>
      <c r="H868" s="9"/>
      <c r="I868" s="9"/>
      <c r="J868" s="9"/>
      <c r="K868" s="9"/>
      <c r="L868" s="9"/>
      <c r="M868" s="9"/>
      <c r="N868" s="9"/>
      <c r="O868" s="9"/>
      <c r="P868" s="9"/>
      <c r="Q868" s="9"/>
      <c r="R868" s="9"/>
      <c r="S868" s="9"/>
      <c r="T868" s="9"/>
      <c r="U868" s="9"/>
      <c r="V868" s="9"/>
      <c r="W868" s="9"/>
      <c r="X868" s="9"/>
      <c r="Y868" s="9"/>
      <c r="Z868" s="9"/>
      <c r="AA868" s="9"/>
      <c r="AB868" s="9"/>
      <c r="AC868" s="9"/>
      <c r="AD868" s="53" t="e">
        <f>#REF!*D868</f>
        <v>#REF!</v>
      </c>
      <c r="AE868" s="53" t="e">
        <f>AD868-#REF!</f>
        <v>#REF!</v>
      </c>
      <c r="AF868" s="24"/>
      <c r="AG868" s="33" t="e">
        <f>#REF!-D868</f>
        <v>#REF!</v>
      </c>
      <c r="AH868" s="24"/>
      <c r="AI868" s="24"/>
      <c r="AJ868" s="24"/>
      <c r="AK868" s="24"/>
    </row>
    <row r="869" spans="1:37" s="12" customFormat="1" ht="20.399999999999999" outlineLevel="1" x14ac:dyDescent="0.2">
      <c r="A869" s="61" t="s">
        <v>1238</v>
      </c>
      <c r="B869" s="47" t="s">
        <v>3588</v>
      </c>
      <c r="C869" s="9" t="s">
        <v>48</v>
      </c>
      <c r="D869" s="25">
        <f t="shared" ref="D869:D883" si="205">SUM(G869:AC869)</f>
        <v>610</v>
      </c>
      <c r="E869" s="54"/>
      <c r="F869" s="9"/>
      <c r="G869" s="9">
        <v>0</v>
      </c>
      <c r="H869" s="9">
        <v>0</v>
      </c>
      <c r="I869" s="49">
        <v>610</v>
      </c>
      <c r="J869" s="9">
        <v>0</v>
      </c>
      <c r="K869" s="9">
        <v>0</v>
      </c>
      <c r="L869" s="9">
        <v>0</v>
      </c>
      <c r="M869" s="9">
        <v>0</v>
      </c>
      <c r="N869" s="9">
        <v>0</v>
      </c>
      <c r="O869" s="9">
        <v>0</v>
      </c>
      <c r="P869" s="9">
        <v>0</v>
      </c>
      <c r="Q869" s="9">
        <v>0</v>
      </c>
      <c r="R869" s="9">
        <v>0</v>
      </c>
      <c r="S869" s="9">
        <v>0</v>
      </c>
      <c r="T869" s="9">
        <v>0</v>
      </c>
      <c r="U869" s="9">
        <v>0</v>
      </c>
      <c r="V869" s="9">
        <v>0</v>
      </c>
      <c r="W869" s="9">
        <v>0</v>
      </c>
      <c r="X869" s="9">
        <v>0</v>
      </c>
      <c r="Y869" s="9">
        <v>0</v>
      </c>
      <c r="Z869" s="9">
        <v>0</v>
      </c>
      <c r="AA869" s="9">
        <v>0</v>
      </c>
      <c r="AB869" s="9">
        <v>0</v>
      </c>
      <c r="AC869" s="9">
        <v>0</v>
      </c>
      <c r="AD869" s="53" t="e">
        <f>#REF!*D869</f>
        <v>#REF!</v>
      </c>
      <c r="AE869" s="53" t="e">
        <f>AD869-#REF!</f>
        <v>#REF!</v>
      </c>
      <c r="AF869" s="9"/>
      <c r="AG869" s="33" t="e">
        <f>#REF!-D869</f>
        <v>#REF!</v>
      </c>
      <c r="AH869" s="9"/>
      <c r="AI869" s="9"/>
      <c r="AJ869" s="9"/>
      <c r="AK869" s="9"/>
    </row>
    <row r="870" spans="1:37" s="12" customFormat="1" ht="24.75" customHeight="1" outlineLevel="1" x14ac:dyDescent="0.2">
      <c r="A870" s="61" t="s">
        <v>1239</v>
      </c>
      <c r="B870" s="47" t="s">
        <v>3589</v>
      </c>
      <c r="C870" s="9" t="s">
        <v>48</v>
      </c>
      <c r="D870" s="236">
        <f t="shared" si="205"/>
        <v>56600</v>
      </c>
      <c r="E870" s="54"/>
      <c r="F870" s="9"/>
      <c r="G870" s="9">
        <v>0</v>
      </c>
      <c r="H870" s="49">
        <f>MROUND(H857*20,5)</f>
        <v>6040</v>
      </c>
      <c r="I870" s="49">
        <f t="shared" ref="I870:AC870" si="206">MROUND(I857*20,5)</f>
        <v>4680</v>
      </c>
      <c r="J870" s="49">
        <f t="shared" si="206"/>
        <v>3600</v>
      </c>
      <c r="K870" s="49">
        <f t="shared" si="206"/>
        <v>3300</v>
      </c>
      <c r="L870" s="49">
        <f t="shared" si="206"/>
        <v>3480</v>
      </c>
      <c r="M870" s="49">
        <f t="shared" si="206"/>
        <v>2200</v>
      </c>
      <c r="N870" s="49">
        <f t="shared" si="206"/>
        <v>2180</v>
      </c>
      <c r="O870" s="49">
        <f t="shared" si="206"/>
        <v>2620</v>
      </c>
      <c r="P870" s="49">
        <f t="shared" si="206"/>
        <v>5840</v>
      </c>
      <c r="Q870" s="49">
        <f t="shared" si="206"/>
        <v>3640</v>
      </c>
      <c r="R870" s="49">
        <f t="shared" si="206"/>
        <v>800</v>
      </c>
      <c r="S870" s="49">
        <f t="shared" si="206"/>
        <v>0</v>
      </c>
      <c r="T870" s="49">
        <v>40</v>
      </c>
      <c r="U870" s="49">
        <f t="shared" si="206"/>
        <v>3120</v>
      </c>
      <c r="V870" s="49">
        <f t="shared" si="206"/>
        <v>4660</v>
      </c>
      <c r="W870" s="49">
        <f t="shared" si="206"/>
        <v>1600</v>
      </c>
      <c r="X870" s="49">
        <f t="shared" si="206"/>
        <v>1980</v>
      </c>
      <c r="Y870" s="49">
        <f t="shared" si="206"/>
        <v>2160</v>
      </c>
      <c r="Z870" s="49">
        <f t="shared" si="206"/>
        <v>2500</v>
      </c>
      <c r="AA870" s="49">
        <f t="shared" si="206"/>
        <v>1540</v>
      </c>
      <c r="AB870" s="49">
        <f t="shared" si="206"/>
        <v>620</v>
      </c>
      <c r="AC870" s="49">
        <f t="shared" si="206"/>
        <v>0</v>
      </c>
      <c r="AD870" s="53" t="e">
        <f>#REF!*D870</f>
        <v>#REF!</v>
      </c>
      <c r="AE870" s="53" t="e">
        <f>AD870-#REF!</f>
        <v>#REF!</v>
      </c>
      <c r="AF870" s="9"/>
      <c r="AG870" s="33" t="e">
        <f>#REF!-D870</f>
        <v>#REF!</v>
      </c>
      <c r="AH870" s="9"/>
      <c r="AI870" s="9"/>
      <c r="AJ870" s="9"/>
      <c r="AK870" s="9"/>
    </row>
    <row r="871" spans="1:37" s="12" customFormat="1" ht="27.75" customHeight="1" outlineLevel="1" x14ac:dyDescent="0.2">
      <c r="A871" s="61" t="s">
        <v>1240</v>
      </c>
      <c r="B871" s="47" t="s">
        <v>3590</v>
      </c>
      <c r="C871" s="8" t="s">
        <v>47</v>
      </c>
      <c r="D871" s="25">
        <f t="shared" si="205"/>
        <v>3697</v>
      </c>
      <c r="E871" s="54"/>
      <c r="F871" s="9"/>
      <c r="G871" s="9">
        <v>0</v>
      </c>
      <c r="H871" s="49">
        <f>MROUND(H857*1.30728,1)</f>
        <v>395</v>
      </c>
      <c r="I871" s="49">
        <f t="shared" ref="I871:AC871" si="207">MROUND(I857*1.30728,1)</f>
        <v>306</v>
      </c>
      <c r="J871" s="49">
        <f t="shared" si="207"/>
        <v>235</v>
      </c>
      <c r="K871" s="49">
        <f t="shared" si="207"/>
        <v>216</v>
      </c>
      <c r="L871" s="49">
        <f t="shared" si="207"/>
        <v>227</v>
      </c>
      <c r="M871" s="49">
        <f t="shared" si="207"/>
        <v>144</v>
      </c>
      <c r="N871" s="49">
        <f t="shared" si="207"/>
        <v>142</v>
      </c>
      <c r="O871" s="49">
        <f t="shared" si="207"/>
        <v>171</v>
      </c>
      <c r="P871" s="49">
        <f t="shared" si="207"/>
        <v>382</v>
      </c>
      <c r="Q871" s="49">
        <f t="shared" si="207"/>
        <v>238</v>
      </c>
      <c r="R871" s="49">
        <f t="shared" si="207"/>
        <v>52</v>
      </c>
      <c r="S871" s="49">
        <f t="shared" si="207"/>
        <v>0</v>
      </c>
      <c r="T871" s="49">
        <f t="shared" si="207"/>
        <v>0</v>
      </c>
      <c r="U871" s="49">
        <f t="shared" si="207"/>
        <v>204</v>
      </c>
      <c r="V871" s="49">
        <f t="shared" si="207"/>
        <v>305</v>
      </c>
      <c r="W871" s="49">
        <f t="shared" si="207"/>
        <v>105</v>
      </c>
      <c r="X871" s="49">
        <f t="shared" si="207"/>
        <v>129</v>
      </c>
      <c r="Y871" s="49">
        <f t="shared" si="207"/>
        <v>141</v>
      </c>
      <c r="Z871" s="49">
        <f t="shared" si="207"/>
        <v>163</v>
      </c>
      <c r="AA871" s="49">
        <f t="shared" si="207"/>
        <v>101</v>
      </c>
      <c r="AB871" s="49">
        <f t="shared" si="207"/>
        <v>41</v>
      </c>
      <c r="AC871" s="49">
        <f t="shared" si="207"/>
        <v>0</v>
      </c>
      <c r="AD871" s="53" t="e">
        <f>#REF!*D871</f>
        <v>#REF!</v>
      </c>
      <c r="AE871" s="53" t="e">
        <f>AD871-#REF!</f>
        <v>#REF!</v>
      </c>
      <c r="AF871" s="9"/>
      <c r="AG871" s="33" t="e">
        <f>#REF!-D871</f>
        <v>#REF!</v>
      </c>
      <c r="AH871" s="9"/>
      <c r="AI871" s="9"/>
      <c r="AJ871" s="9"/>
      <c r="AK871" s="9"/>
    </row>
    <row r="872" spans="1:37" s="12" customFormat="1" ht="27.75" customHeight="1" outlineLevel="1" x14ac:dyDescent="0.2">
      <c r="A872" s="61" t="s">
        <v>1241</v>
      </c>
      <c r="B872" s="47" t="s">
        <v>3591</v>
      </c>
      <c r="C872" s="8" t="s">
        <v>47</v>
      </c>
      <c r="D872" s="25">
        <f t="shared" si="205"/>
        <v>3596</v>
      </c>
      <c r="E872" s="54"/>
      <c r="F872" s="9"/>
      <c r="G872" s="9">
        <v>0</v>
      </c>
      <c r="H872" s="9">
        <v>3596</v>
      </c>
      <c r="I872" s="9">
        <v>0</v>
      </c>
      <c r="J872" s="9">
        <v>0</v>
      </c>
      <c r="K872" s="9">
        <v>0</v>
      </c>
      <c r="L872" s="9">
        <v>0</v>
      </c>
      <c r="M872" s="9">
        <v>0</v>
      </c>
      <c r="N872" s="9">
        <v>0</v>
      </c>
      <c r="O872" s="9">
        <v>0</v>
      </c>
      <c r="P872" s="9">
        <v>0</v>
      </c>
      <c r="Q872" s="9">
        <v>0</v>
      </c>
      <c r="R872" s="9">
        <v>0</v>
      </c>
      <c r="S872" s="9">
        <v>0</v>
      </c>
      <c r="T872" s="9">
        <v>0</v>
      </c>
      <c r="U872" s="9">
        <v>0</v>
      </c>
      <c r="V872" s="9">
        <v>0</v>
      </c>
      <c r="W872" s="9">
        <v>0</v>
      </c>
      <c r="X872" s="9">
        <v>0</v>
      </c>
      <c r="Y872" s="9">
        <v>0</v>
      </c>
      <c r="Z872" s="9">
        <v>0</v>
      </c>
      <c r="AA872" s="9">
        <v>0</v>
      </c>
      <c r="AB872" s="9">
        <v>0</v>
      </c>
      <c r="AC872" s="9">
        <v>0</v>
      </c>
      <c r="AD872" s="53" t="e">
        <f>#REF!*D872</f>
        <v>#REF!</v>
      </c>
      <c r="AE872" s="53" t="e">
        <f>AD872-#REF!</f>
        <v>#REF!</v>
      </c>
      <c r="AF872" s="9"/>
      <c r="AG872" s="33" t="e">
        <f>#REF!-D872</f>
        <v>#REF!</v>
      </c>
      <c r="AH872" s="9"/>
      <c r="AI872" s="9"/>
      <c r="AJ872" s="9"/>
      <c r="AK872" s="9"/>
    </row>
    <row r="873" spans="1:37" s="12" customFormat="1" ht="30.6" outlineLevel="1" x14ac:dyDescent="0.2">
      <c r="A873" s="61" t="s">
        <v>1322</v>
      </c>
      <c r="B873" s="47" t="s">
        <v>3593</v>
      </c>
      <c r="C873" s="9" t="s">
        <v>48</v>
      </c>
      <c r="D873" s="25">
        <f t="shared" si="205"/>
        <v>35940</v>
      </c>
      <c r="E873" s="54"/>
      <c r="F873" s="9"/>
      <c r="G873" s="9">
        <v>0</v>
      </c>
      <c r="H873" s="9">
        <v>3730</v>
      </c>
      <c r="I873" s="9">
        <v>2600</v>
      </c>
      <c r="J873" s="9">
        <v>1500</v>
      </c>
      <c r="K873" s="9">
        <v>1400</v>
      </c>
      <c r="L873" s="9">
        <v>2150</v>
      </c>
      <c r="M873" s="9">
        <v>1360</v>
      </c>
      <c r="N873" s="9">
        <v>1370</v>
      </c>
      <c r="O873" s="9">
        <v>1220</v>
      </c>
      <c r="P873" s="9">
        <v>1140</v>
      </c>
      <c r="Q873" s="9">
        <v>1520</v>
      </c>
      <c r="R873" s="9">
        <v>1010</v>
      </c>
      <c r="S873" s="9">
        <v>0</v>
      </c>
      <c r="T873" s="9">
        <v>0</v>
      </c>
      <c r="U873" s="9">
        <v>2070</v>
      </c>
      <c r="V873" s="9">
        <v>3140</v>
      </c>
      <c r="W873" s="9">
        <v>1350</v>
      </c>
      <c r="X873" s="9">
        <v>2500</v>
      </c>
      <c r="Y873" s="9">
        <v>2500</v>
      </c>
      <c r="Z873" s="9">
        <v>2920</v>
      </c>
      <c r="AA873" s="9">
        <v>2230</v>
      </c>
      <c r="AB873" s="9">
        <v>230</v>
      </c>
      <c r="AC873" s="9">
        <v>0</v>
      </c>
      <c r="AD873" s="53" t="e">
        <f>#REF!*D873</f>
        <v>#REF!</v>
      </c>
      <c r="AE873" s="53" t="e">
        <f>AD873-#REF!</f>
        <v>#REF!</v>
      </c>
      <c r="AF873" s="9"/>
      <c r="AG873" s="33" t="e">
        <f>#REF!-D873</f>
        <v>#REF!</v>
      </c>
      <c r="AH873" s="9"/>
      <c r="AI873" s="9"/>
      <c r="AJ873" s="9"/>
      <c r="AK873" s="9"/>
    </row>
    <row r="874" spans="1:37" s="12" customFormat="1" ht="30.6" outlineLevel="1" x14ac:dyDescent="0.2">
      <c r="A874" s="61" t="s">
        <v>1323</v>
      </c>
      <c r="B874" s="47" t="s">
        <v>3594</v>
      </c>
      <c r="C874" s="9" t="s">
        <v>48</v>
      </c>
      <c r="D874" s="25">
        <f t="shared" si="205"/>
        <v>1395</v>
      </c>
      <c r="E874" s="54"/>
      <c r="F874" s="9"/>
      <c r="G874" s="9">
        <v>0</v>
      </c>
      <c r="H874" s="9">
        <v>0</v>
      </c>
      <c r="I874" s="9">
        <v>75</v>
      </c>
      <c r="J874" s="9">
        <v>310</v>
      </c>
      <c r="K874" s="9">
        <v>240</v>
      </c>
      <c r="L874" s="9">
        <v>100</v>
      </c>
      <c r="M874" s="9">
        <v>0</v>
      </c>
      <c r="N874" s="9">
        <v>260</v>
      </c>
      <c r="O874" s="9">
        <v>120</v>
      </c>
      <c r="P874" s="9">
        <v>150</v>
      </c>
      <c r="Q874" s="9">
        <v>140</v>
      </c>
      <c r="R874" s="9">
        <v>0</v>
      </c>
      <c r="S874" s="9">
        <v>0</v>
      </c>
      <c r="T874" s="9">
        <v>0</v>
      </c>
      <c r="U874" s="9">
        <v>0</v>
      </c>
      <c r="V874" s="9">
        <v>0</v>
      </c>
      <c r="W874" s="9">
        <v>0</v>
      </c>
      <c r="X874" s="9">
        <v>0</v>
      </c>
      <c r="Y874" s="9">
        <v>0</v>
      </c>
      <c r="Z874" s="9">
        <v>0</v>
      </c>
      <c r="AA874" s="9">
        <v>0</v>
      </c>
      <c r="AB874" s="9">
        <v>0</v>
      </c>
      <c r="AC874" s="9">
        <v>0</v>
      </c>
      <c r="AD874" s="53" t="e">
        <f>#REF!*D874</f>
        <v>#REF!</v>
      </c>
      <c r="AE874" s="53" t="e">
        <f>AD874-#REF!</f>
        <v>#REF!</v>
      </c>
      <c r="AF874" s="9"/>
      <c r="AG874" s="33" t="e">
        <f>#REF!-D874</f>
        <v>#REF!</v>
      </c>
      <c r="AH874" s="9"/>
      <c r="AI874" s="9"/>
      <c r="AJ874" s="9"/>
      <c r="AK874" s="9"/>
    </row>
    <row r="875" spans="1:37" s="12" customFormat="1" ht="30.6" outlineLevel="1" x14ac:dyDescent="0.2">
      <c r="A875" s="61" t="s">
        <v>2880</v>
      </c>
      <c r="B875" s="47" t="s">
        <v>3595</v>
      </c>
      <c r="C875" s="9" t="s">
        <v>48</v>
      </c>
      <c r="D875" s="25">
        <f t="shared" si="205"/>
        <v>1010</v>
      </c>
      <c r="E875" s="54"/>
      <c r="F875" s="9"/>
      <c r="G875" s="9">
        <v>0</v>
      </c>
      <c r="H875" s="9">
        <v>280</v>
      </c>
      <c r="I875" s="9">
        <v>220</v>
      </c>
      <c r="J875" s="9">
        <v>0</v>
      </c>
      <c r="K875" s="9">
        <v>0</v>
      </c>
      <c r="L875" s="9">
        <v>250</v>
      </c>
      <c r="M875" s="9">
        <v>260</v>
      </c>
      <c r="N875" s="9">
        <v>0</v>
      </c>
      <c r="O875" s="9">
        <v>0</v>
      </c>
      <c r="P875" s="9">
        <v>0</v>
      </c>
      <c r="Q875" s="9">
        <v>0</v>
      </c>
      <c r="R875" s="9">
        <v>0</v>
      </c>
      <c r="S875" s="9">
        <v>0</v>
      </c>
      <c r="T875" s="9">
        <v>0</v>
      </c>
      <c r="U875" s="9">
        <v>0</v>
      </c>
      <c r="V875" s="9">
        <v>0</v>
      </c>
      <c r="W875" s="9">
        <v>0</v>
      </c>
      <c r="X875" s="9">
        <v>0</v>
      </c>
      <c r="Y875" s="9">
        <v>0</v>
      </c>
      <c r="Z875" s="9">
        <v>0</v>
      </c>
      <c r="AA875" s="9">
        <v>0</v>
      </c>
      <c r="AB875" s="9">
        <v>0</v>
      </c>
      <c r="AC875" s="9">
        <v>0</v>
      </c>
      <c r="AD875" s="53" t="e">
        <f>#REF!*D875</f>
        <v>#REF!</v>
      </c>
      <c r="AE875" s="53" t="e">
        <f>AD875-#REF!</f>
        <v>#REF!</v>
      </c>
      <c r="AF875" s="9"/>
      <c r="AG875" s="33" t="e">
        <f>#REF!-D875</f>
        <v>#REF!</v>
      </c>
      <c r="AH875" s="9"/>
      <c r="AI875" s="9"/>
      <c r="AJ875" s="9"/>
      <c r="AK875" s="9"/>
    </row>
    <row r="876" spans="1:37" s="12" customFormat="1" ht="30.6" outlineLevel="1" x14ac:dyDescent="0.2">
      <c r="A876" s="61" t="s">
        <v>2885</v>
      </c>
      <c r="B876" s="47" t="s">
        <v>3596</v>
      </c>
      <c r="C876" s="9" t="s">
        <v>47</v>
      </c>
      <c r="D876" s="25">
        <f t="shared" si="205"/>
        <v>2497</v>
      </c>
      <c r="E876" s="54"/>
      <c r="F876" s="9"/>
      <c r="G876" s="9">
        <v>0</v>
      </c>
      <c r="H876" s="49">
        <f>MROUND(H857*0.8829,1)</f>
        <v>267</v>
      </c>
      <c r="I876" s="49">
        <f t="shared" ref="I876:AC876" si="208">MROUND(I857*0.8829,1)</f>
        <v>207</v>
      </c>
      <c r="J876" s="49">
        <f t="shared" si="208"/>
        <v>159</v>
      </c>
      <c r="K876" s="49">
        <f t="shared" si="208"/>
        <v>146</v>
      </c>
      <c r="L876" s="49">
        <f t="shared" si="208"/>
        <v>154</v>
      </c>
      <c r="M876" s="49">
        <f t="shared" si="208"/>
        <v>97</v>
      </c>
      <c r="N876" s="49">
        <f t="shared" si="208"/>
        <v>96</v>
      </c>
      <c r="O876" s="49">
        <f t="shared" si="208"/>
        <v>116</v>
      </c>
      <c r="P876" s="49">
        <f t="shared" si="208"/>
        <v>258</v>
      </c>
      <c r="Q876" s="49">
        <f t="shared" si="208"/>
        <v>161</v>
      </c>
      <c r="R876" s="49">
        <f t="shared" si="208"/>
        <v>35</v>
      </c>
      <c r="S876" s="49">
        <f t="shared" si="208"/>
        <v>0</v>
      </c>
      <c r="T876" s="49">
        <f t="shared" si="208"/>
        <v>0</v>
      </c>
      <c r="U876" s="49">
        <f t="shared" si="208"/>
        <v>138</v>
      </c>
      <c r="V876" s="49">
        <f t="shared" si="208"/>
        <v>206</v>
      </c>
      <c r="W876" s="49">
        <f t="shared" si="208"/>
        <v>71</v>
      </c>
      <c r="X876" s="49">
        <f t="shared" si="208"/>
        <v>87</v>
      </c>
      <c r="Y876" s="49">
        <f t="shared" si="208"/>
        <v>95</v>
      </c>
      <c r="Z876" s="49">
        <f t="shared" si="208"/>
        <v>110</v>
      </c>
      <c r="AA876" s="49">
        <f t="shared" si="208"/>
        <v>68</v>
      </c>
      <c r="AB876" s="49">
        <v>26</v>
      </c>
      <c r="AC876" s="49">
        <f t="shared" si="208"/>
        <v>0</v>
      </c>
      <c r="AD876" s="53" t="e">
        <f>#REF!*D876</f>
        <v>#REF!</v>
      </c>
      <c r="AE876" s="53" t="e">
        <f>AD876-#REF!</f>
        <v>#REF!</v>
      </c>
      <c r="AF876" s="9"/>
      <c r="AG876" s="33" t="e">
        <f>#REF!-D876</f>
        <v>#REF!</v>
      </c>
      <c r="AH876" s="9"/>
      <c r="AI876" s="9"/>
      <c r="AJ876" s="9"/>
      <c r="AK876" s="9"/>
    </row>
    <row r="877" spans="1:37" s="12" customFormat="1" ht="30.6" outlineLevel="1" x14ac:dyDescent="0.2">
      <c r="A877" s="61" t="s">
        <v>2933</v>
      </c>
      <c r="B877" s="47" t="s">
        <v>3597</v>
      </c>
      <c r="C877" s="9" t="s">
        <v>47</v>
      </c>
      <c r="D877" s="25">
        <f t="shared" si="205"/>
        <v>1225</v>
      </c>
      <c r="E877" s="54"/>
      <c r="F877" s="9"/>
      <c r="G877" s="9">
        <v>0</v>
      </c>
      <c r="H877" s="9">
        <v>1225</v>
      </c>
      <c r="I877" s="9">
        <v>0</v>
      </c>
      <c r="J877" s="9">
        <v>0</v>
      </c>
      <c r="K877" s="9">
        <v>0</v>
      </c>
      <c r="L877" s="9">
        <v>0</v>
      </c>
      <c r="M877" s="9">
        <v>0</v>
      </c>
      <c r="N877" s="9">
        <v>0</v>
      </c>
      <c r="O877" s="9">
        <v>0</v>
      </c>
      <c r="P877" s="9">
        <v>0</v>
      </c>
      <c r="Q877" s="9">
        <v>0</v>
      </c>
      <c r="R877" s="9">
        <v>0</v>
      </c>
      <c r="S877" s="9">
        <v>0</v>
      </c>
      <c r="T877" s="9">
        <v>0</v>
      </c>
      <c r="U877" s="9">
        <v>0</v>
      </c>
      <c r="V877" s="9">
        <v>0</v>
      </c>
      <c r="W877" s="9">
        <v>0</v>
      </c>
      <c r="X877" s="9">
        <v>0</v>
      </c>
      <c r="Y877" s="9">
        <v>0</v>
      </c>
      <c r="Z877" s="9">
        <v>0</v>
      </c>
      <c r="AA877" s="9">
        <v>0</v>
      </c>
      <c r="AB877" s="9">
        <v>0</v>
      </c>
      <c r="AC877" s="9">
        <v>0</v>
      </c>
      <c r="AD877" s="53" t="e">
        <f>#REF!*D877</f>
        <v>#REF!</v>
      </c>
      <c r="AE877" s="53" t="e">
        <f>AD877-#REF!</f>
        <v>#REF!</v>
      </c>
      <c r="AF877" s="9"/>
      <c r="AG877" s="33" t="e">
        <f>#REF!-D877</f>
        <v>#REF!</v>
      </c>
      <c r="AH877" s="9"/>
      <c r="AI877" s="9"/>
      <c r="AJ877" s="9"/>
      <c r="AK877" s="9"/>
    </row>
    <row r="878" spans="1:37" s="12" customFormat="1" ht="30.6" outlineLevel="1" x14ac:dyDescent="0.2">
      <c r="A878" s="61" t="s">
        <v>2934</v>
      </c>
      <c r="B878" s="47" t="s">
        <v>3598</v>
      </c>
      <c r="C878" s="9" t="s">
        <v>47</v>
      </c>
      <c r="D878" s="25">
        <f t="shared" si="205"/>
        <v>139</v>
      </c>
      <c r="E878" s="54"/>
      <c r="F878" s="9"/>
      <c r="G878" s="9">
        <v>0</v>
      </c>
      <c r="H878" s="9">
        <v>139</v>
      </c>
      <c r="I878" s="9">
        <v>0</v>
      </c>
      <c r="J878" s="9">
        <v>0</v>
      </c>
      <c r="K878" s="9">
        <v>0</v>
      </c>
      <c r="L878" s="9">
        <v>0</v>
      </c>
      <c r="M878" s="9">
        <v>0</v>
      </c>
      <c r="N878" s="9">
        <v>0</v>
      </c>
      <c r="O878" s="9">
        <v>0</v>
      </c>
      <c r="P878" s="9">
        <v>0</v>
      </c>
      <c r="Q878" s="9">
        <v>0</v>
      </c>
      <c r="R878" s="9">
        <v>0</v>
      </c>
      <c r="S878" s="9">
        <v>0</v>
      </c>
      <c r="T878" s="9">
        <v>0</v>
      </c>
      <c r="U878" s="9">
        <v>0</v>
      </c>
      <c r="V878" s="9">
        <v>0</v>
      </c>
      <c r="W878" s="9">
        <v>0</v>
      </c>
      <c r="X878" s="9">
        <v>0</v>
      </c>
      <c r="Y878" s="9">
        <v>0</v>
      </c>
      <c r="Z878" s="9">
        <v>0</v>
      </c>
      <c r="AA878" s="9">
        <v>0</v>
      </c>
      <c r="AB878" s="9">
        <v>0</v>
      </c>
      <c r="AC878" s="9">
        <v>0</v>
      </c>
      <c r="AD878" s="53" t="e">
        <f>#REF!*D878</f>
        <v>#REF!</v>
      </c>
      <c r="AE878" s="53" t="e">
        <f>AD878-#REF!</f>
        <v>#REF!</v>
      </c>
      <c r="AF878" s="9"/>
      <c r="AG878" s="33" t="e">
        <f>#REF!-D878</f>
        <v>#REF!</v>
      </c>
      <c r="AH878" s="9"/>
      <c r="AI878" s="9"/>
      <c r="AJ878" s="9"/>
      <c r="AK878" s="9"/>
    </row>
    <row r="879" spans="1:37" s="12" customFormat="1" ht="33" outlineLevel="1" x14ac:dyDescent="0.2">
      <c r="A879" s="61" t="s">
        <v>2935</v>
      </c>
      <c r="B879" s="14" t="s">
        <v>1037</v>
      </c>
      <c r="C879" s="9" t="s">
        <v>48</v>
      </c>
      <c r="D879" s="25">
        <f t="shared" si="205"/>
        <v>5</v>
      </c>
      <c r="E879" s="54"/>
      <c r="F879" s="9"/>
      <c r="G879" s="33">
        <v>0</v>
      </c>
      <c r="H879" s="33">
        <v>0</v>
      </c>
      <c r="I879" s="9">
        <v>0</v>
      </c>
      <c r="J879" s="9">
        <v>0</v>
      </c>
      <c r="K879" s="9">
        <v>0</v>
      </c>
      <c r="L879" s="9">
        <v>0</v>
      </c>
      <c r="M879" s="9">
        <v>0</v>
      </c>
      <c r="N879" s="9">
        <v>0</v>
      </c>
      <c r="O879" s="9">
        <v>0</v>
      </c>
      <c r="P879" s="9">
        <v>0</v>
      </c>
      <c r="Q879" s="9">
        <v>0</v>
      </c>
      <c r="R879" s="9">
        <v>0</v>
      </c>
      <c r="S879" s="9">
        <v>0</v>
      </c>
      <c r="T879" s="9">
        <v>0</v>
      </c>
      <c r="U879" s="33">
        <v>5</v>
      </c>
      <c r="V879" s="9">
        <v>0</v>
      </c>
      <c r="W879" s="9">
        <v>0</v>
      </c>
      <c r="X879" s="9">
        <v>0</v>
      </c>
      <c r="Y879" s="9">
        <v>0</v>
      </c>
      <c r="Z879" s="9">
        <v>0</v>
      </c>
      <c r="AA879" s="9">
        <v>0</v>
      </c>
      <c r="AB879" s="9">
        <v>0</v>
      </c>
      <c r="AC879" s="9">
        <v>0</v>
      </c>
      <c r="AD879" s="53" t="e">
        <f>#REF!*D879</f>
        <v>#REF!</v>
      </c>
      <c r="AE879" s="53" t="e">
        <f>AD879-#REF!</f>
        <v>#REF!</v>
      </c>
      <c r="AF879" s="9"/>
      <c r="AG879" s="33" t="e">
        <f>#REF!-D879</f>
        <v>#REF!</v>
      </c>
      <c r="AH879" s="9"/>
      <c r="AI879" s="9"/>
      <c r="AJ879" s="9"/>
      <c r="AK879" s="9"/>
    </row>
    <row r="880" spans="1:37" s="12" customFormat="1" ht="20.399999999999999" outlineLevel="1" x14ac:dyDescent="0.2">
      <c r="A880" s="61" t="s">
        <v>2936</v>
      </c>
      <c r="B880" s="14" t="s">
        <v>1321</v>
      </c>
      <c r="C880" s="9" t="s">
        <v>48</v>
      </c>
      <c r="D880" s="25">
        <f t="shared" si="205"/>
        <v>610</v>
      </c>
      <c r="E880" s="54"/>
      <c r="F880" s="9"/>
      <c r="G880" s="33">
        <v>0</v>
      </c>
      <c r="H880" s="88">
        <f t="shared" ref="H880:AB880" si="209">(H1066+H1067)*10</f>
        <v>60</v>
      </c>
      <c r="I880" s="88">
        <f t="shared" si="209"/>
        <v>50</v>
      </c>
      <c r="J880" s="88">
        <f t="shared" si="209"/>
        <v>40</v>
      </c>
      <c r="K880" s="88">
        <f t="shared" si="209"/>
        <v>40</v>
      </c>
      <c r="L880" s="88">
        <f t="shared" si="209"/>
        <v>30</v>
      </c>
      <c r="M880" s="88">
        <f t="shared" si="209"/>
        <v>30</v>
      </c>
      <c r="N880" s="88">
        <f t="shared" si="209"/>
        <v>30</v>
      </c>
      <c r="O880" s="88">
        <f t="shared" si="209"/>
        <v>40</v>
      </c>
      <c r="P880" s="88">
        <f t="shared" si="209"/>
        <v>40</v>
      </c>
      <c r="Q880" s="88">
        <f t="shared" si="209"/>
        <v>120</v>
      </c>
      <c r="R880" s="88">
        <f t="shared" si="209"/>
        <v>0</v>
      </c>
      <c r="S880" s="88">
        <f t="shared" si="209"/>
        <v>0</v>
      </c>
      <c r="T880" s="88">
        <f t="shared" si="209"/>
        <v>0</v>
      </c>
      <c r="U880" s="88">
        <f t="shared" si="209"/>
        <v>20</v>
      </c>
      <c r="V880" s="88">
        <f t="shared" si="209"/>
        <v>20</v>
      </c>
      <c r="W880" s="88">
        <f t="shared" si="209"/>
        <v>10</v>
      </c>
      <c r="X880" s="88">
        <f t="shared" si="209"/>
        <v>20</v>
      </c>
      <c r="Y880" s="88">
        <f t="shared" si="209"/>
        <v>20</v>
      </c>
      <c r="Z880" s="88">
        <f t="shared" si="209"/>
        <v>20</v>
      </c>
      <c r="AA880" s="88">
        <f t="shared" si="209"/>
        <v>20</v>
      </c>
      <c r="AB880" s="88">
        <f t="shared" si="209"/>
        <v>0</v>
      </c>
      <c r="AC880" s="9">
        <v>0</v>
      </c>
      <c r="AD880" s="53" t="e">
        <f>#REF!*D880</f>
        <v>#REF!</v>
      </c>
      <c r="AE880" s="53" t="e">
        <f>AD880-#REF!</f>
        <v>#REF!</v>
      </c>
      <c r="AF880" s="9"/>
      <c r="AG880" s="33" t="e">
        <f>#REF!-D880</f>
        <v>#REF!</v>
      </c>
      <c r="AH880" s="9"/>
      <c r="AI880" s="9"/>
      <c r="AJ880" s="9"/>
      <c r="AK880" s="9"/>
    </row>
    <row r="881" spans="1:37" s="12" customFormat="1" ht="22.8" outlineLevel="1" x14ac:dyDescent="0.2">
      <c r="A881" s="61" t="s">
        <v>2937</v>
      </c>
      <c r="B881" s="14" t="s">
        <v>1065</v>
      </c>
      <c r="C881" s="9" t="s">
        <v>48</v>
      </c>
      <c r="D881" s="25">
        <f t="shared" si="205"/>
        <v>305</v>
      </c>
      <c r="E881" s="54"/>
      <c r="F881" s="9"/>
      <c r="G881" s="33">
        <v>0</v>
      </c>
      <c r="H881" s="88">
        <f t="shared" ref="H881:AB881" si="210">(H1066+H1067)*5</f>
        <v>30</v>
      </c>
      <c r="I881" s="88">
        <f t="shared" si="210"/>
        <v>25</v>
      </c>
      <c r="J881" s="88">
        <f t="shared" si="210"/>
        <v>20</v>
      </c>
      <c r="K881" s="88">
        <f t="shared" si="210"/>
        <v>20</v>
      </c>
      <c r="L881" s="88">
        <f t="shared" si="210"/>
        <v>15</v>
      </c>
      <c r="M881" s="88">
        <f t="shared" si="210"/>
        <v>15</v>
      </c>
      <c r="N881" s="88">
        <f t="shared" si="210"/>
        <v>15</v>
      </c>
      <c r="O881" s="88">
        <f t="shared" si="210"/>
        <v>20</v>
      </c>
      <c r="P881" s="88">
        <f t="shared" si="210"/>
        <v>20</v>
      </c>
      <c r="Q881" s="88">
        <f t="shared" si="210"/>
        <v>60</v>
      </c>
      <c r="R881" s="88">
        <f t="shared" si="210"/>
        <v>0</v>
      </c>
      <c r="S881" s="88">
        <f t="shared" si="210"/>
        <v>0</v>
      </c>
      <c r="T881" s="88">
        <f t="shared" si="210"/>
        <v>0</v>
      </c>
      <c r="U881" s="88">
        <f t="shared" si="210"/>
        <v>10</v>
      </c>
      <c r="V881" s="88">
        <f t="shared" si="210"/>
        <v>10</v>
      </c>
      <c r="W881" s="88">
        <f t="shared" si="210"/>
        <v>5</v>
      </c>
      <c r="X881" s="88">
        <f t="shared" si="210"/>
        <v>10</v>
      </c>
      <c r="Y881" s="88">
        <f t="shared" si="210"/>
        <v>10</v>
      </c>
      <c r="Z881" s="88">
        <f t="shared" si="210"/>
        <v>10</v>
      </c>
      <c r="AA881" s="88">
        <f t="shared" si="210"/>
        <v>10</v>
      </c>
      <c r="AB881" s="88">
        <f t="shared" si="210"/>
        <v>0</v>
      </c>
      <c r="AC881" s="9">
        <v>0</v>
      </c>
      <c r="AD881" s="53" t="e">
        <f>#REF!*D881</f>
        <v>#REF!</v>
      </c>
      <c r="AE881" s="53" t="e">
        <f>AD881-#REF!</f>
        <v>#REF!</v>
      </c>
      <c r="AF881" s="9"/>
      <c r="AG881" s="33" t="e">
        <f>#REF!-D881</f>
        <v>#REF!</v>
      </c>
      <c r="AH881" s="9"/>
      <c r="AI881" s="9"/>
      <c r="AJ881" s="9"/>
      <c r="AK881" s="9"/>
    </row>
    <row r="882" spans="1:37" s="12" customFormat="1" ht="20.399999999999999" outlineLevel="1" x14ac:dyDescent="0.2">
      <c r="A882" s="61" t="s">
        <v>3599</v>
      </c>
      <c r="B882" s="221" t="s">
        <v>3184</v>
      </c>
      <c r="C882" s="9" t="s">
        <v>2881</v>
      </c>
      <c r="D882" s="25">
        <f t="shared" si="205"/>
        <v>5993</v>
      </c>
      <c r="E882" s="54"/>
      <c r="F882" s="9"/>
      <c r="G882" s="33">
        <v>0</v>
      </c>
      <c r="H882" s="88">
        <f>MROUND(H857*2.11916,1)</f>
        <v>640</v>
      </c>
      <c r="I882" s="88">
        <f t="shared" ref="I882:AC882" si="211">MROUND(I857*2.11916,1)</f>
        <v>496</v>
      </c>
      <c r="J882" s="88">
        <f t="shared" si="211"/>
        <v>381</v>
      </c>
      <c r="K882" s="88">
        <f t="shared" si="211"/>
        <v>350</v>
      </c>
      <c r="L882" s="88">
        <f t="shared" si="211"/>
        <v>369</v>
      </c>
      <c r="M882" s="88">
        <f t="shared" si="211"/>
        <v>233</v>
      </c>
      <c r="N882" s="88">
        <f t="shared" si="211"/>
        <v>231</v>
      </c>
      <c r="O882" s="88">
        <f t="shared" si="211"/>
        <v>278</v>
      </c>
      <c r="P882" s="88">
        <f t="shared" si="211"/>
        <v>619</v>
      </c>
      <c r="Q882" s="88">
        <f t="shared" si="211"/>
        <v>386</v>
      </c>
      <c r="R882" s="88">
        <f t="shared" si="211"/>
        <v>85</v>
      </c>
      <c r="S882" s="88">
        <f t="shared" si="211"/>
        <v>0</v>
      </c>
      <c r="T882" s="88">
        <f t="shared" si="211"/>
        <v>0</v>
      </c>
      <c r="U882" s="88">
        <f t="shared" si="211"/>
        <v>331</v>
      </c>
      <c r="V882" s="88">
        <f t="shared" si="211"/>
        <v>494</v>
      </c>
      <c r="W882" s="88">
        <f t="shared" si="211"/>
        <v>170</v>
      </c>
      <c r="X882" s="88">
        <f t="shared" si="211"/>
        <v>210</v>
      </c>
      <c r="Y882" s="88">
        <f t="shared" si="211"/>
        <v>229</v>
      </c>
      <c r="Z882" s="88">
        <f t="shared" si="211"/>
        <v>265</v>
      </c>
      <c r="AA882" s="88">
        <f t="shared" si="211"/>
        <v>163</v>
      </c>
      <c r="AB882" s="88">
        <v>63</v>
      </c>
      <c r="AC882" s="88">
        <f t="shared" si="211"/>
        <v>0</v>
      </c>
      <c r="AD882" s="53" t="e">
        <f>#REF!*D882</f>
        <v>#REF!</v>
      </c>
      <c r="AE882" s="53" t="e">
        <f>AD882-#REF!</f>
        <v>#REF!</v>
      </c>
      <c r="AF882" s="9"/>
      <c r="AG882" s="33" t="e">
        <f>#REF!-D882</f>
        <v>#REF!</v>
      </c>
      <c r="AH882" s="9"/>
      <c r="AI882" s="9"/>
      <c r="AJ882" s="9"/>
      <c r="AK882" s="9"/>
    </row>
    <row r="883" spans="1:37" s="12" customFormat="1" ht="20.399999999999999" outlineLevel="1" x14ac:dyDescent="0.2">
      <c r="A883" s="61" t="s">
        <v>3600</v>
      </c>
      <c r="B883" s="221" t="s">
        <v>3185</v>
      </c>
      <c r="C883" s="9" t="s">
        <v>2881</v>
      </c>
      <c r="D883" s="25">
        <f t="shared" si="205"/>
        <v>376</v>
      </c>
      <c r="E883" s="54"/>
      <c r="F883" s="9"/>
      <c r="G883" s="33">
        <v>0</v>
      </c>
      <c r="H883" s="88">
        <f t="shared" ref="H883:AC883" si="212">(H888+H889)*1</f>
        <v>30</v>
      </c>
      <c r="I883" s="88">
        <f t="shared" si="212"/>
        <v>33</v>
      </c>
      <c r="J883" s="88">
        <f t="shared" si="212"/>
        <v>24</v>
      </c>
      <c r="K883" s="88">
        <f t="shared" si="212"/>
        <v>19</v>
      </c>
      <c r="L883" s="88">
        <f t="shared" si="212"/>
        <v>29</v>
      </c>
      <c r="M883" s="88">
        <f t="shared" si="212"/>
        <v>26</v>
      </c>
      <c r="N883" s="88">
        <f t="shared" si="212"/>
        <v>26</v>
      </c>
      <c r="O883" s="88">
        <f t="shared" si="212"/>
        <v>26</v>
      </c>
      <c r="P883" s="88">
        <f t="shared" si="212"/>
        <v>8</v>
      </c>
      <c r="Q883" s="88">
        <f t="shared" si="212"/>
        <v>28</v>
      </c>
      <c r="R883" s="88">
        <f t="shared" si="212"/>
        <v>1</v>
      </c>
      <c r="S883" s="88">
        <f t="shared" si="212"/>
        <v>0</v>
      </c>
      <c r="T883" s="88">
        <f t="shared" si="212"/>
        <v>0</v>
      </c>
      <c r="U883" s="88">
        <f t="shared" si="212"/>
        <v>17</v>
      </c>
      <c r="V883" s="88">
        <f t="shared" si="212"/>
        <v>23</v>
      </c>
      <c r="W883" s="88">
        <f t="shared" si="212"/>
        <v>10</v>
      </c>
      <c r="X883" s="88">
        <f t="shared" si="212"/>
        <v>18</v>
      </c>
      <c r="Y883" s="88">
        <f t="shared" si="212"/>
        <v>18</v>
      </c>
      <c r="Z883" s="88">
        <f t="shared" si="212"/>
        <v>21</v>
      </c>
      <c r="AA883" s="88">
        <f t="shared" si="212"/>
        <v>16</v>
      </c>
      <c r="AB883" s="88">
        <f t="shared" si="212"/>
        <v>3</v>
      </c>
      <c r="AC883" s="88">
        <f t="shared" si="212"/>
        <v>0</v>
      </c>
      <c r="AD883" s="53" t="e">
        <f>#REF!*D883</f>
        <v>#REF!</v>
      </c>
      <c r="AE883" s="53" t="e">
        <f>AD883-#REF!</f>
        <v>#REF!</v>
      </c>
      <c r="AF883" s="9"/>
      <c r="AG883" s="33" t="e">
        <f>#REF!-D883</f>
        <v>#REF!</v>
      </c>
      <c r="AH883" s="9"/>
      <c r="AI883" s="9"/>
      <c r="AJ883" s="9"/>
      <c r="AK883" s="9"/>
    </row>
    <row r="884" spans="1:37" s="12" customFormat="1" ht="10.199999999999999" outlineLevel="1" x14ac:dyDescent="0.2">
      <c r="A884" s="61"/>
      <c r="B884" s="94"/>
      <c r="C884" s="24"/>
      <c r="D884" s="25"/>
      <c r="E884" s="54"/>
      <c r="F884" s="9"/>
      <c r="G884" s="9"/>
      <c r="H884" s="9"/>
      <c r="I884" s="9"/>
      <c r="J884" s="9"/>
      <c r="K884" s="9"/>
      <c r="L884" s="9"/>
      <c r="M884" s="9"/>
      <c r="N884" s="9"/>
      <c r="O884" s="9"/>
      <c r="P884" s="9"/>
      <c r="Q884" s="9"/>
      <c r="R884" s="9"/>
      <c r="S884" s="9"/>
      <c r="T884" s="9"/>
      <c r="U884" s="9"/>
      <c r="V884" s="9"/>
      <c r="W884" s="9"/>
      <c r="X884" s="9"/>
      <c r="Y884" s="9"/>
      <c r="Z884" s="9"/>
      <c r="AA884" s="9"/>
      <c r="AB884" s="9"/>
      <c r="AC884" s="9"/>
      <c r="AD884" s="53" t="e">
        <f>#REF!*D884</f>
        <v>#REF!</v>
      </c>
      <c r="AE884" s="53" t="e">
        <f>AD884-#REF!</f>
        <v>#REF!</v>
      </c>
      <c r="AF884" s="24"/>
      <c r="AG884" s="33" t="e">
        <f>#REF!-D884</f>
        <v>#REF!</v>
      </c>
      <c r="AH884" s="24"/>
      <c r="AI884" s="24"/>
      <c r="AJ884" s="24"/>
      <c r="AK884" s="24"/>
    </row>
    <row r="885" spans="1:37" s="12" customFormat="1" ht="12" x14ac:dyDescent="0.25">
      <c r="A885" s="18" t="s">
        <v>43</v>
      </c>
      <c r="B885" s="35" t="s">
        <v>1244</v>
      </c>
      <c r="C885" s="18" t="s">
        <v>41</v>
      </c>
      <c r="D885" s="52" t="e">
        <f>#REF!/#REF!*100</f>
        <v>#REF!</v>
      </c>
      <c r="E885" s="54"/>
      <c r="F885" s="9"/>
      <c r="G885" s="9"/>
      <c r="H885" s="9"/>
      <c r="I885" s="9"/>
      <c r="J885" s="9"/>
      <c r="K885" s="9"/>
      <c r="L885" s="9"/>
      <c r="M885" s="9"/>
      <c r="N885" s="9"/>
      <c r="O885" s="9"/>
      <c r="P885" s="9"/>
      <c r="Q885" s="9"/>
      <c r="R885" s="9"/>
      <c r="S885" s="9"/>
      <c r="T885" s="9"/>
      <c r="U885" s="9"/>
      <c r="V885" s="9"/>
      <c r="W885" s="9"/>
      <c r="X885" s="9"/>
      <c r="Y885" s="9"/>
      <c r="Z885" s="9"/>
      <c r="AA885" s="9"/>
      <c r="AB885" s="9"/>
      <c r="AC885" s="9"/>
      <c r="AD885" s="53" t="e">
        <f>#REF!*D885</f>
        <v>#REF!</v>
      </c>
      <c r="AE885" s="53" t="e">
        <f>AD885-#REF!</f>
        <v>#REF!</v>
      </c>
      <c r="AF885" s="9"/>
      <c r="AG885" s="33" t="e">
        <f>#REF!-D885</f>
        <v>#REF!</v>
      </c>
      <c r="AH885" s="9"/>
      <c r="AI885" s="9"/>
      <c r="AJ885" s="9"/>
      <c r="AK885" s="9"/>
    </row>
    <row r="886" spans="1:37" s="12" customFormat="1" ht="30.6" outlineLevel="1" x14ac:dyDescent="0.2">
      <c r="A886" s="61" t="s">
        <v>1284</v>
      </c>
      <c r="B886" s="14" t="s">
        <v>1243</v>
      </c>
      <c r="C886" s="8" t="s">
        <v>47</v>
      </c>
      <c r="D886" s="25">
        <f t="shared" ref="D886:D900" si="213">SUM(G886:AC886)</f>
        <v>1</v>
      </c>
      <c r="E886" s="54"/>
      <c r="F886" s="9"/>
      <c r="G886" s="9">
        <v>0</v>
      </c>
      <c r="H886" s="9">
        <v>0</v>
      </c>
      <c r="I886" s="9">
        <v>0</v>
      </c>
      <c r="J886" s="9">
        <v>0</v>
      </c>
      <c r="K886" s="9">
        <v>0</v>
      </c>
      <c r="L886" s="9">
        <v>0</v>
      </c>
      <c r="M886" s="9">
        <v>0</v>
      </c>
      <c r="N886" s="9">
        <v>0</v>
      </c>
      <c r="O886" s="9">
        <v>0</v>
      </c>
      <c r="P886" s="9">
        <v>0</v>
      </c>
      <c r="Q886" s="9">
        <v>0</v>
      </c>
      <c r="R886" s="9">
        <v>0</v>
      </c>
      <c r="S886" s="9">
        <v>0</v>
      </c>
      <c r="T886" s="9">
        <v>0</v>
      </c>
      <c r="U886" s="9">
        <v>1</v>
      </c>
      <c r="V886" s="9">
        <v>0</v>
      </c>
      <c r="W886" s="9">
        <v>0</v>
      </c>
      <c r="X886" s="9">
        <v>0</v>
      </c>
      <c r="Y886" s="9">
        <v>0</v>
      </c>
      <c r="Z886" s="9">
        <v>0</v>
      </c>
      <c r="AA886" s="9">
        <v>0</v>
      </c>
      <c r="AB886" s="9">
        <v>0</v>
      </c>
      <c r="AC886" s="9">
        <v>0</v>
      </c>
      <c r="AD886" s="53" t="e">
        <f>#REF!*D886</f>
        <v>#REF!</v>
      </c>
      <c r="AE886" s="53" t="e">
        <f>AD886-#REF!</f>
        <v>#REF!</v>
      </c>
      <c r="AF886" s="9"/>
      <c r="AG886" s="33" t="e">
        <f>#REF!-D886</f>
        <v>#REF!</v>
      </c>
      <c r="AH886" s="9"/>
      <c r="AI886" s="9"/>
      <c r="AJ886" s="9"/>
      <c r="AK886" s="9"/>
    </row>
    <row r="887" spans="1:37" s="12" customFormat="1" ht="40.799999999999997" outlineLevel="1" x14ac:dyDescent="0.2">
      <c r="A887" s="61" t="s">
        <v>1285</v>
      </c>
      <c r="B887" s="14" t="s">
        <v>3601</v>
      </c>
      <c r="C887" s="8" t="s">
        <v>47</v>
      </c>
      <c r="D887" s="25">
        <f t="shared" si="213"/>
        <v>6</v>
      </c>
      <c r="E887" s="54"/>
      <c r="F887" s="9"/>
      <c r="G887" s="9">
        <v>0</v>
      </c>
      <c r="H887" s="9">
        <v>0</v>
      </c>
      <c r="I887" s="9">
        <v>0</v>
      </c>
      <c r="J887" s="9">
        <v>0</v>
      </c>
      <c r="K887" s="9">
        <v>0</v>
      </c>
      <c r="L887" s="9">
        <v>0</v>
      </c>
      <c r="M887" s="9">
        <v>0</v>
      </c>
      <c r="N887" s="9">
        <v>0</v>
      </c>
      <c r="O887" s="9">
        <v>0</v>
      </c>
      <c r="P887" s="9">
        <v>0</v>
      </c>
      <c r="Q887" s="9">
        <v>0</v>
      </c>
      <c r="R887" s="9">
        <v>6</v>
      </c>
      <c r="S887" s="9">
        <v>0</v>
      </c>
      <c r="T887" s="9">
        <v>0</v>
      </c>
      <c r="U887" s="9">
        <v>0</v>
      </c>
      <c r="V887" s="9">
        <v>0</v>
      </c>
      <c r="W887" s="9">
        <v>0</v>
      </c>
      <c r="X887" s="9">
        <v>0</v>
      </c>
      <c r="Y887" s="9">
        <v>0</v>
      </c>
      <c r="Z887" s="9">
        <v>0</v>
      </c>
      <c r="AA887" s="9">
        <v>0</v>
      </c>
      <c r="AB887" s="9">
        <v>0</v>
      </c>
      <c r="AC887" s="9">
        <v>0</v>
      </c>
      <c r="AD887" s="53" t="e">
        <f>#REF!*D887</f>
        <v>#REF!</v>
      </c>
      <c r="AE887" s="53" t="e">
        <f>AD887-#REF!</f>
        <v>#REF!</v>
      </c>
      <c r="AF887" s="9"/>
      <c r="AG887" s="33" t="e">
        <f>#REF!-D887</f>
        <v>#REF!</v>
      </c>
      <c r="AH887" s="9"/>
      <c r="AI887" s="9"/>
      <c r="AJ887" s="9"/>
      <c r="AK887" s="9"/>
    </row>
    <row r="888" spans="1:37" s="12" customFormat="1" ht="40.799999999999997" outlineLevel="1" x14ac:dyDescent="0.2">
      <c r="A888" s="61" t="s">
        <v>1286</v>
      </c>
      <c r="B888" s="14" t="s">
        <v>3602</v>
      </c>
      <c r="C888" s="8" t="s">
        <v>47</v>
      </c>
      <c r="D888" s="25">
        <f t="shared" si="213"/>
        <v>314</v>
      </c>
      <c r="E888" s="54"/>
      <c r="F888" s="9"/>
      <c r="G888" s="9">
        <v>0</v>
      </c>
      <c r="H888" s="9">
        <f>43-13</f>
        <v>30</v>
      </c>
      <c r="I888" s="9">
        <f>36-3</f>
        <v>33</v>
      </c>
      <c r="J888" s="9">
        <f>33-9</f>
        <v>24</v>
      </c>
      <c r="K888" s="9">
        <f>29-10</f>
        <v>19</v>
      </c>
      <c r="L888" s="9">
        <v>17</v>
      </c>
      <c r="M888" s="9">
        <v>9</v>
      </c>
      <c r="N888" s="9">
        <v>9</v>
      </c>
      <c r="O888" s="9">
        <v>10</v>
      </c>
      <c r="P888" s="9">
        <v>8</v>
      </c>
      <c r="Q888" s="9">
        <v>28</v>
      </c>
      <c r="R888" s="9">
        <v>1</v>
      </c>
      <c r="S888" s="9">
        <v>0</v>
      </c>
      <c r="T888" s="9">
        <v>0</v>
      </c>
      <c r="U888" s="9">
        <v>17</v>
      </c>
      <c r="V888" s="9">
        <v>23</v>
      </c>
      <c r="W888" s="9">
        <v>10</v>
      </c>
      <c r="X888" s="9">
        <v>18</v>
      </c>
      <c r="Y888" s="9">
        <v>18</v>
      </c>
      <c r="Z888" s="9">
        <v>21</v>
      </c>
      <c r="AA888" s="9">
        <v>16</v>
      </c>
      <c r="AB888" s="9">
        <v>3</v>
      </c>
      <c r="AC888" s="9">
        <v>0</v>
      </c>
      <c r="AD888" s="53" t="e">
        <f>#REF!*D888</f>
        <v>#REF!</v>
      </c>
      <c r="AE888" s="53" t="e">
        <f>AD888-#REF!</f>
        <v>#REF!</v>
      </c>
      <c r="AF888" s="9"/>
      <c r="AG888" s="33" t="e">
        <f>#REF!-D888</f>
        <v>#REF!</v>
      </c>
      <c r="AH888" s="9"/>
      <c r="AI888" s="9"/>
      <c r="AJ888" s="9"/>
      <c r="AK888" s="9"/>
    </row>
    <row r="889" spans="1:37" s="12" customFormat="1" ht="40.799999999999997" outlineLevel="1" x14ac:dyDescent="0.2">
      <c r="A889" s="61" t="s">
        <v>1287</v>
      </c>
      <c r="B889" s="14" t="s">
        <v>3603</v>
      </c>
      <c r="C889" s="8" t="s">
        <v>47</v>
      </c>
      <c r="D889" s="25">
        <f t="shared" si="213"/>
        <v>62</v>
      </c>
      <c r="E889" s="54"/>
      <c r="F889" s="9"/>
      <c r="G889" s="9">
        <v>0</v>
      </c>
      <c r="H889" s="9">
        <v>0</v>
      </c>
      <c r="I889" s="9">
        <v>0</v>
      </c>
      <c r="J889" s="9">
        <v>0</v>
      </c>
      <c r="K889" s="9">
        <v>0</v>
      </c>
      <c r="L889" s="9">
        <v>12</v>
      </c>
      <c r="M889" s="9">
        <v>17</v>
      </c>
      <c r="N889" s="9">
        <v>17</v>
      </c>
      <c r="O889" s="9">
        <v>16</v>
      </c>
      <c r="P889" s="9">
        <v>0</v>
      </c>
      <c r="Q889" s="9">
        <v>0</v>
      </c>
      <c r="R889" s="9">
        <v>0</v>
      </c>
      <c r="S889" s="9">
        <v>0</v>
      </c>
      <c r="T889" s="9">
        <v>0</v>
      </c>
      <c r="U889" s="9">
        <v>0</v>
      </c>
      <c r="V889" s="9">
        <v>0</v>
      </c>
      <c r="W889" s="9">
        <v>0</v>
      </c>
      <c r="X889" s="9">
        <v>0</v>
      </c>
      <c r="Y889" s="9">
        <v>0</v>
      </c>
      <c r="Z889" s="9">
        <v>0</v>
      </c>
      <c r="AA889" s="9">
        <v>0</v>
      </c>
      <c r="AB889" s="9">
        <v>0</v>
      </c>
      <c r="AC889" s="9">
        <v>0</v>
      </c>
      <c r="AD889" s="53" t="e">
        <f>#REF!*D889</f>
        <v>#REF!</v>
      </c>
      <c r="AE889" s="53" t="e">
        <f>AD889-#REF!</f>
        <v>#REF!</v>
      </c>
      <c r="AF889" s="9"/>
      <c r="AG889" s="33" t="e">
        <f>#REF!-D889</f>
        <v>#REF!</v>
      </c>
      <c r="AH889" s="9"/>
      <c r="AI889" s="9"/>
      <c r="AJ889" s="9"/>
      <c r="AK889" s="9"/>
    </row>
    <row r="890" spans="1:37" s="12" customFormat="1" ht="53.25" customHeight="1" outlineLevel="1" x14ac:dyDescent="0.2">
      <c r="A890" s="61" t="s">
        <v>1288</v>
      </c>
      <c r="B890" s="237" t="s">
        <v>3604</v>
      </c>
      <c r="C890" s="8" t="s">
        <v>47</v>
      </c>
      <c r="D890" s="25">
        <f t="shared" si="213"/>
        <v>24</v>
      </c>
      <c r="E890" s="54"/>
      <c r="F890" s="9"/>
      <c r="G890" s="9">
        <v>0</v>
      </c>
      <c r="H890" s="9">
        <v>2</v>
      </c>
      <c r="I890" s="9">
        <v>2</v>
      </c>
      <c r="J890" s="9">
        <v>2</v>
      </c>
      <c r="K890" s="9">
        <v>2</v>
      </c>
      <c r="L890" s="9">
        <v>2</v>
      </c>
      <c r="M890" s="9">
        <v>2</v>
      </c>
      <c r="N890" s="9">
        <v>2</v>
      </c>
      <c r="O890" s="9">
        <v>2</v>
      </c>
      <c r="P890" s="9">
        <v>2</v>
      </c>
      <c r="Q890" s="9">
        <v>2</v>
      </c>
      <c r="R890" s="9">
        <v>2</v>
      </c>
      <c r="S890" s="9">
        <v>0</v>
      </c>
      <c r="T890" s="9">
        <v>0</v>
      </c>
      <c r="U890" s="9">
        <v>0</v>
      </c>
      <c r="V890" s="9">
        <v>0</v>
      </c>
      <c r="W890" s="9">
        <v>2</v>
      </c>
      <c r="X890" s="9">
        <v>0</v>
      </c>
      <c r="Y890" s="9">
        <v>0</v>
      </c>
      <c r="Z890" s="9">
        <v>0</v>
      </c>
      <c r="AA890" s="9">
        <v>0</v>
      </c>
      <c r="AB890" s="9">
        <v>0</v>
      </c>
      <c r="AC890" s="9">
        <v>0</v>
      </c>
      <c r="AD890" s="53" t="e">
        <f>#REF!*D890</f>
        <v>#REF!</v>
      </c>
      <c r="AE890" s="53" t="e">
        <f>AD890-#REF!</f>
        <v>#REF!</v>
      </c>
      <c r="AF890" s="9"/>
      <c r="AG890" s="33" t="e">
        <f>#REF!-D890</f>
        <v>#REF!</v>
      </c>
      <c r="AH890" s="9"/>
      <c r="AI890" s="9"/>
      <c r="AJ890" s="9"/>
      <c r="AK890" s="9"/>
    </row>
    <row r="891" spans="1:37" s="12" customFormat="1" ht="102" outlineLevel="1" x14ac:dyDescent="0.2">
      <c r="A891" s="61" t="s">
        <v>1289</v>
      </c>
      <c r="B891" s="14" t="s">
        <v>3605</v>
      </c>
      <c r="C891" s="8" t="s">
        <v>47</v>
      </c>
      <c r="D891" s="25">
        <f t="shared" si="213"/>
        <v>2</v>
      </c>
      <c r="E891" s="54"/>
      <c r="F891" s="9"/>
      <c r="G891" s="9">
        <v>0</v>
      </c>
      <c r="H891" s="9">
        <v>2</v>
      </c>
      <c r="I891" s="9">
        <v>0</v>
      </c>
      <c r="J891" s="9">
        <v>0</v>
      </c>
      <c r="K891" s="9">
        <v>0</v>
      </c>
      <c r="L891" s="9">
        <v>0</v>
      </c>
      <c r="M891" s="9">
        <v>0</v>
      </c>
      <c r="N891" s="9">
        <v>0</v>
      </c>
      <c r="O891" s="9">
        <v>0</v>
      </c>
      <c r="P891" s="9">
        <v>0</v>
      </c>
      <c r="Q891" s="9">
        <v>0</v>
      </c>
      <c r="R891" s="9">
        <v>0</v>
      </c>
      <c r="S891" s="9">
        <v>0</v>
      </c>
      <c r="T891" s="9">
        <v>0</v>
      </c>
      <c r="U891" s="9">
        <v>0</v>
      </c>
      <c r="V891" s="9">
        <v>0</v>
      </c>
      <c r="W891" s="9">
        <v>0</v>
      </c>
      <c r="X891" s="9">
        <v>0</v>
      </c>
      <c r="Y891" s="9">
        <v>0</v>
      </c>
      <c r="Z891" s="9">
        <v>0</v>
      </c>
      <c r="AA891" s="9">
        <v>0</v>
      </c>
      <c r="AB891" s="9">
        <v>0</v>
      </c>
      <c r="AC891" s="9">
        <v>0</v>
      </c>
      <c r="AD891" s="53" t="e">
        <f>#REF!*D891</f>
        <v>#REF!</v>
      </c>
      <c r="AE891" s="53" t="e">
        <f>AD891-#REF!</f>
        <v>#REF!</v>
      </c>
      <c r="AF891" s="9"/>
      <c r="AG891" s="33" t="e">
        <f>#REF!-D891</f>
        <v>#REF!</v>
      </c>
      <c r="AH891" s="9"/>
      <c r="AI891" s="9"/>
      <c r="AJ891" s="9"/>
      <c r="AK891" s="9"/>
    </row>
    <row r="892" spans="1:37" s="12" customFormat="1" ht="51" customHeight="1" outlineLevel="1" x14ac:dyDescent="0.2">
      <c r="A892" s="61" t="s">
        <v>1291</v>
      </c>
      <c r="B892" s="47" t="s">
        <v>3606</v>
      </c>
      <c r="C892" s="8" t="s">
        <v>47</v>
      </c>
      <c r="D892" s="25">
        <f t="shared" si="213"/>
        <v>2</v>
      </c>
      <c r="E892" s="54"/>
      <c r="F892" s="9"/>
      <c r="G892" s="9">
        <v>0</v>
      </c>
      <c r="H892" s="9">
        <v>2</v>
      </c>
      <c r="I892" s="9">
        <v>0</v>
      </c>
      <c r="J892" s="9">
        <v>0</v>
      </c>
      <c r="K892" s="9">
        <v>0</v>
      </c>
      <c r="L892" s="9">
        <v>0</v>
      </c>
      <c r="M892" s="9">
        <v>0</v>
      </c>
      <c r="N892" s="9">
        <v>0</v>
      </c>
      <c r="O892" s="9">
        <v>0</v>
      </c>
      <c r="P892" s="9">
        <v>0</v>
      </c>
      <c r="Q892" s="9">
        <v>0</v>
      </c>
      <c r="R892" s="9">
        <v>0</v>
      </c>
      <c r="S892" s="9">
        <v>0</v>
      </c>
      <c r="T892" s="9">
        <v>0</v>
      </c>
      <c r="U892" s="9">
        <v>0</v>
      </c>
      <c r="V892" s="9">
        <v>0</v>
      </c>
      <c r="W892" s="9">
        <v>0</v>
      </c>
      <c r="X892" s="9">
        <v>0</v>
      </c>
      <c r="Y892" s="9">
        <v>0</v>
      </c>
      <c r="Z892" s="9">
        <v>0</v>
      </c>
      <c r="AA892" s="9">
        <v>0</v>
      </c>
      <c r="AB892" s="9">
        <v>0</v>
      </c>
      <c r="AC892" s="9">
        <v>0</v>
      </c>
      <c r="AD892" s="53" t="e">
        <f>#REF!*D892</f>
        <v>#REF!</v>
      </c>
      <c r="AE892" s="53" t="e">
        <f>AD892-#REF!</f>
        <v>#REF!</v>
      </c>
      <c r="AF892" s="9"/>
      <c r="AG892" s="33" t="e">
        <f>#REF!-D892</f>
        <v>#REF!</v>
      </c>
      <c r="AH892" s="9"/>
      <c r="AI892" s="9"/>
      <c r="AJ892" s="9"/>
      <c r="AK892" s="9"/>
    </row>
    <row r="893" spans="1:37" s="12" customFormat="1" ht="30.6" outlineLevel="1" x14ac:dyDescent="0.2">
      <c r="A893" s="61" t="s">
        <v>1292</v>
      </c>
      <c r="B893" s="14" t="s">
        <v>3607</v>
      </c>
      <c r="C893" s="8" t="s">
        <v>47</v>
      </c>
      <c r="D893" s="25">
        <f t="shared" si="213"/>
        <v>291</v>
      </c>
      <c r="E893" s="54"/>
      <c r="F893" s="9"/>
      <c r="G893" s="9">
        <v>0</v>
      </c>
      <c r="H893" s="9">
        <v>43</v>
      </c>
      <c r="I893" s="9">
        <v>36</v>
      </c>
      <c r="J893" s="9">
        <v>33</v>
      </c>
      <c r="K893" s="9">
        <v>29</v>
      </c>
      <c r="L893" s="9">
        <v>47</v>
      </c>
      <c r="M893" s="9">
        <v>26</v>
      </c>
      <c r="N893" s="9">
        <v>26</v>
      </c>
      <c r="O893" s="9">
        <v>8</v>
      </c>
      <c r="P893" s="9">
        <v>8</v>
      </c>
      <c r="Q893" s="9">
        <v>28</v>
      </c>
      <c r="R893" s="9">
        <v>7</v>
      </c>
      <c r="S893" s="9">
        <v>0</v>
      </c>
      <c r="T893" s="9">
        <v>0</v>
      </c>
      <c r="U893" s="9">
        <v>0</v>
      </c>
      <c r="V893" s="9">
        <v>0</v>
      </c>
      <c r="W893" s="9">
        <v>0</v>
      </c>
      <c r="X893" s="9">
        <v>0</v>
      </c>
      <c r="Y893" s="9">
        <v>0</v>
      </c>
      <c r="Z893" s="9">
        <v>0</v>
      </c>
      <c r="AA893" s="9">
        <v>0</v>
      </c>
      <c r="AB893" s="9">
        <v>0</v>
      </c>
      <c r="AC893" s="9">
        <v>0</v>
      </c>
      <c r="AD893" s="53" t="e">
        <f>#REF!*D893</f>
        <v>#REF!</v>
      </c>
      <c r="AE893" s="53" t="e">
        <f>AD893-#REF!</f>
        <v>#REF!</v>
      </c>
      <c r="AF893" s="9"/>
      <c r="AG893" s="33" t="e">
        <f>#REF!-D893</f>
        <v>#REF!</v>
      </c>
      <c r="AH893" s="9"/>
      <c r="AI893" s="9"/>
      <c r="AJ893" s="9"/>
      <c r="AK893" s="9"/>
    </row>
    <row r="894" spans="1:37" s="12" customFormat="1" ht="51" outlineLevel="1" x14ac:dyDescent="0.2">
      <c r="A894" s="61" t="s">
        <v>1293</v>
      </c>
      <c r="B894" s="47" t="s">
        <v>3608</v>
      </c>
      <c r="C894" s="8" t="s">
        <v>47</v>
      </c>
      <c r="D894" s="25">
        <f t="shared" si="213"/>
        <v>6</v>
      </c>
      <c r="E894" s="54"/>
      <c r="F894" s="9"/>
      <c r="G894" s="9">
        <v>0</v>
      </c>
      <c r="H894" s="9">
        <f>2*3</f>
        <v>6</v>
      </c>
      <c r="I894" s="9">
        <v>0</v>
      </c>
      <c r="J894" s="9">
        <v>0</v>
      </c>
      <c r="K894" s="9">
        <v>0</v>
      </c>
      <c r="L894" s="9">
        <v>0</v>
      </c>
      <c r="M894" s="9">
        <v>0</v>
      </c>
      <c r="N894" s="9">
        <v>0</v>
      </c>
      <c r="O894" s="9">
        <v>0</v>
      </c>
      <c r="P894" s="9">
        <v>0</v>
      </c>
      <c r="Q894" s="9">
        <v>0</v>
      </c>
      <c r="R894" s="9">
        <v>0</v>
      </c>
      <c r="S894" s="9">
        <v>0</v>
      </c>
      <c r="T894" s="9">
        <v>0</v>
      </c>
      <c r="U894" s="9">
        <v>0</v>
      </c>
      <c r="V894" s="9">
        <v>0</v>
      </c>
      <c r="W894" s="9">
        <v>0</v>
      </c>
      <c r="X894" s="9">
        <v>0</v>
      </c>
      <c r="Y894" s="9">
        <v>0</v>
      </c>
      <c r="Z894" s="9">
        <v>0</v>
      </c>
      <c r="AA894" s="9">
        <v>0</v>
      </c>
      <c r="AB894" s="9">
        <v>0</v>
      </c>
      <c r="AC894" s="9">
        <v>0</v>
      </c>
      <c r="AD894" s="53" t="e">
        <f>#REF!*D894</f>
        <v>#REF!</v>
      </c>
      <c r="AE894" s="53" t="e">
        <f>AD894-#REF!</f>
        <v>#REF!</v>
      </c>
      <c r="AF894" s="9"/>
      <c r="AG894" s="33" t="e">
        <f>#REF!-D894</f>
        <v>#REF!</v>
      </c>
      <c r="AH894" s="9"/>
      <c r="AI894" s="9"/>
      <c r="AJ894" s="9"/>
      <c r="AK894" s="9"/>
    </row>
    <row r="895" spans="1:37" s="12" customFormat="1" ht="51" outlineLevel="1" x14ac:dyDescent="0.2">
      <c r="A895" s="61" t="s">
        <v>1294</v>
      </c>
      <c r="B895" s="14" t="s">
        <v>3609</v>
      </c>
      <c r="C895" s="8" t="s">
        <v>47</v>
      </c>
      <c r="D895" s="25">
        <f t="shared" si="213"/>
        <v>67</v>
      </c>
      <c r="E895" s="54"/>
      <c r="F895" s="9"/>
      <c r="G895" s="9">
        <v>0</v>
      </c>
      <c r="H895" s="9">
        <v>8</v>
      </c>
      <c r="I895" s="9">
        <v>6</v>
      </c>
      <c r="J895" s="9">
        <v>6</v>
      </c>
      <c r="K895" s="9">
        <v>6</v>
      </c>
      <c r="L895" s="9">
        <v>9</v>
      </c>
      <c r="M895" s="9">
        <v>6</v>
      </c>
      <c r="N895" s="9">
        <v>6</v>
      </c>
      <c r="O895" s="9">
        <v>4</v>
      </c>
      <c r="P895" s="9">
        <v>8</v>
      </c>
      <c r="Q895" s="9">
        <v>4</v>
      </c>
      <c r="R895" s="9">
        <v>4</v>
      </c>
      <c r="S895" s="9">
        <v>0</v>
      </c>
      <c r="T895" s="9">
        <v>0</v>
      </c>
      <c r="U895" s="9">
        <v>0</v>
      </c>
      <c r="V895" s="9">
        <v>0</v>
      </c>
      <c r="W895" s="9">
        <v>0</v>
      </c>
      <c r="X895" s="9">
        <v>0</v>
      </c>
      <c r="Y895" s="9">
        <v>0</v>
      </c>
      <c r="Z895" s="9">
        <v>0</v>
      </c>
      <c r="AA895" s="9">
        <v>0</v>
      </c>
      <c r="AB895" s="9">
        <v>0</v>
      </c>
      <c r="AC895" s="9">
        <v>0</v>
      </c>
      <c r="AD895" s="53" t="e">
        <f>#REF!*D895</f>
        <v>#REF!</v>
      </c>
      <c r="AE895" s="53" t="e">
        <f>AD895-#REF!</f>
        <v>#REF!</v>
      </c>
      <c r="AF895" s="9"/>
      <c r="AG895" s="33" t="e">
        <f>#REF!-D895</f>
        <v>#REF!</v>
      </c>
      <c r="AH895" s="9"/>
      <c r="AI895" s="9"/>
      <c r="AJ895" s="9"/>
      <c r="AK895" s="9"/>
    </row>
    <row r="896" spans="1:37" s="12" customFormat="1" ht="51" outlineLevel="1" x14ac:dyDescent="0.2">
      <c r="A896" s="61" t="s">
        <v>1295</v>
      </c>
      <c r="B896" s="14" t="s">
        <v>3610</v>
      </c>
      <c r="C896" s="8" t="s">
        <v>47</v>
      </c>
      <c r="D896" s="25">
        <f t="shared" si="213"/>
        <v>36</v>
      </c>
      <c r="E896" s="54"/>
      <c r="F896" s="9"/>
      <c r="G896" s="9">
        <v>0</v>
      </c>
      <c r="H896" s="9">
        <v>4</v>
      </c>
      <c r="I896" s="9">
        <v>4</v>
      </c>
      <c r="J896" s="9">
        <v>4</v>
      </c>
      <c r="K896" s="9">
        <v>4</v>
      </c>
      <c r="L896" s="9">
        <v>4</v>
      </c>
      <c r="M896" s="9">
        <v>4</v>
      </c>
      <c r="N896" s="9">
        <v>4</v>
      </c>
      <c r="O896" s="9">
        <v>0</v>
      </c>
      <c r="P896" s="9">
        <v>0</v>
      </c>
      <c r="Q896" s="9">
        <v>6</v>
      </c>
      <c r="R896" s="9">
        <v>2</v>
      </c>
      <c r="S896" s="9">
        <v>0</v>
      </c>
      <c r="T896" s="9">
        <v>0</v>
      </c>
      <c r="U896" s="9">
        <v>0</v>
      </c>
      <c r="V896" s="9">
        <v>0</v>
      </c>
      <c r="W896" s="9">
        <v>0</v>
      </c>
      <c r="X896" s="9">
        <v>0</v>
      </c>
      <c r="Y896" s="9">
        <v>0</v>
      </c>
      <c r="Z896" s="9">
        <v>0</v>
      </c>
      <c r="AA896" s="9">
        <v>0</v>
      </c>
      <c r="AB896" s="9">
        <v>0</v>
      </c>
      <c r="AC896" s="9">
        <v>0</v>
      </c>
      <c r="AD896" s="53" t="e">
        <f>#REF!*D896</f>
        <v>#REF!</v>
      </c>
      <c r="AE896" s="53" t="e">
        <f>AD896-#REF!</f>
        <v>#REF!</v>
      </c>
      <c r="AF896" s="9"/>
      <c r="AG896" s="33" t="e">
        <f>#REF!-D896</f>
        <v>#REF!</v>
      </c>
      <c r="AH896" s="9"/>
      <c r="AI896" s="9"/>
      <c r="AJ896" s="9"/>
      <c r="AK896" s="9"/>
    </row>
    <row r="897" spans="1:37" s="12" customFormat="1" ht="51" outlineLevel="1" x14ac:dyDescent="0.2">
      <c r="A897" s="61" t="s">
        <v>1296</v>
      </c>
      <c r="B897" s="14" t="s">
        <v>3611</v>
      </c>
      <c r="C897" s="8" t="s">
        <v>47</v>
      </c>
      <c r="D897" s="25">
        <f t="shared" si="213"/>
        <v>4</v>
      </c>
      <c r="E897" s="54"/>
      <c r="F897" s="9"/>
      <c r="G897" s="9">
        <v>0</v>
      </c>
      <c r="H897" s="9">
        <v>0</v>
      </c>
      <c r="I897" s="9">
        <v>0</v>
      </c>
      <c r="J897" s="9">
        <v>0</v>
      </c>
      <c r="K897" s="9">
        <v>0</v>
      </c>
      <c r="L897" s="9">
        <v>0</v>
      </c>
      <c r="M897" s="9">
        <v>0</v>
      </c>
      <c r="N897" s="9">
        <v>0</v>
      </c>
      <c r="O897" s="9">
        <v>2</v>
      </c>
      <c r="P897" s="9">
        <v>2</v>
      </c>
      <c r="Q897" s="9">
        <v>0</v>
      </c>
      <c r="R897" s="9">
        <v>0</v>
      </c>
      <c r="S897" s="9">
        <v>0</v>
      </c>
      <c r="T897" s="9">
        <v>0</v>
      </c>
      <c r="U897" s="9">
        <v>0</v>
      </c>
      <c r="V897" s="9">
        <v>0</v>
      </c>
      <c r="W897" s="9">
        <v>0</v>
      </c>
      <c r="X897" s="9">
        <v>0</v>
      </c>
      <c r="Y897" s="9">
        <v>0</v>
      </c>
      <c r="Z897" s="9">
        <v>0</v>
      </c>
      <c r="AA897" s="9">
        <v>0</v>
      </c>
      <c r="AB897" s="9">
        <v>0</v>
      </c>
      <c r="AC897" s="9">
        <v>0</v>
      </c>
      <c r="AD897" s="53" t="e">
        <f>#REF!*D897</f>
        <v>#REF!</v>
      </c>
      <c r="AE897" s="53" t="e">
        <f>AD897-#REF!</f>
        <v>#REF!</v>
      </c>
      <c r="AF897" s="9"/>
      <c r="AG897" s="33" t="e">
        <f>#REF!-D897</f>
        <v>#REF!</v>
      </c>
      <c r="AH897" s="9"/>
      <c r="AI897" s="9"/>
      <c r="AJ897" s="9"/>
      <c r="AK897" s="9"/>
    </row>
    <row r="898" spans="1:37" s="12" customFormat="1" ht="20.399999999999999" outlineLevel="1" x14ac:dyDescent="0.2">
      <c r="A898" s="61" t="s">
        <v>1297</v>
      </c>
      <c r="B898" s="14" t="s">
        <v>3612</v>
      </c>
      <c r="C898" s="8" t="s">
        <v>47</v>
      </c>
      <c r="D898" s="25">
        <f t="shared" si="213"/>
        <v>781</v>
      </c>
      <c r="E898" s="54"/>
      <c r="F898" s="9"/>
      <c r="G898" s="9">
        <v>0</v>
      </c>
      <c r="H898" s="9">
        <v>122</v>
      </c>
      <c r="I898" s="9">
        <v>99</v>
      </c>
      <c r="J898" s="9">
        <v>85</v>
      </c>
      <c r="K898" s="9">
        <v>68</v>
      </c>
      <c r="L898" s="9">
        <v>60</v>
      </c>
      <c r="M898" s="9">
        <v>53</v>
      </c>
      <c r="N898" s="9">
        <v>53</v>
      </c>
      <c r="O898" s="9">
        <v>73</v>
      </c>
      <c r="P898" s="9">
        <v>77</v>
      </c>
      <c r="Q898" s="9">
        <v>78</v>
      </c>
      <c r="R898" s="9">
        <v>13</v>
      </c>
      <c r="S898" s="9">
        <v>0</v>
      </c>
      <c r="T898" s="9">
        <v>0</v>
      </c>
      <c r="U898" s="101">
        <v>0</v>
      </c>
      <c r="V898" s="101">
        <v>0</v>
      </c>
      <c r="W898" s="101">
        <v>0</v>
      </c>
      <c r="X898" s="101">
        <v>0</v>
      </c>
      <c r="Y898" s="101">
        <v>0</v>
      </c>
      <c r="Z898" s="101">
        <v>0</v>
      </c>
      <c r="AA898" s="101">
        <v>0</v>
      </c>
      <c r="AB898" s="101">
        <v>0</v>
      </c>
      <c r="AC898" s="9">
        <v>0</v>
      </c>
      <c r="AD898" s="53" t="e">
        <f>#REF!*D898</f>
        <v>#REF!</v>
      </c>
      <c r="AE898" s="53" t="e">
        <f>AD898-#REF!</f>
        <v>#REF!</v>
      </c>
      <c r="AF898" s="9"/>
      <c r="AG898" s="33" t="e">
        <f>#REF!-D898</f>
        <v>#REF!</v>
      </c>
      <c r="AH898" s="9"/>
      <c r="AI898" s="9"/>
      <c r="AJ898" s="9"/>
      <c r="AK898" s="9"/>
    </row>
    <row r="899" spans="1:37" s="12" customFormat="1" ht="40.799999999999997" outlineLevel="1" x14ac:dyDescent="0.2">
      <c r="A899" s="61" t="s">
        <v>1298</v>
      </c>
      <c r="B899" s="14" t="s">
        <v>3613</v>
      </c>
      <c r="C899" s="8" t="s">
        <v>47</v>
      </c>
      <c r="D899" s="25">
        <f t="shared" si="213"/>
        <v>10</v>
      </c>
      <c r="E899" s="54"/>
      <c r="F899" s="9"/>
      <c r="G899" s="9">
        <v>0</v>
      </c>
      <c r="H899" s="9">
        <v>0</v>
      </c>
      <c r="I899" s="9">
        <v>0</v>
      </c>
      <c r="J899" s="9">
        <v>0</v>
      </c>
      <c r="K899" s="9">
        <v>0</v>
      </c>
      <c r="L899" s="9">
        <v>0</v>
      </c>
      <c r="M899" s="9">
        <v>0</v>
      </c>
      <c r="N899" s="9">
        <v>0</v>
      </c>
      <c r="O899" s="9">
        <v>0</v>
      </c>
      <c r="P899" s="9">
        <v>10</v>
      </c>
      <c r="Q899" s="9">
        <v>0</v>
      </c>
      <c r="R899" s="9">
        <v>0</v>
      </c>
      <c r="S899" s="9">
        <v>0</v>
      </c>
      <c r="T899" s="9">
        <v>0</v>
      </c>
      <c r="U899" s="101">
        <v>0</v>
      </c>
      <c r="V899" s="101">
        <v>0</v>
      </c>
      <c r="W899" s="101">
        <v>0</v>
      </c>
      <c r="X899" s="101">
        <v>0</v>
      </c>
      <c r="Y899" s="101">
        <v>0</v>
      </c>
      <c r="Z899" s="101">
        <v>0</v>
      </c>
      <c r="AA899" s="101">
        <v>0</v>
      </c>
      <c r="AB899" s="101">
        <v>0</v>
      </c>
      <c r="AC899" s="9">
        <v>0</v>
      </c>
      <c r="AD899" s="53" t="e">
        <f>#REF!*D899</f>
        <v>#REF!</v>
      </c>
      <c r="AE899" s="53" t="e">
        <f>AD899-#REF!</f>
        <v>#REF!</v>
      </c>
      <c r="AF899" s="9"/>
      <c r="AG899" s="33" t="e">
        <f>#REF!-D899</f>
        <v>#REF!</v>
      </c>
      <c r="AH899" s="9"/>
      <c r="AI899" s="9"/>
      <c r="AJ899" s="9"/>
      <c r="AK899" s="9"/>
    </row>
    <row r="900" spans="1:37" s="12" customFormat="1" ht="20.399999999999999" outlineLevel="1" x14ac:dyDescent="0.2">
      <c r="A900" s="61" t="s">
        <v>1299</v>
      </c>
      <c r="B900" s="14" t="s">
        <v>3614</v>
      </c>
      <c r="C900" s="8" t="s">
        <v>47</v>
      </c>
      <c r="D900" s="25">
        <f t="shared" si="213"/>
        <v>41</v>
      </c>
      <c r="E900" s="54"/>
      <c r="F900" s="9"/>
      <c r="G900" s="9">
        <v>0</v>
      </c>
      <c r="H900" s="9">
        <v>6</v>
      </c>
      <c r="I900" s="9">
        <v>4</v>
      </c>
      <c r="J900" s="9">
        <v>4</v>
      </c>
      <c r="K900" s="9">
        <v>4</v>
      </c>
      <c r="L900" s="9">
        <v>5</v>
      </c>
      <c r="M900" s="9">
        <v>4</v>
      </c>
      <c r="N900" s="9">
        <v>4</v>
      </c>
      <c r="O900" s="9">
        <v>2</v>
      </c>
      <c r="P900" s="9">
        <v>2</v>
      </c>
      <c r="Q900" s="9">
        <v>4</v>
      </c>
      <c r="R900" s="9">
        <v>2</v>
      </c>
      <c r="S900" s="9">
        <v>0</v>
      </c>
      <c r="T900" s="9">
        <v>0</v>
      </c>
      <c r="U900" s="101">
        <v>0</v>
      </c>
      <c r="V900" s="101">
        <v>0</v>
      </c>
      <c r="W900" s="101">
        <v>0</v>
      </c>
      <c r="X900" s="101">
        <v>0</v>
      </c>
      <c r="Y900" s="101">
        <v>0</v>
      </c>
      <c r="Z900" s="101">
        <v>0</v>
      </c>
      <c r="AA900" s="101">
        <v>0</v>
      </c>
      <c r="AB900" s="101">
        <v>0</v>
      </c>
      <c r="AC900" s="9">
        <v>0</v>
      </c>
      <c r="AD900" s="53" t="e">
        <f>#REF!*D900</f>
        <v>#REF!</v>
      </c>
      <c r="AE900" s="53" t="e">
        <f>AD900-#REF!</f>
        <v>#REF!</v>
      </c>
      <c r="AF900" s="9"/>
      <c r="AG900" s="33" t="e">
        <f>#REF!-D900</f>
        <v>#REF!</v>
      </c>
      <c r="AH900" s="9"/>
      <c r="AI900" s="9"/>
      <c r="AJ900" s="9"/>
      <c r="AK900" s="9"/>
    </row>
    <row r="901" spans="1:37" s="12" customFormat="1" ht="10.199999999999999" outlineLevel="1" x14ac:dyDescent="0.2">
      <c r="A901" s="61"/>
      <c r="B901" s="14"/>
      <c r="C901" s="8"/>
      <c r="D901" s="25"/>
      <c r="E901" s="54"/>
      <c r="F901" s="9"/>
      <c r="G901" s="9"/>
      <c r="H901" s="9"/>
      <c r="I901" s="9"/>
      <c r="J901" s="9"/>
      <c r="K901" s="9"/>
      <c r="L901" s="9"/>
      <c r="M901" s="9"/>
      <c r="N901" s="9"/>
      <c r="O901" s="9"/>
      <c r="P901" s="9"/>
      <c r="Q901" s="9"/>
      <c r="R901" s="9"/>
      <c r="S901" s="9"/>
      <c r="T901" s="9"/>
      <c r="U901" s="101"/>
      <c r="V901" s="101"/>
      <c r="W901" s="101"/>
      <c r="X901" s="101"/>
      <c r="Y901" s="101"/>
      <c r="Z901" s="101"/>
      <c r="AA901" s="101"/>
      <c r="AB901" s="101"/>
      <c r="AC901" s="9"/>
      <c r="AD901" s="53"/>
      <c r="AE901" s="53"/>
      <c r="AF901" s="9"/>
      <c r="AG901" s="33"/>
      <c r="AH901" s="9"/>
      <c r="AI901" s="9"/>
      <c r="AJ901" s="9"/>
      <c r="AK901" s="9"/>
    </row>
    <row r="902" spans="1:37" s="12" customFormat="1" ht="12" x14ac:dyDescent="0.25">
      <c r="A902" s="18" t="s">
        <v>31</v>
      </c>
      <c r="B902" s="35" t="s">
        <v>3615</v>
      </c>
      <c r="C902" s="18" t="s">
        <v>41</v>
      </c>
      <c r="D902" s="52" t="e">
        <f>#REF!/#REF!*100</f>
        <v>#REF!</v>
      </c>
      <c r="E902" s="54"/>
      <c r="F902" s="9"/>
      <c r="G902" s="9"/>
      <c r="H902" s="9"/>
      <c r="I902" s="9"/>
      <c r="J902" s="9"/>
      <c r="K902" s="9"/>
      <c r="L902" s="9"/>
      <c r="M902" s="9"/>
      <c r="N902" s="9"/>
      <c r="O902" s="9"/>
      <c r="P902" s="9"/>
      <c r="Q902" s="9"/>
      <c r="R902" s="9"/>
      <c r="S902" s="9"/>
      <c r="T902" s="9"/>
      <c r="U902" s="9"/>
      <c r="V902" s="9"/>
      <c r="W902" s="9"/>
      <c r="X902" s="9"/>
      <c r="Y902" s="9"/>
      <c r="Z902" s="9"/>
      <c r="AA902" s="9"/>
      <c r="AB902" s="9"/>
      <c r="AC902" s="9"/>
      <c r="AD902" s="53" t="e">
        <f>#REF!*D902</f>
        <v>#REF!</v>
      </c>
      <c r="AE902" s="53" t="e">
        <f>AD902-#REF!</f>
        <v>#REF!</v>
      </c>
      <c r="AF902" s="9"/>
      <c r="AG902" s="33" t="e">
        <f>#REF!-D902</f>
        <v>#REF!</v>
      </c>
      <c r="AH902" s="9"/>
      <c r="AI902" s="9"/>
      <c r="AJ902" s="9"/>
      <c r="AK902" s="9"/>
    </row>
    <row r="903" spans="1:37" s="12" customFormat="1" ht="30.6" outlineLevel="1" x14ac:dyDescent="0.2">
      <c r="A903" s="61" t="s">
        <v>3623</v>
      </c>
      <c r="B903" s="221" t="s">
        <v>3616</v>
      </c>
      <c r="C903" s="8" t="s">
        <v>47</v>
      </c>
      <c r="D903" s="25">
        <f t="shared" ref="D903:D909" si="214">SUM(G903:AC903)</f>
        <v>2</v>
      </c>
      <c r="E903" s="54"/>
      <c r="F903" s="9"/>
      <c r="G903" s="9">
        <v>0</v>
      </c>
      <c r="H903" s="9">
        <v>2</v>
      </c>
      <c r="I903" s="9">
        <v>0</v>
      </c>
      <c r="J903" s="9">
        <v>0</v>
      </c>
      <c r="K903" s="9">
        <v>0</v>
      </c>
      <c r="L903" s="9">
        <v>0</v>
      </c>
      <c r="M903" s="9">
        <v>0</v>
      </c>
      <c r="N903" s="9">
        <v>0</v>
      </c>
      <c r="O903" s="9">
        <v>0</v>
      </c>
      <c r="P903" s="9">
        <v>0</v>
      </c>
      <c r="Q903" s="9">
        <v>0</v>
      </c>
      <c r="R903" s="9">
        <v>0</v>
      </c>
      <c r="S903" s="9">
        <v>0</v>
      </c>
      <c r="T903" s="9">
        <v>0</v>
      </c>
      <c r="U903" s="9">
        <v>0</v>
      </c>
      <c r="V903" s="9">
        <v>0</v>
      </c>
      <c r="W903" s="9">
        <v>0</v>
      </c>
      <c r="X903" s="9">
        <v>0</v>
      </c>
      <c r="Y903" s="9">
        <v>0</v>
      </c>
      <c r="Z903" s="9">
        <v>0</v>
      </c>
      <c r="AA903" s="9">
        <v>0</v>
      </c>
      <c r="AB903" s="9">
        <v>0</v>
      </c>
      <c r="AC903" s="9">
        <v>0</v>
      </c>
      <c r="AD903" s="53" t="e">
        <f>#REF!*D903</f>
        <v>#REF!</v>
      </c>
      <c r="AE903" s="53" t="e">
        <f>AD903-#REF!</f>
        <v>#REF!</v>
      </c>
      <c r="AF903" s="9"/>
      <c r="AG903" s="33" t="e">
        <f>#REF!-D903</f>
        <v>#REF!</v>
      </c>
      <c r="AH903" s="9"/>
      <c r="AI903" s="9"/>
      <c r="AJ903" s="9"/>
      <c r="AK903" s="9"/>
    </row>
    <row r="904" spans="1:37" s="12" customFormat="1" ht="30.6" outlineLevel="1" x14ac:dyDescent="0.2">
      <c r="A904" s="61" t="s">
        <v>3624</v>
      </c>
      <c r="B904" s="221" t="s">
        <v>3617</v>
      </c>
      <c r="C904" s="8" t="s">
        <v>47</v>
      </c>
      <c r="D904" s="25">
        <f t="shared" si="214"/>
        <v>2</v>
      </c>
      <c r="E904" s="54"/>
      <c r="F904" s="9"/>
      <c r="G904" s="9">
        <v>0</v>
      </c>
      <c r="H904" s="9">
        <v>2</v>
      </c>
      <c r="I904" s="9">
        <v>0</v>
      </c>
      <c r="J904" s="9">
        <v>0</v>
      </c>
      <c r="K904" s="9">
        <v>0</v>
      </c>
      <c r="L904" s="9">
        <v>0</v>
      </c>
      <c r="M904" s="9">
        <v>0</v>
      </c>
      <c r="N904" s="9">
        <v>0</v>
      </c>
      <c r="O904" s="9">
        <v>0</v>
      </c>
      <c r="P904" s="9">
        <v>0</v>
      </c>
      <c r="Q904" s="9">
        <v>0</v>
      </c>
      <c r="R904" s="9">
        <v>0</v>
      </c>
      <c r="S904" s="9">
        <v>0</v>
      </c>
      <c r="T904" s="9">
        <v>0</v>
      </c>
      <c r="U904" s="9">
        <v>0</v>
      </c>
      <c r="V904" s="9">
        <v>0</v>
      </c>
      <c r="W904" s="9">
        <v>0</v>
      </c>
      <c r="X904" s="9">
        <v>0</v>
      </c>
      <c r="Y904" s="9">
        <v>0</v>
      </c>
      <c r="Z904" s="9">
        <v>0</v>
      </c>
      <c r="AA904" s="9">
        <v>0</v>
      </c>
      <c r="AB904" s="9">
        <v>0</v>
      </c>
      <c r="AC904" s="9">
        <v>0</v>
      </c>
      <c r="AD904" s="53" t="e">
        <f>#REF!*D904</f>
        <v>#REF!</v>
      </c>
      <c r="AE904" s="53" t="e">
        <f>AD904-#REF!</f>
        <v>#REF!</v>
      </c>
      <c r="AF904" s="9"/>
      <c r="AG904" s="33" t="e">
        <f>#REF!-D904</f>
        <v>#REF!</v>
      </c>
      <c r="AH904" s="9"/>
      <c r="AI904" s="9"/>
      <c r="AJ904" s="9"/>
      <c r="AK904" s="9"/>
    </row>
    <row r="905" spans="1:37" s="12" customFormat="1" ht="30.6" outlineLevel="1" x14ac:dyDescent="0.2">
      <c r="A905" s="61" t="s">
        <v>3625</v>
      </c>
      <c r="B905" s="221" t="s">
        <v>3618</v>
      </c>
      <c r="C905" s="8" t="s">
        <v>47</v>
      </c>
      <c r="D905" s="25">
        <f t="shared" si="214"/>
        <v>8</v>
      </c>
      <c r="E905" s="54"/>
      <c r="F905" s="9"/>
      <c r="G905" s="9">
        <v>0</v>
      </c>
      <c r="H905" s="9">
        <v>8</v>
      </c>
      <c r="I905" s="9">
        <v>0</v>
      </c>
      <c r="J905" s="9">
        <v>0</v>
      </c>
      <c r="K905" s="9">
        <v>0</v>
      </c>
      <c r="L905" s="9">
        <v>0</v>
      </c>
      <c r="M905" s="9">
        <v>0</v>
      </c>
      <c r="N905" s="9">
        <v>0</v>
      </c>
      <c r="O905" s="9">
        <v>0</v>
      </c>
      <c r="P905" s="9">
        <v>0</v>
      </c>
      <c r="Q905" s="9">
        <v>0</v>
      </c>
      <c r="R905" s="9">
        <v>0</v>
      </c>
      <c r="S905" s="9">
        <v>0</v>
      </c>
      <c r="T905" s="9">
        <v>0</v>
      </c>
      <c r="U905" s="9">
        <v>0</v>
      </c>
      <c r="V905" s="9">
        <v>0</v>
      </c>
      <c r="W905" s="9">
        <v>0</v>
      </c>
      <c r="X905" s="9">
        <v>0</v>
      </c>
      <c r="Y905" s="9">
        <v>0</v>
      </c>
      <c r="Z905" s="9">
        <v>0</v>
      </c>
      <c r="AA905" s="9">
        <v>0</v>
      </c>
      <c r="AB905" s="9">
        <v>0</v>
      </c>
      <c r="AC905" s="9">
        <v>0</v>
      </c>
      <c r="AD905" s="53" t="e">
        <f>#REF!*D905</f>
        <v>#REF!</v>
      </c>
      <c r="AE905" s="53" t="e">
        <f>AD905-#REF!</f>
        <v>#REF!</v>
      </c>
      <c r="AF905" s="9"/>
      <c r="AG905" s="33" t="e">
        <f>#REF!-D905</f>
        <v>#REF!</v>
      </c>
      <c r="AH905" s="9"/>
      <c r="AI905" s="9"/>
      <c r="AJ905" s="9"/>
      <c r="AK905" s="9"/>
    </row>
    <row r="906" spans="1:37" s="12" customFormat="1" ht="20.399999999999999" outlineLevel="1" x14ac:dyDescent="0.2">
      <c r="A906" s="61" t="s">
        <v>3626</v>
      </c>
      <c r="B906" s="221" t="s">
        <v>3619</v>
      </c>
      <c r="C906" s="8" t="s">
        <v>47</v>
      </c>
      <c r="D906" s="25">
        <f t="shared" si="214"/>
        <v>117</v>
      </c>
      <c r="E906" s="54"/>
      <c r="F906" s="9"/>
      <c r="G906" s="9">
        <v>0</v>
      </c>
      <c r="H906" s="9">
        <v>117</v>
      </c>
      <c r="I906" s="9">
        <v>0</v>
      </c>
      <c r="J906" s="9">
        <v>0</v>
      </c>
      <c r="K906" s="9">
        <v>0</v>
      </c>
      <c r="L906" s="9">
        <v>0</v>
      </c>
      <c r="M906" s="9">
        <v>0</v>
      </c>
      <c r="N906" s="9">
        <v>0</v>
      </c>
      <c r="O906" s="9">
        <v>0</v>
      </c>
      <c r="P906" s="9">
        <v>0</v>
      </c>
      <c r="Q906" s="9">
        <v>0</v>
      </c>
      <c r="R906" s="9">
        <v>0</v>
      </c>
      <c r="S906" s="9">
        <v>0</v>
      </c>
      <c r="T906" s="9">
        <v>0</v>
      </c>
      <c r="U906" s="9">
        <v>0</v>
      </c>
      <c r="V906" s="9">
        <v>0</v>
      </c>
      <c r="W906" s="9">
        <v>0</v>
      </c>
      <c r="X906" s="9">
        <v>0</v>
      </c>
      <c r="Y906" s="9">
        <v>0</v>
      </c>
      <c r="Z906" s="9">
        <v>0</v>
      </c>
      <c r="AA906" s="9">
        <v>0</v>
      </c>
      <c r="AB906" s="9">
        <v>0</v>
      </c>
      <c r="AC906" s="9">
        <v>0</v>
      </c>
      <c r="AD906" s="53" t="e">
        <f>#REF!*D906</f>
        <v>#REF!</v>
      </c>
      <c r="AE906" s="53" t="e">
        <f>AD906-#REF!</f>
        <v>#REF!</v>
      </c>
      <c r="AF906" s="9"/>
      <c r="AG906" s="33" t="e">
        <f>#REF!-D906</f>
        <v>#REF!</v>
      </c>
      <c r="AH906" s="9"/>
      <c r="AI906" s="9"/>
      <c r="AJ906" s="9"/>
      <c r="AK906" s="9"/>
    </row>
    <row r="907" spans="1:37" s="12" customFormat="1" ht="30.6" outlineLevel="1" x14ac:dyDescent="0.2">
      <c r="A907" s="61" t="s">
        <v>3627</v>
      </c>
      <c r="B907" s="221" t="s">
        <v>3620</v>
      </c>
      <c r="C907" s="8" t="s">
        <v>47</v>
      </c>
      <c r="D907" s="25">
        <f t="shared" si="214"/>
        <v>21</v>
      </c>
      <c r="E907" s="54"/>
      <c r="F907" s="9"/>
      <c r="G907" s="9">
        <v>0</v>
      </c>
      <c r="H907" s="9">
        <v>21</v>
      </c>
      <c r="I907" s="9">
        <v>0</v>
      </c>
      <c r="J907" s="9">
        <v>0</v>
      </c>
      <c r="K907" s="9">
        <v>0</v>
      </c>
      <c r="L907" s="9">
        <v>0</v>
      </c>
      <c r="M907" s="9">
        <v>0</v>
      </c>
      <c r="N907" s="9">
        <v>0</v>
      </c>
      <c r="O907" s="9">
        <v>0</v>
      </c>
      <c r="P907" s="9">
        <v>0</v>
      </c>
      <c r="Q907" s="9">
        <v>0</v>
      </c>
      <c r="R907" s="9">
        <v>0</v>
      </c>
      <c r="S907" s="9">
        <v>0</v>
      </c>
      <c r="T907" s="9">
        <v>0</v>
      </c>
      <c r="U907" s="9">
        <v>0</v>
      </c>
      <c r="V907" s="9">
        <v>0</v>
      </c>
      <c r="W907" s="9">
        <v>0</v>
      </c>
      <c r="X907" s="9">
        <v>0</v>
      </c>
      <c r="Y907" s="9">
        <v>0</v>
      </c>
      <c r="Z907" s="9">
        <v>0</v>
      </c>
      <c r="AA907" s="9">
        <v>0</v>
      </c>
      <c r="AB907" s="9">
        <v>0</v>
      </c>
      <c r="AC907" s="9">
        <v>0</v>
      </c>
      <c r="AD907" s="53" t="e">
        <f>#REF!*D907</f>
        <v>#REF!</v>
      </c>
      <c r="AE907" s="53" t="e">
        <f>AD907-#REF!</f>
        <v>#REF!</v>
      </c>
      <c r="AF907" s="9"/>
      <c r="AG907" s="33" t="e">
        <f>#REF!-D907</f>
        <v>#REF!</v>
      </c>
      <c r="AH907" s="9"/>
      <c r="AI907" s="9"/>
      <c r="AJ907" s="9"/>
      <c r="AK907" s="9"/>
    </row>
    <row r="908" spans="1:37" s="12" customFormat="1" ht="20.399999999999999" outlineLevel="1" x14ac:dyDescent="0.2">
      <c r="A908" s="61" t="s">
        <v>3628</v>
      </c>
      <c r="B908" s="221" t="s">
        <v>3621</v>
      </c>
      <c r="C908" s="8" t="s">
        <v>47</v>
      </c>
      <c r="D908" s="25">
        <f t="shared" si="214"/>
        <v>923</v>
      </c>
      <c r="E908" s="54"/>
      <c r="F908" s="9"/>
      <c r="G908" s="9">
        <v>0</v>
      </c>
      <c r="H908" s="49">
        <v>96</v>
      </c>
      <c r="I908" s="49">
        <v>78</v>
      </c>
      <c r="J908" s="49">
        <v>67</v>
      </c>
      <c r="K908" s="49">
        <v>54</v>
      </c>
      <c r="L908" s="49">
        <v>86</v>
      </c>
      <c r="M908" s="49">
        <v>42</v>
      </c>
      <c r="N908" s="49">
        <v>42</v>
      </c>
      <c r="O908" s="49">
        <v>57</v>
      </c>
      <c r="P908" s="49">
        <v>61</v>
      </c>
      <c r="Q908" s="49">
        <v>61</v>
      </c>
      <c r="R908" s="49">
        <v>10</v>
      </c>
      <c r="S908" s="49">
        <v>0</v>
      </c>
      <c r="T908" s="49">
        <v>0</v>
      </c>
      <c r="U908" s="49">
        <v>39</v>
      </c>
      <c r="V908" s="49">
        <v>54</v>
      </c>
      <c r="W908" s="49">
        <v>20</v>
      </c>
      <c r="X908" s="49">
        <v>38</v>
      </c>
      <c r="Y908" s="49">
        <v>39</v>
      </c>
      <c r="Z908" s="49">
        <v>40</v>
      </c>
      <c r="AA908" s="49">
        <v>34</v>
      </c>
      <c r="AB908" s="49">
        <v>5</v>
      </c>
      <c r="AC908" s="49">
        <v>0</v>
      </c>
      <c r="AD908" s="53" t="e">
        <f>#REF!*D908</f>
        <v>#REF!</v>
      </c>
      <c r="AE908" s="53" t="e">
        <f>AD908-#REF!</f>
        <v>#REF!</v>
      </c>
      <c r="AF908" s="9"/>
      <c r="AG908" s="33" t="e">
        <f>#REF!-D908</f>
        <v>#REF!</v>
      </c>
      <c r="AH908" s="9"/>
      <c r="AI908" s="9"/>
      <c r="AJ908" s="9"/>
      <c r="AK908" s="9"/>
    </row>
    <row r="909" spans="1:37" s="12" customFormat="1" ht="20.399999999999999" outlineLevel="1" x14ac:dyDescent="0.2">
      <c r="A909" s="61" t="s">
        <v>3629</v>
      </c>
      <c r="B909" s="221" t="s">
        <v>3622</v>
      </c>
      <c r="C909" s="8" t="s">
        <v>47</v>
      </c>
      <c r="D909" s="25">
        <f t="shared" si="214"/>
        <v>250</v>
      </c>
      <c r="E909" s="54"/>
      <c r="F909" s="9"/>
      <c r="G909" s="9">
        <v>0</v>
      </c>
      <c r="H909" s="49">
        <v>26</v>
      </c>
      <c r="I909" s="49">
        <v>21</v>
      </c>
      <c r="J909" s="49">
        <v>18</v>
      </c>
      <c r="K909" s="49">
        <v>14</v>
      </c>
      <c r="L909" s="49">
        <v>23</v>
      </c>
      <c r="M909" s="49">
        <v>11</v>
      </c>
      <c r="N909" s="49">
        <v>11</v>
      </c>
      <c r="O909" s="49">
        <v>16</v>
      </c>
      <c r="P909" s="49">
        <v>16</v>
      </c>
      <c r="Q909" s="49">
        <v>17</v>
      </c>
      <c r="R909" s="49">
        <v>3</v>
      </c>
      <c r="S909" s="49">
        <v>0</v>
      </c>
      <c r="T909" s="49">
        <v>0</v>
      </c>
      <c r="U909" s="49">
        <v>10</v>
      </c>
      <c r="V909" s="49">
        <v>15</v>
      </c>
      <c r="W909" s="49">
        <v>5</v>
      </c>
      <c r="X909" s="49">
        <v>10</v>
      </c>
      <c r="Y909" s="49">
        <v>10</v>
      </c>
      <c r="Z909" s="49">
        <v>11</v>
      </c>
      <c r="AA909" s="49">
        <v>9</v>
      </c>
      <c r="AB909" s="49">
        <v>4</v>
      </c>
      <c r="AC909" s="49">
        <v>0</v>
      </c>
      <c r="AD909" s="53" t="e">
        <f>#REF!*D909</f>
        <v>#REF!</v>
      </c>
      <c r="AE909" s="53" t="e">
        <f>AD909-#REF!</f>
        <v>#REF!</v>
      </c>
      <c r="AF909" s="9"/>
      <c r="AG909" s="33" t="e">
        <f>#REF!-D909</f>
        <v>#REF!</v>
      </c>
      <c r="AH909" s="9"/>
      <c r="AI909" s="9"/>
      <c r="AJ909" s="9"/>
      <c r="AK909" s="9"/>
    </row>
    <row r="910" spans="1:37" s="6" customFormat="1" x14ac:dyDescent="0.25">
      <c r="A910" s="22"/>
      <c r="B910" s="5"/>
      <c r="C910" s="32"/>
      <c r="D910" s="51"/>
      <c r="E910" s="57"/>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53" t="e">
        <f>#REF!*D910</f>
        <v>#REF!</v>
      </c>
      <c r="AE910" s="53" t="e">
        <f>AD910-#REF!</f>
        <v>#REF!</v>
      </c>
      <c r="AF910" s="32"/>
      <c r="AG910" s="33" t="e">
        <f>#REF!-D910</f>
        <v>#REF!</v>
      </c>
      <c r="AH910" s="32"/>
      <c r="AI910" s="32"/>
      <c r="AJ910" s="32"/>
      <c r="AK910" s="32"/>
    </row>
    <row r="911" spans="1:37" s="12" customFormat="1" ht="12" x14ac:dyDescent="0.25">
      <c r="A911" s="58">
        <v>3</v>
      </c>
      <c r="B911" s="59" t="s">
        <v>1104</v>
      </c>
      <c r="C911" s="58" t="s">
        <v>41</v>
      </c>
      <c r="D911" s="60" t="e">
        <f>#REF!/#REF!*100</f>
        <v>#REF!</v>
      </c>
      <c r="E911" s="200" t="s">
        <v>2806</v>
      </c>
      <c r="F911" s="9"/>
      <c r="G911" s="9"/>
      <c r="H911" s="9"/>
      <c r="I911" s="9"/>
      <c r="J911" s="9"/>
      <c r="K911" s="9"/>
      <c r="L911" s="9"/>
      <c r="M911" s="9"/>
      <c r="N911" s="9"/>
      <c r="O911" s="9"/>
      <c r="P911" s="9"/>
      <c r="Q911" s="9"/>
      <c r="R911" s="9"/>
      <c r="S911" s="9"/>
      <c r="T911" s="9"/>
      <c r="U911" s="9"/>
      <c r="V911" s="9"/>
      <c r="W911" s="9"/>
      <c r="X911" s="9"/>
      <c r="Y911" s="9"/>
      <c r="Z911" s="9"/>
      <c r="AA911" s="9"/>
      <c r="AB911" s="214" t="s">
        <v>375</v>
      </c>
      <c r="AC911" s="9"/>
      <c r="AD911" s="53" t="e">
        <f>#REF!*D911</f>
        <v>#REF!</v>
      </c>
      <c r="AE911" s="53" t="e">
        <f>AD911-#REF!</f>
        <v>#REF!</v>
      </c>
      <c r="AF911" s="9"/>
      <c r="AG911" s="33" t="e">
        <f>#REF!-D911</f>
        <v>#REF!</v>
      </c>
      <c r="AH911" s="9"/>
      <c r="AI911" s="9"/>
      <c r="AJ911" s="9"/>
      <c r="AK911" s="9"/>
    </row>
    <row r="912" spans="1:37" s="12" customFormat="1" ht="12" x14ac:dyDescent="0.25">
      <c r="A912" s="18" t="s">
        <v>14</v>
      </c>
      <c r="B912" s="35" t="s">
        <v>387</v>
      </c>
      <c r="C912" s="18" t="s">
        <v>41</v>
      </c>
      <c r="D912" s="52" t="e">
        <f>#REF!/#REF!*100</f>
        <v>#REF!</v>
      </c>
      <c r="E912" s="54"/>
      <c r="F912" s="9"/>
      <c r="G912" s="9"/>
      <c r="H912" s="9"/>
      <c r="I912" s="9"/>
      <c r="J912" s="9"/>
      <c r="K912" s="9"/>
      <c r="L912" s="9"/>
      <c r="M912" s="9"/>
      <c r="N912" s="9"/>
      <c r="O912" s="9"/>
      <c r="P912" s="9"/>
      <c r="Q912" s="9"/>
      <c r="R912" s="9"/>
      <c r="S912" s="9"/>
      <c r="T912" s="9"/>
      <c r="U912" s="9"/>
      <c r="V912" s="9"/>
      <c r="W912" s="9"/>
      <c r="X912" s="9"/>
      <c r="Y912" s="9"/>
      <c r="Z912" s="9"/>
      <c r="AA912" s="9"/>
      <c r="AB912" s="9"/>
      <c r="AC912" s="9"/>
      <c r="AD912" s="53" t="e">
        <f>#REF!*D912</f>
        <v>#REF!</v>
      </c>
      <c r="AE912" s="53" t="e">
        <f>AD912-#REF!</f>
        <v>#REF!</v>
      </c>
      <c r="AF912" s="9"/>
      <c r="AG912" s="33" t="e">
        <f>#REF!-D912</f>
        <v>#REF!</v>
      </c>
      <c r="AH912" s="9"/>
      <c r="AI912" s="9"/>
      <c r="AJ912" s="9"/>
      <c r="AK912" s="9"/>
    </row>
    <row r="913" spans="1:37" s="12" customFormat="1" ht="20.399999999999999" outlineLevel="1" x14ac:dyDescent="0.2">
      <c r="A913" s="61" t="s">
        <v>1121</v>
      </c>
      <c r="B913" s="47" t="s">
        <v>482</v>
      </c>
      <c r="C913" s="9" t="s">
        <v>48</v>
      </c>
      <c r="D913" s="25">
        <f>SUM(G913:AC913)*3</f>
        <v>4377</v>
      </c>
      <c r="E913" s="54"/>
      <c r="F913" s="9"/>
      <c r="G913" s="9">
        <v>0</v>
      </c>
      <c r="H913" s="9">
        <v>193</v>
      </c>
      <c r="I913" s="9">
        <f>138-14</f>
        <v>124</v>
      </c>
      <c r="J913" s="9">
        <f>138-28</f>
        <v>110</v>
      </c>
      <c r="K913" s="9">
        <f>204-97</f>
        <v>107</v>
      </c>
      <c r="L913" s="9">
        <f>127-58</f>
        <v>69</v>
      </c>
      <c r="M913" s="9">
        <v>52</v>
      </c>
      <c r="N913" s="9">
        <v>52</v>
      </c>
      <c r="O913" s="9">
        <v>54</v>
      </c>
      <c r="P913" s="9">
        <v>67</v>
      </c>
      <c r="Q913" s="9">
        <v>60</v>
      </c>
      <c r="R913" s="9">
        <v>4</v>
      </c>
      <c r="S913" s="9">
        <v>0</v>
      </c>
      <c r="T913" s="9">
        <v>0</v>
      </c>
      <c r="U913" s="9">
        <v>77</v>
      </c>
      <c r="V913" s="9">
        <v>103</v>
      </c>
      <c r="W913" s="9">
        <v>60</v>
      </c>
      <c r="X913" s="9">
        <v>78</v>
      </c>
      <c r="Y913" s="9">
        <v>95</v>
      </c>
      <c r="Z913" s="9">
        <v>63</v>
      </c>
      <c r="AA913" s="9">
        <v>81</v>
      </c>
      <c r="AB913" s="9">
        <v>10</v>
      </c>
      <c r="AC913" s="9">
        <v>0</v>
      </c>
      <c r="AD913" s="53" t="e">
        <f>#REF!*D913</f>
        <v>#REF!</v>
      </c>
      <c r="AE913" s="53" t="e">
        <f>AD913-#REF!</f>
        <v>#REF!</v>
      </c>
      <c r="AF913" s="9"/>
      <c r="AG913" s="33" t="e">
        <f>#REF!-D913</f>
        <v>#REF!</v>
      </c>
      <c r="AH913" s="9"/>
      <c r="AI913" s="9"/>
      <c r="AJ913" s="9"/>
      <c r="AK913" s="9"/>
    </row>
    <row r="914" spans="1:37" s="17" customFormat="1" ht="20.399999999999999" outlineLevel="1" x14ac:dyDescent="0.2">
      <c r="A914" s="61" t="s">
        <v>1122</v>
      </c>
      <c r="B914" s="47" t="s">
        <v>484</v>
      </c>
      <c r="C914" s="9" t="s">
        <v>48</v>
      </c>
      <c r="D914" s="25">
        <f>SUM(G914:AC914)*3</f>
        <v>27</v>
      </c>
      <c r="E914" s="54"/>
      <c r="F914" s="9"/>
      <c r="G914" s="33">
        <v>0</v>
      </c>
      <c r="H914" s="33">
        <v>0</v>
      </c>
      <c r="I914" s="9">
        <v>0</v>
      </c>
      <c r="J914" s="9">
        <v>7</v>
      </c>
      <c r="K914" s="9">
        <v>0</v>
      </c>
      <c r="L914" s="9">
        <v>0</v>
      </c>
      <c r="M914" s="9">
        <v>0</v>
      </c>
      <c r="N914" s="9">
        <v>0</v>
      </c>
      <c r="O914" s="9">
        <v>0</v>
      </c>
      <c r="P914" s="9">
        <v>0</v>
      </c>
      <c r="Q914" s="9">
        <v>0</v>
      </c>
      <c r="R914" s="9">
        <v>0</v>
      </c>
      <c r="S914" s="9">
        <v>0</v>
      </c>
      <c r="T914" s="9">
        <v>0</v>
      </c>
      <c r="U914" s="33">
        <v>0</v>
      </c>
      <c r="V914" s="9">
        <v>0</v>
      </c>
      <c r="W914" s="9">
        <v>2</v>
      </c>
      <c r="X914" s="9">
        <v>0</v>
      </c>
      <c r="Y914" s="9">
        <v>0</v>
      </c>
      <c r="Z914" s="9">
        <v>0</v>
      </c>
      <c r="AA914" s="9">
        <v>0</v>
      </c>
      <c r="AB914" s="9">
        <v>0</v>
      </c>
      <c r="AC914" s="9">
        <v>0</v>
      </c>
      <c r="AD914" s="53" t="e">
        <f>#REF!*D914</f>
        <v>#REF!</v>
      </c>
      <c r="AE914" s="53" t="e">
        <f>AD914-#REF!</f>
        <v>#REF!</v>
      </c>
      <c r="AF914" s="9"/>
      <c r="AG914" s="33" t="e">
        <f>#REF!-D914</f>
        <v>#REF!</v>
      </c>
      <c r="AH914" s="9"/>
      <c r="AI914" s="9"/>
      <c r="AJ914" s="9"/>
      <c r="AK914" s="9"/>
    </row>
    <row r="915" spans="1:37" s="12" customFormat="1" ht="20.399999999999999" outlineLevel="1" x14ac:dyDescent="0.2">
      <c r="A915" s="61" t="s">
        <v>1123</v>
      </c>
      <c r="B915" s="14" t="s">
        <v>60</v>
      </c>
      <c r="C915" s="9" t="s">
        <v>47</v>
      </c>
      <c r="D915" s="25">
        <f t="shared" ref="D915:D933" si="215">SUM(G915:AC915)</f>
        <v>466</v>
      </c>
      <c r="E915" s="54"/>
      <c r="F915" s="9"/>
      <c r="G915" s="49">
        <f t="shared" ref="G915:T915" si="216">G941</f>
        <v>0</v>
      </c>
      <c r="H915" s="49">
        <f t="shared" si="216"/>
        <v>35</v>
      </c>
      <c r="I915" s="49">
        <f t="shared" si="216"/>
        <v>27</v>
      </c>
      <c r="J915" s="49">
        <f t="shared" si="216"/>
        <v>31</v>
      </c>
      <c r="K915" s="49">
        <f t="shared" si="216"/>
        <v>30</v>
      </c>
      <c r="L915" s="49">
        <f t="shared" si="216"/>
        <v>31</v>
      </c>
      <c r="M915" s="49">
        <f t="shared" si="216"/>
        <v>22</v>
      </c>
      <c r="N915" s="49">
        <f t="shared" si="216"/>
        <v>22</v>
      </c>
      <c r="O915" s="49">
        <f t="shared" si="216"/>
        <v>26</v>
      </c>
      <c r="P915" s="49">
        <f t="shared" si="216"/>
        <v>33</v>
      </c>
      <c r="Q915" s="49">
        <f t="shared" si="216"/>
        <v>18</v>
      </c>
      <c r="R915" s="49">
        <f t="shared" si="216"/>
        <v>0</v>
      </c>
      <c r="S915" s="49">
        <f t="shared" si="216"/>
        <v>0</v>
      </c>
      <c r="T915" s="49">
        <f t="shared" si="216"/>
        <v>0</v>
      </c>
      <c r="U915" s="49">
        <v>26</v>
      </c>
      <c r="V915" s="49">
        <v>35</v>
      </c>
      <c r="W915" s="49">
        <v>15</v>
      </c>
      <c r="X915" s="49">
        <v>28</v>
      </c>
      <c r="Y915" s="49">
        <v>35</v>
      </c>
      <c r="Z915" s="49">
        <v>17</v>
      </c>
      <c r="AA915" s="49">
        <f>AA941*1.5</f>
        <v>30</v>
      </c>
      <c r="AB915" s="49">
        <v>5</v>
      </c>
      <c r="AC915" s="9">
        <v>0</v>
      </c>
      <c r="AD915" s="53" t="e">
        <f>#REF!*D915</f>
        <v>#REF!</v>
      </c>
      <c r="AE915" s="53" t="e">
        <f>AD915-#REF!</f>
        <v>#REF!</v>
      </c>
      <c r="AF915" s="9"/>
      <c r="AG915" s="33" t="e">
        <f>#REF!-D915</f>
        <v>#REF!</v>
      </c>
      <c r="AH915" s="9"/>
      <c r="AI915" s="9"/>
      <c r="AJ915" s="9"/>
      <c r="AK915" s="9"/>
    </row>
    <row r="916" spans="1:37" s="12" customFormat="1" ht="20.399999999999999" outlineLevel="1" x14ac:dyDescent="0.2">
      <c r="A916" s="61" t="s">
        <v>1124</v>
      </c>
      <c r="B916" s="14" t="s">
        <v>62</v>
      </c>
      <c r="C916" s="9" t="s">
        <v>47</v>
      </c>
      <c r="D916" s="25">
        <f t="shared" si="215"/>
        <v>2</v>
      </c>
      <c r="E916" s="54"/>
      <c r="F916" s="78"/>
      <c r="G916" s="33">
        <v>0</v>
      </c>
      <c r="H916" s="33">
        <v>0</v>
      </c>
      <c r="I916" s="9">
        <v>0</v>
      </c>
      <c r="J916" s="9">
        <v>1</v>
      </c>
      <c r="K916" s="9">
        <v>0</v>
      </c>
      <c r="L916" s="9">
        <v>0</v>
      </c>
      <c r="M916" s="9">
        <v>0</v>
      </c>
      <c r="N916" s="9">
        <v>0</v>
      </c>
      <c r="O916" s="9">
        <v>0</v>
      </c>
      <c r="P916" s="9">
        <v>0</v>
      </c>
      <c r="Q916" s="9">
        <v>0</v>
      </c>
      <c r="R916" s="9">
        <v>0</v>
      </c>
      <c r="S916" s="9">
        <v>0</v>
      </c>
      <c r="T916" s="9">
        <v>0</v>
      </c>
      <c r="U916" s="33">
        <v>0</v>
      </c>
      <c r="V916" s="9">
        <v>0</v>
      </c>
      <c r="W916" s="9">
        <v>1</v>
      </c>
      <c r="X916" s="9">
        <v>0</v>
      </c>
      <c r="Y916" s="9">
        <v>0</v>
      </c>
      <c r="Z916" s="9">
        <v>0</v>
      </c>
      <c r="AA916" s="9">
        <v>0</v>
      </c>
      <c r="AB916" s="9">
        <v>0</v>
      </c>
      <c r="AC916" s="9">
        <v>0</v>
      </c>
      <c r="AD916" s="53" t="e">
        <f>#REF!*D916</f>
        <v>#REF!</v>
      </c>
      <c r="AE916" s="53" t="e">
        <f>AD916-#REF!</f>
        <v>#REF!</v>
      </c>
      <c r="AF916" s="9"/>
      <c r="AG916" s="33" t="e">
        <f>#REF!-D916</f>
        <v>#REF!</v>
      </c>
      <c r="AH916" s="9"/>
      <c r="AI916" s="9"/>
      <c r="AJ916" s="9"/>
      <c r="AK916" s="9"/>
    </row>
    <row r="917" spans="1:37" s="12" customFormat="1" ht="20.399999999999999" outlineLevel="1" x14ac:dyDescent="0.2">
      <c r="A917" s="61" t="s">
        <v>1125</v>
      </c>
      <c r="B917" s="14" t="s">
        <v>64</v>
      </c>
      <c r="C917" s="9" t="s">
        <v>47</v>
      </c>
      <c r="D917" s="25">
        <f t="shared" si="215"/>
        <v>1925</v>
      </c>
      <c r="E917" s="54"/>
      <c r="F917" s="9"/>
      <c r="G917" s="49">
        <f t="shared" ref="G917:AC917" si="217">G915+G913</f>
        <v>0</v>
      </c>
      <c r="H917" s="49">
        <f t="shared" si="217"/>
        <v>228</v>
      </c>
      <c r="I917" s="49">
        <f t="shared" si="217"/>
        <v>151</v>
      </c>
      <c r="J917" s="49">
        <f t="shared" si="217"/>
        <v>141</v>
      </c>
      <c r="K917" s="49">
        <f t="shared" si="217"/>
        <v>137</v>
      </c>
      <c r="L917" s="49">
        <f t="shared" si="217"/>
        <v>100</v>
      </c>
      <c r="M917" s="49">
        <f t="shared" si="217"/>
        <v>74</v>
      </c>
      <c r="N917" s="49">
        <f t="shared" si="217"/>
        <v>74</v>
      </c>
      <c r="O917" s="49">
        <f t="shared" si="217"/>
        <v>80</v>
      </c>
      <c r="P917" s="49">
        <f t="shared" si="217"/>
        <v>100</v>
      </c>
      <c r="Q917" s="49">
        <f t="shared" si="217"/>
        <v>78</v>
      </c>
      <c r="R917" s="49">
        <f t="shared" si="217"/>
        <v>4</v>
      </c>
      <c r="S917" s="49">
        <f t="shared" si="217"/>
        <v>0</v>
      </c>
      <c r="T917" s="49">
        <f t="shared" si="217"/>
        <v>0</v>
      </c>
      <c r="U917" s="49">
        <f t="shared" si="217"/>
        <v>103</v>
      </c>
      <c r="V917" s="49">
        <f t="shared" si="217"/>
        <v>138</v>
      </c>
      <c r="W917" s="49">
        <f t="shared" si="217"/>
        <v>75</v>
      </c>
      <c r="X917" s="49">
        <f t="shared" si="217"/>
        <v>106</v>
      </c>
      <c r="Y917" s="49">
        <f t="shared" si="217"/>
        <v>130</v>
      </c>
      <c r="Z917" s="49">
        <f t="shared" si="217"/>
        <v>80</v>
      </c>
      <c r="AA917" s="49">
        <f t="shared" si="217"/>
        <v>111</v>
      </c>
      <c r="AB917" s="49">
        <f t="shared" si="217"/>
        <v>15</v>
      </c>
      <c r="AC917" s="49">
        <f t="shared" si="217"/>
        <v>0</v>
      </c>
      <c r="AD917" s="53" t="e">
        <f>#REF!*D917</f>
        <v>#REF!</v>
      </c>
      <c r="AE917" s="53" t="e">
        <f>AD917-#REF!</f>
        <v>#REF!</v>
      </c>
      <c r="AF917" s="9"/>
      <c r="AG917" s="33" t="e">
        <f>#REF!-D917</f>
        <v>#REF!</v>
      </c>
      <c r="AH917" s="9"/>
      <c r="AI917" s="9"/>
      <c r="AJ917" s="9"/>
      <c r="AK917" s="9"/>
    </row>
    <row r="918" spans="1:37" s="12" customFormat="1" ht="20.399999999999999" outlineLevel="1" x14ac:dyDescent="0.2">
      <c r="A918" s="61" t="s">
        <v>1126</v>
      </c>
      <c r="B918" s="14" t="s">
        <v>66</v>
      </c>
      <c r="C918" s="9" t="s">
        <v>47</v>
      </c>
      <c r="D918" s="25">
        <f t="shared" si="215"/>
        <v>11</v>
      </c>
      <c r="E918" s="54"/>
      <c r="F918" s="78"/>
      <c r="G918" s="88">
        <f t="shared" ref="G918:AC918" si="218">G916+G914</f>
        <v>0</v>
      </c>
      <c r="H918" s="88">
        <f t="shared" si="218"/>
        <v>0</v>
      </c>
      <c r="I918" s="88">
        <f t="shared" si="218"/>
        <v>0</v>
      </c>
      <c r="J918" s="88">
        <f t="shared" si="218"/>
        <v>8</v>
      </c>
      <c r="K918" s="88">
        <f t="shared" si="218"/>
        <v>0</v>
      </c>
      <c r="L918" s="88">
        <f t="shared" si="218"/>
        <v>0</v>
      </c>
      <c r="M918" s="88">
        <f t="shared" si="218"/>
        <v>0</v>
      </c>
      <c r="N918" s="88">
        <f t="shared" si="218"/>
        <v>0</v>
      </c>
      <c r="O918" s="88">
        <f t="shared" si="218"/>
        <v>0</v>
      </c>
      <c r="P918" s="88">
        <f t="shared" si="218"/>
        <v>0</v>
      </c>
      <c r="Q918" s="88">
        <f t="shared" si="218"/>
        <v>0</v>
      </c>
      <c r="R918" s="88">
        <f t="shared" si="218"/>
        <v>0</v>
      </c>
      <c r="S918" s="88">
        <f t="shared" si="218"/>
        <v>0</v>
      </c>
      <c r="T918" s="88">
        <f t="shared" si="218"/>
        <v>0</v>
      </c>
      <c r="U918" s="88">
        <f t="shared" si="218"/>
        <v>0</v>
      </c>
      <c r="V918" s="88">
        <f t="shared" si="218"/>
        <v>0</v>
      </c>
      <c r="W918" s="88">
        <f t="shared" si="218"/>
        <v>3</v>
      </c>
      <c r="X918" s="88">
        <f t="shared" si="218"/>
        <v>0</v>
      </c>
      <c r="Y918" s="88">
        <f t="shared" si="218"/>
        <v>0</v>
      </c>
      <c r="Z918" s="88">
        <f t="shared" si="218"/>
        <v>0</v>
      </c>
      <c r="AA918" s="88">
        <f t="shared" si="218"/>
        <v>0</v>
      </c>
      <c r="AB918" s="88">
        <f t="shared" si="218"/>
        <v>0</v>
      </c>
      <c r="AC918" s="88">
        <f t="shared" si="218"/>
        <v>0</v>
      </c>
      <c r="AD918" s="53" t="e">
        <f>#REF!*D918</f>
        <v>#REF!</v>
      </c>
      <c r="AE918" s="53" t="e">
        <f>AD918-#REF!</f>
        <v>#REF!</v>
      </c>
      <c r="AF918" s="49"/>
      <c r="AG918" s="33" t="e">
        <f>#REF!-D918</f>
        <v>#REF!</v>
      </c>
      <c r="AH918" s="9"/>
      <c r="AI918" s="9"/>
      <c r="AJ918" s="9"/>
      <c r="AK918" s="9"/>
    </row>
    <row r="919" spans="1:37" s="12" customFormat="1" ht="20.399999999999999" outlineLevel="1" x14ac:dyDescent="0.2">
      <c r="A919" s="61" t="s">
        <v>1127</v>
      </c>
      <c r="B919" s="14" t="s">
        <v>68</v>
      </c>
      <c r="C919" s="9" t="s">
        <v>36</v>
      </c>
      <c r="D919" s="25">
        <f t="shared" si="215"/>
        <v>818</v>
      </c>
      <c r="E919" s="54"/>
      <c r="F919" s="9"/>
      <c r="G919" s="49">
        <f t="shared" ref="G919:Y919" si="219">G938+G939+G940+G7994*2</f>
        <v>0</v>
      </c>
      <c r="H919" s="49">
        <f t="shared" si="219"/>
        <v>102</v>
      </c>
      <c r="I919" s="49">
        <f t="shared" si="219"/>
        <v>78</v>
      </c>
      <c r="J919" s="49">
        <f t="shared" si="219"/>
        <v>67</v>
      </c>
      <c r="K919" s="49">
        <f t="shared" si="219"/>
        <v>70</v>
      </c>
      <c r="L919" s="49">
        <f t="shared" si="219"/>
        <v>54</v>
      </c>
      <c r="M919" s="49">
        <f t="shared" si="219"/>
        <v>47</v>
      </c>
      <c r="N919" s="49">
        <f t="shared" si="219"/>
        <v>47</v>
      </c>
      <c r="O919" s="49">
        <f t="shared" si="219"/>
        <v>51</v>
      </c>
      <c r="P919" s="49">
        <f t="shared" si="219"/>
        <v>63</v>
      </c>
      <c r="Q919" s="49">
        <f t="shared" si="219"/>
        <v>46</v>
      </c>
      <c r="R919" s="49">
        <f t="shared" si="219"/>
        <v>3</v>
      </c>
      <c r="S919" s="49">
        <f t="shared" si="219"/>
        <v>0</v>
      </c>
      <c r="T919" s="49">
        <f t="shared" si="219"/>
        <v>0</v>
      </c>
      <c r="U919" s="49">
        <f t="shared" si="219"/>
        <v>36</v>
      </c>
      <c r="V919" s="49">
        <f t="shared" si="219"/>
        <v>47</v>
      </c>
      <c r="W919" s="49">
        <f t="shared" si="219"/>
        <v>37</v>
      </c>
      <c r="X919" s="49">
        <f t="shared" si="219"/>
        <v>31</v>
      </c>
      <c r="Y919" s="49">
        <f t="shared" si="219"/>
        <v>39</v>
      </c>
      <c r="Z919" s="9">
        <v>0</v>
      </c>
      <c r="AA919" s="9">
        <v>0</v>
      </c>
      <c r="AB919" s="9">
        <v>0</v>
      </c>
      <c r="AC919" s="9">
        <v>0</v>
      </c>
      <c r="AD919" s="53" t="e">
        <f>#REF!*D919</f>
        <v>#REF!</v>
      </c>
      <c r="AE919" s="53" t="e">
        <f>AD919-#REF!</f>
        <v>#REF!</v>
      </c>
      <c r="AF919" s="9"/>
      <c r="AG919" s="33" t="e">
        <f>#REF!-D919</f>
        <v>#REF!</v>
      </c>
      <c r="AH919" s="9"/>
      <c r="AI919" s="9"/>
      <c r="AJ919" s="9"/>
      <c r="AK919" s="9"/>
    </row>
    <row r="920" spans="1:37" s="12" customFormat="1" ht="20.399999999999999" outlineLevel="1" x14ac:dyDescent="0.2">
      <c r="A920" s="61" t="s">
        <v>1128</v>
      </c>
      <c r="B920" s="14" t="s">
        <v>228</v>
      </c>
      <c r="C920" s="9" t="s">
        <v>36</v>
      </c>
      <c r="D920" s="25">
        <f t="shared" si="215"/>
        <v>16</v>
      </c>
      <c r="E920" s="54"/>
      <c r="F920" s="78"/>
      <c r="G920" s="33">
        <v>0</v>
      </c>
      <c r="H920" s="33">
        <v>0</v>
      </c>
      <c r="I920" s="9">
        <v>0</v>
      </c>
      <c r="J920" s="9">
        <v>13</v>
      </c>
      <c r="K920" s="9">
        <v>0</v>
      </c>
      <c r="L920" s="9">
        <v>0</v>
      </c>
      <c r="M920" s="9">
        <v>0</v>
      </c>
      <c r="N920" s="9">
        <v>0</v>
      </c>
      <c r="O920" s="9">
        <v>0</v>
      </c>
      <c r="P920" s="9">
        <v>0</v>
      </c>
      <c r="Q920" s="9">
        <v>0</v>
      </c>
      <c r="R920" s="9">
        <v>0</v>
      </c>
      <c r="S920" s="9">
        <v>0</v>
      </c>
      <c r="T920" s="9">
        <v>0</v>
      </c>
      <c r="U920" s="33">
        <v>0</v>
      </c>
      <c r="V920" s="9">
        <v>0</v>
      </c>
      <c r="W920" s="9">
        <v>3</v>
      </c>
      <c r="X920" s="9">
        <v>0</v>
      </c>
      <c r="Y920" s="9">
        <v>0</v>
      </c>
      <c r="Z920" s="9">
        <v>0</v>
      </c>
      <c r="AA920" s="9">
        <v>0</v>
      </c>
      <c r="AB920" s="9">
        <v>0</v>
      </c>
      <c r="AC920" s="9">
        <v>0</v>
      </c>
      <c r="AD920" s="53" t="e">
        <f>#REF!*D920</f>
        <v>#REF!</v>
      </c>
      <c r="AE920" s="53" t="e">
        <f>AD920-#REF!</f>
        <v>#REF!</v>
      </c>
      <c r="AF920" s="9"/>
      <c r="AG920" s="33" t="e">
        <f>#REF!-D920</f>
        <v>#REF!</v>
      </c>
      <c r="AH920" s="9"/>
      <c r="AI920" s="9"/>
      <c r="AJ920" s="9"/>
      <c r="AK920" s="9"/>
    </row>
    <row r="921" spans="1:37" s="12" customFormat="1" ht="20.399999999999999" outlineLevel="1" x14ac:dyDescent="0.2">
      <c r="A921" s="61" t="s">
        <v>1129</v>
      </c>
      <c r="B921" s="14" t="s">
        <v>2477</v>
      </c>
      <c r="C921" s="9" t="s">
        <v>47</v>
      </c>
      <c r="D921" s="25">
        <f t="shared" si="215"/>
        <v>2577</v>
      </c>
      <c r="E921" s="54"/>
      <c r="F921" s="9"/>
      <c r="G921" s="49">
        <f t="shared" ref="G921:AC921" si="220">MROUND(G913*3/1.7,1)</f>
        <v>0</v>
      </c>
      <c r="H921" s="49">
        <f t="shared" si="220"/>
        <v>341</v>
      </c>
      <c r="I921" s="49">
        <f t="shared" si="220"/>
        <v>219</v>
      </c>
      <c r="J921" s="49">
        <f t="shared" si="220"/>
        <v>194</v>
      </c>
      <c r="K921" s="49">
        <f t="shared" si="220"/>
        <v>189</v>
      </c>
      <c r="L921" s="49">
        <f t="shared" si="220"/>
        <v>122</v>
      </c>
      <c r="M921" s="49">
        <f t="shared" si="220"/>
        <v>92</v>
      </c>
      <c r="N921" s="49">
        <f t="shared" si="220"/>
        <v>92</v>
      </c>
      <c r="O921" s="49">
        <f t="shared" si="220"/>
        <v>95</v>
      </c>
      <c r="P921" s="49">
        <f t="shared" si="220"/>
        <v>118</v>
      </c>
      <c r="Q921" s="49">
        <f t="shared" si="220"/>
        <v>106</v>
      </c>
      <c r="R921" s="49">
        <f t="shared" si="220"/>
        <v>7</v>
      </c>
      <c r="S921" s="49">
        <f t="shared" si="220"/>
        <v>0</v>
      </c>
      <c r="T921" s="49">
        <f t="shared" si="220"/>
        <v>0</v>
      </c>
      <c r="U921" s="49">
        <f t="shared" si="220"/>
        <v>136</v>
      </c>
      <c r="V921" s="49">
        <f t="shared" si="220"/>
        <v>182</v>
      </c>
      <c r="W921" s="49">
        <f t="shared" si="220"/>
        <v>106</v>
      </c>
      <c r="X921" s="49">
        <f t="shared" si="220"/>
        <v>138</v>
      </c>
      <c r="Y921" s="49">
        <f t="shared" si="220"/>
        <v>168</v>
      </c>
      <c r="Z921" s="49">
        <f t="shared" si="220"/>
        <v>111</v>
      </c>
      <c r="AA921" s="49">
        <f t="shared" si="220"/>
        <v>143</v>
      </c>
      <c r="AB921" s="49">
        <f t="shared" si="220"/>
        <v>18</v>
      </c>
      <c r="AC921" s="49">
        <f t="shared" si="220"/>
        <v>0</v>
      </c>
      <c r="AD921" s="53" t="e">
        <f>#REF!*D921</f>
        <v>#REF!</v>
      </c>
      <c r="AE921" s="53" t="e">
        <f>AD921-#REF!</f>
        <v>#REF!</v>
      </c>
      <c r="AF921" s="9"/>
      <c r="AG921" s="33" t="e">
        <f>#REF!-D921</f>
        <v>#REF!</v>
      </c>
      <c r="AH921" s="9"/>
      <c r="AI921" s="9"/>
      <c r="AJ921" s="9"/>
      <c r="AK921" s="9"/>
    </row>
    <row r="922" spans="1:37" s="12" customFormat="1" ht="20.399999999999999" outlineLevel="1" x14ac:dyDescent="0.2">
      <c r="A922" s="61" t="s">
        <v>1130</v>
      </c>
      <c r="B922" s="14" t="s">
        <v>2480</v>
      </c>
      <c r="C922" s="9" t="s">
        <v>47</v>
      </c>
      <c r="D922" s="25">
        <f t="shared" si="215"/>
        <v>22</v>
      </c>
      <c r="E922" s="54"/>
      <c r="F922" s="9"/>
      <c r="G922" s="33">
        <v>0</v>
      </c>
      <c r="H922" s="33">
        <v>0</v>
      </c>
      <c r="I922" s="33">
        <v>0</v>
      </c>
      <c r="J922" s="33">
        <v>8</v>
      </c>
      <c r="K922" s="33">
        <v>0</v>
      </c>
      <c r="L922" s="33">
        <v>0</v>
      </c>
      <c r="M922" s="33">
        <v>0</v>
      </c>
      <c r="N922" s="33">
        <v>0</v>
      </c>
      <c r="O922" s="33">
        <v>0</v>
      </c>
      <c r="P922" s="33">
        <v>0</v>
      </c>
      <c r="Q922" s="33">
        <v>0</v>
      </c>
      <c r="R922" s="33">
        <v>12</v>
      </c>
      <c r="S922" s="33">
        <v>0</v>
      </c>
      <c r="T922" s="33">
        <v>0</v>
      </c>
      <c r="U922" s="33">
        <v>0</v>
      </c>
      <c r="V922" s="33">
        <v>0</v>
      </c>
      <c r="W922" s="33">
        <v>2</v>
      </c>
      <c r="X922" s="33">
        <v>0</v>
      </c>
      <c r="Y922" s="33">
        <v>0</v>
      </c>
      <c r="Z922" s="9">
        <v>0</v>
      </c>
      <c r="AA922" s="9">
        <v>0</v>
      </c>
      <c r="AB922" s="9">
        <v>0</v>
      </c>
      <c r="AC922" s="9">
        <v>0</v>
      </c>
      <c r="AD922" s="53" t="e">
        <f>#REF!*D922</f>
        <v>#REF!</v>
      </c>
      <c r="AE922" s="53" t="e">
        <f>AD922-#REF!</f>
        <v>#REF!</v>
      </c>
      <c r="AF922" s="9"/>
      <c r="AG922" s="33" t="e">
        <f>#REF!-D922</f>
        <v>#REF!</v>
      </c>
      <c r="AH922" s="9"/>
      <c r="AI922" s="9"/>
      <c r="AJ922" s="9"/>
      <c r="AK922" s="9"/>
    </row>
    <row r="923" spans="1:37" s="17" customFormat="1" ht="20.399999999999999" outlineLevel="1" x14ac:dyDescent="0.2">
      <c r="A923" s="61" t="s">
        <v>1131</v>
      </c>
      <c r="B923" s="14" t="s">
        <v>424</v>
      </c>
      <c r="C923" s="8" t="s">
        <v>47</v>
      </c>
      <c r="D923" s="25">
        <f t="shared" si="215"/>
        <v>2577</v>
      </c>
      <c r="E923" s="54"/>
      <c r="F923" s="9"/>
      <c r="G923" s="49">
        <f t="shared" ref="G923:AC923" si="221">G921</f>
        <v>0</v>
      </c>
      <c r="H923" s="49">
        <f t="shared" si="221"/>
        <v>341</v>
      </c>
      <c r="I923" s="49">
        <f t="shared" si="221"/>
        <v>219</v>
      </c>
      <c r="J923" s="49">
        <f t="shared" si="221"/>
        <v>194</v>
      </c>
      <c r="K923" s="49">
        <f t="shared" si="221"/>
        <v>189</v>
      </c>
      <c r="L923" s="49">
        <f t="shared" si="221"/>
        <v>122</v>
      </c>
      <c r="M923" s="49">
        <f t="shared" si="221"/>
        <v>92</v>
      </c>
      <c r="N923" s="49">
        <f t="shared" si="221"/>
        <v>92</v>
      </c>
      <c r="O923" s="49">
        <f t="shared" si="221"/>
        <v>95</v>
      </c>
      <c r="P923" s="49">
        <f t="shared" si="221"/>
        <v>118</v>
      </c>
      <c r="Q923" s="49">
        <f t="shared" si="221"/>
        <v>106</v>
      </c>
      <c r="R923" s="49">
        <f t="shared" si="221"/>
        <v>7</v>
      </c>
      <c r="S923" s="49">
        <f t="shared" si="221"/>
        <v>0</v>
      </c>
      <c r="T923" s="49">
        <f t="shared" si="221"/>
        <v>0</v>
      </c>
      <c r="U923" s="49">
        <f t="shared" si="221"/>
        <v>136</v>
      </c>
      <c r="V923" s="49">
        <f t="shared" si="221"/>
        <v>182</v>
      </c>
      <c r="W923" s="49">
        <f t="shared" si="221"/>
        <v>106</v>
      </c>
      <c r="X923" s="49">
        <f t="shared" si="221"/>
        <v>138</v>
      </c>
      <c r="Y923" s="49">
        <f t="shared" si="221"/>
        <v>168</v>
      </c>
      <c r="Z923" s="49">
        <f t="shared" si="221"/>
        <v>111</v>
      </c>
      <c r="AA923" s="49">
        <f t="shared" si="221"/>
        <v>143</v>
      </c>
      <c r="AB923" s="49">
        <f t="shared" si="221"/>
        <v>18</v>
      </c>
      <c r="AC923" s="49">
        <f t="shared" si="221"/>
        <v>0</v>
      </c>
      <c r="AD923" s="53" t="e">
        <f>#REF!*D923</f>
        <v>#REF!</v>
      </c>
      <c r="AE923" s="53" t="e">
        <f>AD923-#REF!</f>
        <v>#REF!</v>
      </c>
      <c r="AF923" s="8"/>
      <c r="AG923" s="33" t="e">
        <f>#REF!-D923</f>
        <v>#REF!</v>
      </c>
      <c r="AH923" s="8"/>
      <c r="AI923" s="8"/>
      <c r="AJ923" s="8"/>
      <c r="AK923" s="8"/>
    </row>
    <row r="924" spans="1:37" s="12" customFormat="1" ht="20.399999999999999" outlineLevel="1" x14ac:dyDescent="0.2">
      <c r="A924" s="61" t="s">
        <v>1132</v>
      </c>
      <c r="B924" s="14" t="s">
        <v>69</v>
      </c>
      <c r="C924" s="9" t="s">
        <v>47</v>
      </c>
      <c r="D924" s="25">
        <f t="shared" si="215"/>
        <v>5154</v>
      </c>
      <c r="E924" s="54"/>
      <c r="F924" s="9"/>
      <c r="G924" s="49">
        <f t="shared" ref="G924:AC924" si="222">G923*2</f>
        <v>0</v>
      </c>
      <c r="H924" s="49">
        <f t="shared" si="222"/>
        <v>682</v>
      </c>
      <c r="I924" s="49">
        <f t="shared" si="222"/>
        <v>438</v>
      </c>
      <c r="J924" s="49">
        <f t="shared" si="222"/>
        <v>388</v>
      </c>
      <c r="K924" s="49">
        <f t="shared" si="222"/>
        <v>378</v>
      </c>
      <c r="L924" s="49">
        <f t="shared" si="222"/>
        <v>244</v>
      </c>
      <c r="M924" s="49">
        <f t="shared" si="222"/>
        <v>184</v>
      </c>
      <c r="N924" s="49">
        <f t="shared" si="222"/>
        <v>184</v>
      </c>
      <c r="O924" s="49">
        <f t="shared" si="222"/>
        <v>190</v>
      </c>
      <c r="P924" s="49">
        <f t="shared" si="222"/>
        <v>236</v>
      </c>
      <c r="Q924" s="49">
        <f t="shared" si="222"/>
        <v>212</v>
      </c>
      <c r="R924" s="49">
        <f t="shared" si="222"/>
        <v>14</v>
      </c>
      <c r="S924" s="49">
        <f t="shared" si="222"/>
        <v>0</v>
      </c>
      <c r="T924" s="49">
        <f t="shared" si="222"/>
        <v>0</v>
      </c>
      <c r="U924" s="49">
        <f t="shared" si="222"/>
        <v>272</v>
      </c>
      <c r="V924" s="49">
        <f t="shared" si="222"/>
        <v>364</v>
      </c>
      <c r="W924" s="49">
        <f t="shared" si="222"/>
        <v>212</v>
      </c>
      <c r="X924" s="49">
        <f t="shared" si="222"/>
        <v>276</v>
      </c>
      <c r="Y924" s="49">
        <f t="shared" si="222"/>
        <v>336</v>
      </c>
      <c r="Z924" s="49">
        <f t="shared" si="222"/>
        <v>222</v>
      </c>
      <c r="AA924" s="49">
        <f t="shared" si="222"/>
        <v>286</v>
      </c>
      <c r="AB924" s="49">
        <f t="shared" si="222"/>
        <v>36</v>
      </c>
      <c r="AC924" s="49">
        <f t="shared" si="222"/>
        <v>0</v>
      </c>
      <c r="AD924" s="53" t="e">
        <f>#REF!*D924</f>
        <v>#REF!</v>
      </c>
      <c r="AE924" s="53" t="e">
        <f>AD924-#REF!</f>
        <v>#REF!</v>
      </c>
      <c r="AF924" s="9"/>
      <c r="AG924" s="33" t="e">
        <f>#REF!-D924</f>
        <v>#REF!</v>
      </c>
      <c r="AH924" s="9"/>
      <c r="AI924" s="9"/>
      <c r="AJ924" s="9"/>
      <c r="AK924" s="9"/>
    </row>
    <row r="925" spans="1:37" s="12" customFormat="1" ht="20.399999999999999" outlineLevel="1" x14ac:dyDescent="0.2">
      <c r="A925" s="61" t="s">
        <v>1133</v>
      </c>
      <c r="B925" s="14" t="s">
        <v>1032</v>
      </c>
      <c r="C925" s="9" t="s">
        <v>47</v>
      </c>
      <c r="D925" s="25">
        <f t="shared" si="215"/>
        <v>15462</v>
      </c>
      <c r="E925" s="54"/>
      <c r="F925" s="9"/>
      <c r="G925" s="49">
        <f t="shared" ref="G925:AC925" si="223">G923*6</f>
        <v>0</v>
      </c>
      <c r="H925" s="49">
        <f t="shared" si="223"/>
        <v>2046</v>
      </c>
      <c r="I925" s="49">
        <f t="shared" si="223"/>
        <v>1314</v>
      </c>
      <c r="J925" s="49">
        <f t="shared" si="223"/>
        <v>1164</v>
      </c>
      <c r="K925" s="49">
        <f t="shared" si="223"/>
        <v>1134</v>
      </c>
      <c r="L925" s="49">
        <f t="shared" si="223"/>
        <v>732</v>
      </c>
      <c r="M925" s="49">
        <f t="shared" si="223"/>
        <v>552</v>
      </c>
      <c r="N925" s="49">
        <f t="shared" si="223"/>
        <v>552</v>
      </c>
      <c r="O925" s="49">
        <f t="shared" si="223"/>
        <v>570</v>
      </c>
      <c r="P925" s="49">
        <f t="shared" si="223"/>
        <v>708</v>
      </c>
      <c r="Q925" s="49">
        <f t="shared" si="223"/>
        <v>636</v>
      </c>
      <c r="R925" s="49">
        <f t="shared" si="223"/>
        <v>42</v>
      </c>
      <c r="S925" s="49">
        <f t="shared" si="223"/>
        <v>0</v>
      </c>
      <c r="T925" s="49">
        <f t="shared" si="223"/>
        <v>0</v>
      </c>
      <c r="U925" s="49">
        <f t="shared" si="223"/>
        <v>816</v>
      </c>
      <c r="V925" s="49">
        <f t="shared" si="223"/>
        <v>1092</v>
      </c>
      <c r="W925" s="49">
        <f t="shared" si="223"/>
        <v>636</v>
      </c>
      <c r="X925" s="49">
        <f t="shared" si="223"/>
        <v>828</v>
      </c>
      <c r="Y925" s="49">
        <f t="shared" si="223"/>
        <v>1008</v>
      </c>
      <c r="Z925" s="49">
        <f t="shared" si="223"/>
        <v>666</v>
      </c>
      <c r="AA925" s="49">
        <f t="shared" si="223"/>
        <v>858</v>
      </c>
      <c r="AB925" s="49">
        <f t="shared" si="223"/>
        <v>108</v>
      </c>
      <c r="AC925" s="49">
        <f t="shared" si="223"/>
        <v>0</v>
      </c>
      <c r="AD925" s="53" t="e">
        <f>#REF!*D925</f>
        <v>#REF!</v>
      </c>
      <c r="AE925" s="53" t="e">
        <f>AD925-#REF!</f>
        <v>#REF!</v>
      </c>
      <c r="AF925" s="9"/>
      <c r="AG925" s="33" t="e">
        <f>#REF!-D925</f>
        <v>#REF!</v>
      </c>
      <c r="AH925" s="9"/>
      <c r="AI925" s="9"/>
      <c r="AJ925" s="9"/>
      <c r="AK925" s="9"/>
    </row>
    <row r="926" spans="1:37" s="17" customFormat="1" ht="20.399999999999999" outlineLevel="1" x14ac:dyDescent="0.2">
      <c r="A926" s="61" t="s">
        <v>1134</v>
      </c>
      <c r="B926" s="14" t="s">
        <v>1033</v>
      </c>
      <c r="C926" s="8" t="s">
        <v>48</v>
      </c>
      <c r="D926" s="25">
        <f t="shared" si="215"/>
        <v>1413</v>
      </c>
      <c r="E926" s="54"/>
      <c r="F926" s="9"/>
      <c r="G926" s="49">
        <f t="shared" ref="G926:AC926" si="224">MROUND(G923*0.55,3)</f>
        <v>0</v>
      </c>
      <c r="H926" s="49">
        <f t="shared" si="224"/>
        <v>189</v>
      </c>
      <c r="I926" s="49">
        <f t="shared" si="224"/>
        <v>120</v>
      </c>
      <c r="J926" s="49">
        <f t="shared" si="224"/>
        <v>108</v>
      </c>
      <c r="K926" s="49">
        <f t="shared" si="224"/>
        <v>105</v>
      </c>
      <c r="L926" s="49">
        <f t="shared" si="224"/>
        <v>66</v>
      </c>
      <c r="M926" s="49">
        <f t="shared" si="224"/>
        <v>51</v>
      </c>
      <c r="N926" s="49">
        <f t="shared" si="224"/>
        <v>51</v>
      </c>
      <c r="O926" s="49">
        <f t="shared" si="224"/>
        <v>51</v>
      </c>
      <c r="P926" s="49">
        <f t="shared" si="224"/>
        <v>66</v>
      </c>
      <c r="Q926" s="49">
        <f t="shared" si="224"/>
        <v>57</v>
      </c>
      <c r="R926" s="49">
        <f t="shared" si="224"/>
        <v>3</v>
      </c>
      <c r="S926" s="49">
        <f t="shared" si="224"/>
        <v>0</v>
      </c>
      <c r="T926" s="49">
        <f t="shared" si="224"/>
        <v>0</v>
      </c>
      <c r="U926" s="49">
        <f t="shared" si="224"/>
        <v>75</v>
      </c>
      <c r="V926" s="49">
        <f t="shared" si="224"/>
        <v>99</v>
      </c>
      <c r="W926" s="49">
        <f t="shared" si="224"/>
        <v>57</v>
      </c>
      <c r="X926" s="49">
        <f t="shared" si="224"/>
        <v>75</v>
      </c>
      <c r="Y926" s="49">
        <f t="shared" si="224"/>
        <v>93</v>
      </c>
      <c r="Z926" s="49">
        <f t="shared" si="224"/>
        <v>60</v>
      </c>
      <c r="AA926" s="49">
        <f t="shared" si="224"/>
        <v>78</v>
      </c>
      <c r="AB926" s="49">
        <f t="shared" si="224"/>
        <v>9</v>
      </c>
      <c r="AC926" s="49">
        <f t="shared" si="224"/>
        <v>0</v>
      </c>
      <c r="AD926" s="53" t="e">
        <f>#REF!*D926</f>
        <v>#REF!</v>
      </c>
      <c r="AE926" s="53" t="e">
        <f>AD926-#REF!</f>
        <v>#REF!</v>
      </c>
      <c r="AF926" s="8"/>
      <c r="AG926" s="33" t="e">
        <f>#REF!-D926</f>
        <v>#REF!</v>
      </c>
      <c r="AH926" s="8"/>
      <c r="AI926" s="8"/>
      <c r="AJ926" s="8"/>
      <c r="AK926" s="8"/>
    </row>
    <row r="927" spans="1:37" s="17" customFormat="1" ht="30.6" outlineLevel="1" x14ac:dyDescent="0.2">
      <c r="A927" s="61" t="s">
        <v>1135</v>
      </c>
      <c r="B927" s="47" t="s">
        <v>2473</v>
      </c>
      <c r="C927" s="9" t="s">
        <v>47</v>
      </c>
      <c r="D927" s="25">
        <f t="shared" si="215"/>
        <v>788</v>
      </c>
      <c r="E927" s="54"/>
      <c r="F927" s="9"/>
      <c r="G927" s="33">
        <v>0</v>
      </c>
      <c r="H927" s="33">
        <v>100</v>
      </c>
      <c r="I927" s="33">
        <v>65</v>
      </c>
      <c r="J927" s="33">
        <f>80-16</f>
        <v>64</v>
      </c>
      <c r="K927" s="33">
        <f>115-55</f>
        <v>60</v>
      </c>
      <c r="L927" s="33">
        <v>50</v>
      </c>
      <c r="M927" s="33">
        <v>47</v>
      </c>
      <c r="N927" s="33">
        <v>47</v>
      </c>
      <c r="O927" s="33">
        <v>51</v>
      </c>
      <c r="P927" s="33">
        <v>53</v>
      </c>
      <c r="Q927" s="33">
        <v>42</v>
      </c>
      <c r="R927" s="33">
        <v>0</v>
      </c>
      <c r="S927" s="33">
        <v>0</v>
      </c>
      <c r="T927" s="33">
        <v>0</v>
      </c>
      <c r="U927" s="33">
        <v>20</v>
      </c>
      <c r="V927" s="33">
        <v>30</v>
      </c>
      <c r="W927" s="33">
        <v>16</v>
      </c>
      <c r="X927" s="33">
        <v>55</v>
      </c>
      <c r="Y927" s="33">
        <v>40</v>
      </c>
      <c r="Z927" s="9">
        <v>15</v>
      </c>
      <c r="AA927" s="9">
        <v>25</v>
      </c>
      <c r="AB927" s="9">
        <v>8</v>
      </c>
      <c r="AC927" s="9">
        <v>0</v>
      </c>
      <c r="AD927" s="53" t="e">
        <f>#REF!*D927</f>
        <v>#REF!</v>
      </c>
      <c r="AE927" s="53" t="e">
        <f>AD927-#REF!</f>
        <v>#REF!</v>
      </c>
      <c r="AF927" s="8"/>
      <c r="AG927" s="33" t="e">
        <f>#REF!-D927</f>
        <v>#REF!</v>
      </c>
      <c r="AH927" s="8"/>
      <c r="AI927" s="8"/>
      <c r="AJ927" s="8"/>
      <c r="AK927" s="8"/>
    </row>
    <row r="928" spans="1:37" s="17" customFormat="1" ht="26.25" customHeight="1" outlineLevel="1" x14ac:dyDescent="0.2">
      <c r="A928" s="61" t="s">
        <v>1137</v>
      </c>
      <c r="B928" s="47" t="s">
        <v>425</v>
      </c>
      <c r="C928" s="8" t="s">
        <v>47</v>
      </c>
      <c r="D928" s="25">
        <f t="shared" si="215"/>
        <v>1576</v>
      </c>
      <c r="E928" s="54"/>
      <c r="F928" s="9"/>
      <c r="G928" s="88">
        <f t="shared" ref="G928:AC928" si="225">G927*2</f>
        <v>0</v>
      </c>
      <c r="H928" s="88">
        <f t="shared" si="225"/>
        <v>200</v>
      </c>
      <c r="I928" s="88">
        <f t="shared" si="225"/>
        <v>130</v>
      </c>
      <c r="J928" s="88">
        <f t="shared" si="225"/>
        <v>128</v>
      </c>
      <c r="K928" s="88">
        <f t="shared" si="225"/>
        <v>120</v>
      </c>
      <c r="L928" s="88">
        <f t="shared" si="225"/>
        <v>100</v>
      </c>
      <c r="M928" s="88">
        <f t="shared" si="225"/>
        <v>94</v>
      </c>
      <c r="N928" s="88">
        <f t="shared" si="225"/>
        <v>94</v>
      </c>
      <c r="O928" s="88">
        <f t="shared" si="225"/>
        <v>102</v>
      </c>
      <c r="P928" s="88">
        <f t="shared" si="225"/>
        <v>106</v>
      </c>
      <c r="Q928" s="88">
        <f t="shared" si="225"/>
        <v>84</v>
      </c>
      <c r="R928" s="88">
        <f t="shared" si="225"/>
        <v>0</v>
      </c>
      <c r="S928" s="88">
        <f t="shared" si="225"/>
        <v>0</v>
      </c>
      <c r="T928" s="88">
        <f t="shared" si="225"/>
        <v>0</v>
      </c>
      <c r="U928" s="88">
        <f t="shared" si="225"/>
        <v>40</v>
      </c>
      <c r="V928" s="88">
        <f t="shared" si="225"/>
        <v>60</v>
      </c>
      <c r="W928" s="88">
        <f t="shared" si="225"/>
        <v>32</v>
      </c>
      <c r="X928" s="88">
        <f t="shared" si="225"/>
        <v>110</v>
      </c>
      <c r="Y928" s="88">
        <f t="shared" si="225"/>
        <v>80</v>
      </c>
      <c r="Z928" s="88">
        <f t="shared" si="225"/>
        <v>30</v>
      </c>
      <c r="AA928" s="88">
        <f t="shared" si="225"/>
        <v>50</v>
      </c>
      <c r="AB928" s="88">
        <f t="shared" si="225"/>
        <v>16</v>
      </c>
      <c r="AC928" s="88">
        <f t="shared" si="225"/>
        <v>0</v>
      </c>
      <c r="AD928" s="53" t="e">
        <f>#REF!*D928</f>
        <v>#REF!</v>
      </c>
      <c r="AE928" s="53" t="e">
        <f>AD928-#REF!</f>
        <v>#REF!</v>
      </c>
      <c r="AF928" s="8"/>
      <c r="AG928" s="33" t="e">
        <f>#REF!-D928</f>
        <v>#REF!</v>
      </c>
      <c r="AH928" s="8"/>
      <c r="AI928" s="8"/>
      <c r="AJ928" s="8"/>
      <c r="AK928" s="8"/>
    </row>
    <row r="929" spans="1:37" s="12" customFormat="1" ht="10.199999999999999" outlineLevel="1" x14ac:dyDescent="0.2">
      <c r="A929" s="61" t="s">
        <v>1139</v>
      </c>
      <c r="B929" s="11" t="s">
        <v>56</v>
      </c>
      <c r="C929" s="9" t="s">
        <v>57</v>
      </c>
      <c r="D929" s="25">
        <f t="shared" si="215"/>
        <v>43.769999999999996</v>
      </c>
      <c r="E929" s="54"/>
      <c r="F929" s="9"/>
      <c r="G929" s="49">
        <f t="shared" ref="G929:AC929" si="226">SUM(G913:G913)*3/100</f>
        <v>0</v>
      </c>
      <c r="H929" s="49">
        <f t="shared" si="226"/>
        <v>5.79</v>
      </c>
      <c r="I929" s="49">
        <f t="shared" si="226"/>
        <v>3.72</v>
      </c>
      <c r="J929" s="49">
        <f t="shared" si="226"/>
        <v>3.3</v>
      </c>
      <c r="K929" s="49">
        <f t="shared" si="226"/>
        <v>3.21</v>
      </c>
      <c r="L929" s="49">
        <f t="shared" si="226"/>
        <v>2.0699999999999998</v>
      </c>
      <c r="M929" s="49">
        <f t="shared" si="226"/>
        <v>1.56</v>
      </c>
      <c r="N929" s="49">
        <f t="shared" si="226"/>
        <v>1.56</v>
      </c>
      <c r="O929" s="49">
        <f t="shared" si="226"/>
        <v>1.62</v>
      </c>
      <c r="P929" s="49">
        <f t="shared" si="226"/>
        <v>2.0099999999999998</v>
      </c>
      <c r="Q929" s="49">
        <f t="shared" si="226"/>
        <v>1.8</v>
      </c>
      <c r="R929" s="49">
        <f t="shared" si="226"/>
        <v>0.12</v>
      </c>
      <c r="S929" s="49">
        <f t="shared" si="226"/>
        <v>0</v>
      </c>
      <c r="T929" s="49">
        <f t="shared" si="226"/>
        <v>0</v>
      </c>
      <c r="U929" s="49">
        <f t="shared" si="226"/>
        <v>2.31</v>
      </c>
      <c r="V929" s="49">
        <f t="shared" si="226"/>
        <v>3.09</v>
      </c>
      <c r="W929" s="49">
        <f t="shared" si="226"/>
        <v>1.8</v>
      </c>
      <c r="X929" s="49">
        <f t="shared" si="226"/>
        <v>2.34</v>
      </c>
      <c r="Y929" s="49">
        <f t="shared" si="226"/>
        <v>2.85</v>
      </c>
      <c r="Z929" s="49">
        <f t="shared" si="226"/>
        <v>1.89</v>
      </c>
      <c r="AA929" s="49">
        <f t="shared" si="226"/>
        <v>2.4300000000000002</v>
      </c>
      <c r="AB929" s="49">
        <f t="shared" si="226"/>
        <v>0.3</v>
      </c>
      <c r="AC929" s="49">
        <f t="shared" si="226"/>
        <v>0</v>
      </c>
      <c r="AD929" s="53" t="e">
        <f>#REF!*D929</f>
        <v>#REF!</v>
      </c>
      <c r="AE929" s="53" t="e">
        <f>AD929-#REF!</f>
        <v>#REF!</v>
      </c>
      <c r="AF929" s="9"/>
      <c r="AG929" s="33" t="e">
        <f>#REF!-D929</f>
        <v>#REF!</v>
      </c>
      <c r="AH929" s="9"/>
      <c r="AI929" s="9"/>
      <c r="AJ929" s="9"/>
      <c r="AK929" s="9"/>
    </row>
    <row r="930" spans="1:37" s="12" customFormat="1" ht="20.399999999999999" outlineLevel="1" x14ac:dyDescent="0.2">
      <c r="A930" s="61" t="s">
        <v>1140</v>
      </c>
      <c r="B930" s="14" t="s">
        <v>1120</v>
      </c>
      <c r="C930" s="9" t="s">
        <v>47</v>
      </c>
      <c r="D930" s="25">
        <f t="shared" si="215"/>
        <v>2592</v>
      </c>
      <c r="E930" s="54"/>
      <c r="F930" s="9"/>
      <c r="G930" s="49">
        <f t="shared" ref="G930:AB930" si="227">(G938+G939+G940)*2+G941*2</f>
        <v>0</v>
      </c>
      <c r="H930" s="49">
        <f t="shared" si="227"/>
        <v>274</v>
      </c>
      <c r="I930" s="49">
        <f t="shared" si="227"/>
        <v>210</v>
      </c>
      <c r="J930" s="49">
        <f t="shared" si="227"/>
        <v>196</v>
      </c>
      <c r="K930" s="49">
        <f t="shared" si="227"/>
        <v>200</v>
      </c>
      <c r="L930" s="49">
        <f t="shared" si="227"/>
        <v>170</v>
      </c>
      <c r="M930" s="49">
        <f t="shared" si="227"/>
        <v>138</v>
      </c>
      <c r="N930" s="49">
        <f t="shared" si="227"/>
        <v>138</v>
      </c>
      <c r="O930" s="49">
        <f t="shared" si="227"/>
        <v>154</v>
      </c>
      <c r="P930" s="49">
        <f t="shared" si="227"/>
        <v>192</v>
      </c>
      <c r="Q930" s="49">
        <f t="shared" si="227"/>
        <v>128</v>
      </c>
      <c r="R930" s="49">
        <f t="shared" si="227"/>
        <v>6</v>
      </c>
      <c r="S930" s="49">
        <f t="shared" si="227"/>
        <v>0</v>
      </c>
      <c r="T930" s="49">
        <f t="shared" si="227"/>
        <v>0</v>
      </c>
      <c r="U930" s="49">
        <f t="shared" si="227"/>
        <v>106</v>
      </c>
      <c r="V930" s="49">
        <f t="shared" si="227"/>
        <v>140</v>
      </c>
      <c r="W930" s="49">
        <f t="shared" si="227"/>
        <v>94</v>
      </c>
      <c r="X930" s="49">
        <f t="shared" si="227"/>
        <v>100</v>
      </c>
      <c r="Y930" s="49">
        <f t="shared" si="227"/>
        <v>124</v>
      </c>
      <c r="Z930" s="49">
        <f t="shared" si="227"/>
        <v>96</v>
      </c>
      <c r="AA930" s="49">
        <f t="shared" si="227"/>
        <v>104</v>
      </c>
      <c r="AB930" s="49">
        <f t="shared" si="227"/>
        <v>22</v>
      </c>
      <c r="AC930" s="9">
        <v>0</v>
      </c>
      <c r="AD930" s="53" t="e">
        <f>#REF!*D930</f>
        <v>#REF!</v>
      </c>
      <c r="AE930" s="53" t="e">
        <f>AD930-#REF!</f>
        <v>#REF!</v>
      </c>
      <c r="AF930" s="9"/>
      <c r="AG930" s="33" t="e">
        <f>#REF!-D930</f>
        <v>#REF!</v>
      </c>
      <c r="AH930" s="9"/>
      <c r="AI930" s="9"/>
      <c r="AJ930" s="9"/>
      <c r="AK930" s="9"/>
    </row>
    <row r="931" spans="1:37" s="12" customFormat="1" ht="20.399999999999999" outlineLevel="1" x14ac:dyDescent="0.2">
      <c r="A931" s="61" t="s">
        <v>1150</v>
      </c>
      <c r="B931" s="14" t="s">
        <v>70</v>
      </c>
      <c r="C931" s="9" t="s">
        <v>47</v>
      </c>
      <c r="D931" s="25">
        <f t="shared" si="215"/>
        <v>1290</v>
      </c>
      <c r="E931" s="54"/>
      <c r="F931" s="9"/>
      <c r="G931" s="49">
        <f t="shared" ref="G931:AB931" si="228">G938+G939+G941</f>
        <v>0</v>
      </c>
      <c r="H931" s="49">
        <f t="shared" si="228"/>
        <v>137</v>
      </c>
      <c r="I931" s="49">
        <f t="shared" si="228"/>
        <v>105</v>
      </c>
      <c r="J931" s="49">
        <f t="shared" si="228"/>
        <v>96</v>
      </c>
      <c r="K931" s="49">
        <f t="shared" si="228"/>
        <v>100</v>
      </c>
      <c r="L931" s="49">
        <f t="shared" si="228"/>
        <v>85</v>
      </c>
      <c r="M931" s="49">
        <f t="shared" si="228"/>
        <v>69</v>
      </c>
      <c r="N931" s="49">
        <f t="shared" si="228"/>
        <v>69</v>
      </c>
      <c r="O931" s="49">
        <f t="shared" si="228"/>
        <v>77</v>
      </c>
      <c r="P931" s="49">
        <f t="shared" si="228"/>
        <v>96</v>
      </c>
      <c r="Q931" s="49">
        <f t="shared" si="228"/>
        <v>64</v>
      </c>
      <c r="R931" s="49">
        <f t="shared" si="228"/>
        <v>3</v>
      </c>
      <c r="S931" s="49">
        <f t="shared" si="228"/>
        <v>0</v>
      </c>
      <c r="T931" s="49">
        <f t="shared" si="228"/>
        <v>0</v>
      </c>
      <c r="U931" s="49">
        <f t="shared" si="228"/>
        <v>53</v>
      </c>
      <c r="V931" s="49">
        <f t="shared" si="228"/>
        <v>70</v>
      </c>
      <c r="W931" s="49">
        <f t="shared" si="228"/>
        <v>43</v>
      </c>
      <c r="X931" s="49">
        <f t="shared" si="228"/>
        <v>50</v>
      </c>
      <c r="Y931" s="49">
        <f t="shared" si="228"/>
        <v>62</v>
      </c>
      <c r="Z931" s="49">
        <f t="shared" si="228"/>
        <v>48</v>
      </c>
      <c r="AA931" s="49">
        <f t="shared" si="228"/>
        <v>52</v>
      </c>
      <c r="AB931" s="49">
        <f t="shared" si="228"/>
        <v>11</v>
      </c>
      <c r="AC931" s="9">
        <v>0</v>
      </c>
      <c r="AD931" s="53" t="e">
        <f>#REF!*D931</f>
        <v>#REF!</v>
      </c>
      <c r="AE931" s="53" t="e">
        <f>AD931-#REF!</f>
        <v>#REF!</v>
      </c>
      <c r="AF931" s="9"/>
      <c r="AG931" s="33" t="e">
        <f>#REF!-D931</f>
        <v>#REF!</v>
      </c>
      <c r="AH931" s="9"/>
      <c r="AI931" s="9"/>
      <c r="AJ931" s="9"/>
      <c r="AK931" s="9"/>
    </row>
    <row r="932" spans="1:37" s="17" customFormat="1" ht="30.6" outlineLevel="1" x14ac:dyDescent="0.2">
      <c r="A932" s="61" t="s">
        <v>1151</v>
      </c>
      <c r="B932" s="14" t="s">
        <v>1153</v>
      </c>
      <c r="C932" s="8" t="s">
        <v>47</v>
      </c>
      <c r="D932" s="25">
        <f t="shared" si="215"/>
        <v>8</v>
      </c>
      <c r="E932" s="54"/>
      <c r="F932" s="9"/>
      <c r="G932" s="33">
        <v>0</v>
      </c>
      <c r="H932" s="33">
        <v>0</v>
      </c>
      <c r="I932" s="9">
        <v>0</v>
      </c>
      <c r="J932" s="9">
        <v>6</v>
      </c>
      <c r="K932" s="9">
        <v>0</v>
      </c>
      <c r="L932" s="9">
        <v>0</v>
      </c>
      <c r="M932" s="9">
        <v>0</v>
      </c>
      <c r="N932" s="9">
        <v>0</v>
      </c>
      <c r="O932" s="9">
        <v>0</v>
      </c>
      <c r="P932" s="9">
        <v>0</v>
      </c>
      <c r="Q932" s="9">
        <v>0</v>
      </c>
      <c r="R932" s="9">
        <v>0</v>
      </c>
      <c r="S932" s="9">
        <v>0</v>
      </c>
      <c r="T932" s="9">
        <v>0</v>
      </c>
      <c r="U932" s="33">
        <v>0</v>
      </c>
      <c r="V932" s="9">
        <v>0</v>
      </c>
      <c r="W932" s="9">
        <v>2</v>
      </c>
      <c r="X932" s="9">
        <v>0</v>
      </c>
      <c r="Y932" s="9">
        <v>0</v>
      </c>
      <c r="Z932" s="9">
        <v>0</v>
      </c>
      <c r="AA932" s="9">
        <v>0</v>
      </c>
      <c r="AB932" s="9">
        <v>0</v>
      </c>
      <c r="AC932" s="9">
        <v>0</v>
      </c>
      <c r="AD932" s="53" t="e">
        <f>#REF!*D932</f>
        <v>#REF!</v>
      </c>
      <c r="AE932" s="53" t="e">
        <f>AD932-#REF!</f>
        <v>#REF!</v>
      </c>
      <c r="AF932" s="8"/>
      <c r="AG932" s="33" t="e">
        <f>#REF!-D932</f>
        <v>#REF!</v>
      </c>
      <c r="AH932" s="8"/>
      <c r="AI932" s="8"/>
      <c r="AJ932" s="8"/>
      <c r="AK932" s="8"/>
    </row>
    <row r="933" spans="1:37" s="17" customFormat="1" ht="30.6" outlineLevel="1" x14ac:dyDescent="0.2">
      <c r="A933" s="61" t="s">
        <v>1152</v>
      </c>
      <c r="B933" s="14" t="s">
        <v>1154</v>
      </c>
      <c r="C933" s="8" t="s">
        <v>47</v>
      </c>
      <c r="D933" s="25">
        <f t="shared" si="215"/>
        <v>8</v>
      </c>
      <c r="E933" s="54"/>
      <c r="F933" s="9"/>
      <c r="G933" s="33">
        <v>0</v>
      </c>
      <c r="H933" s="33">
        <v>0</v>
      </c>
      <c r="I933" s="9">
        <v>0</v>
      </c>
      <c r="J933" s="9">
        <v>6</v>
      </c>
      <c r="K933" s="9">
        <v>0</v>
      </c>
      <c r="L933" s="9">
        <v>0</v>
      </c>
      <c r="M933" s="9">
        <v>0</v>
      </c>
      <c r="N933" s="9">
        <v>0</v>
      </c>
      <c r="O933" s="9">
        <v>0</v>
      </c>
      <c r="P933" s="9">
        <v>0</v>
      </c>
      <c r="Q933" s="9">
        <v>0</v>
      </c>
      <c r="R933" s="9">
        <v>0</v>
      </c>
      <c r="S933" s="9">
        <v>0</v>
      </c>
      <c r="T933" s="9">
        <v>0</v>
      </c>
      <c r="U933" s="33">
        <v>0</v>
      </c>
      <c r="V933" s="9">
        <v>0</v>
      </c>
      <c r="W933" s="9">
        <v>2</v>
      </c>
      <c r="X933" s="9">
        <v>0</v>
      </c>
      <c r="Y933" s="9">
        <v>0</v>
      </c>
      <c r="Z933" s="9">
        <v>0</v>
      </c>
      <c r="AA933" s="9">
        <v>0</v>
      </c>
      <c r="AB933" s="9">
        <v>0</v>
      </c>
      <c r="AC933" s="9">
        <v>0</v>
      </c>
      <c r="AD933" s="53" t="e">
        <f>#REF!*D933</f>
        <v>#REF!</v>
      </c>
      <c r="AE933" s="53" t="e">
        <f>AD933-#REF!</f>
        <v>#REF!</v>
      </c>
      <c r="AF933" s="8"/>
      <c r="AG933" s="33" t="e">
        <f>#REF!-D933</f>
        <v>#REF!</v>
      </c>
      <c r="AH933" s="8"/>
      <c r="AI933" s="8"/>
      <c r="AJ933" s="8"/>
      <c r="AK933" s="8"/>
    </row>
    <row r="934" spans="1:37" s="17" customFormat="1" ht="30.6" outlineLevel="1" x14ac:dyDescent="0.2">
      <c r="A934" s="61" t="s">
        <v>1155</v>
      </c>
      <c r="B934" s="47" t="s">
        <v>2607</v>
      </c>
      <c r="C934" s="9" t="s">
        <v>48</v>
      </c>
      <c r="D934" s="25">
        <f>SUM(G934:AC934)*3</f>
        <v>18</v>
      </c>
      <c r="E934" s="54"/>
      <c r="F934" s="9"/>
      <c r="G934" s="33">
        <v>0</v>
      </c>
      <c r="H934" s="33">
        <v>0</v>
      </c>
      <c r="I934" s="33">
        <v>0</v>
      </c>
      <c r="J934" s="33">
        <v>0</v>
      </c>
      <c r="K934" s="33">
        <v>0</v>
      </c>
      <c r="L934" s="33">
        <v>0</v>
      </c>
      <c r="M934" s="33">
        <v>0</v>
      </c>
      <c r="N934" s="33">
        <v>0</v>
      </c>
      <c r="O934" s="33">
        <v>0</v>
      </c>
      <c r="P934" s="33">
        <v>0</v>
      </c>
      <c r="Q934" s="33">
        <v>0</v>
      </c>
      <c r="R934" s="33">
        <v>6</v>
      </c>
      <c r="S934" s="33">
        <v>0</v>
      </c>
      <c r="T934" s="33">
        <v>0</v>
      </c>
      <c r="U934" s="33">
        <v>0</v>
      </c>
      <c r="V934" s="33">
        <v>0</v>
      </c>
      <c r="W934" s="33">
        <v>0</v>
      </c>
      <c r="X934" s="33">
        <v>0</v>
      </c>
      <c r="Y934" s="33">
        <v>0</v>
      </c>
      <c r="Z934" s="33">
        <v>0</v>
      </c>
      <c r="AA934" s="33">
        <v>0</v>
      </c>
      <c r="AB934" s="33">
        <v>0</v>
      </c>
      <c r="AC934" s="33">
        <v>0</v>
      </c>
      <c r="AD934" s="53" t="e">
        <f>#REF!*D934</f>
        <v>#REF!</v>
      </c>
      <c r="AE934" s="53" t="e">
        <f>AD934-#REF!</f>
        <v>#REF!</v>
      </c>
      <c r="AF934" s="8"/>
      <c r="AG934" s="33" t="e">
        <f>#REF!-D934</f>
        <v>#REF!</v>
      </c>
      <c r="AH934" s="8"/>
      <c r="AI934" s="8"/>
      <c r="AJ934" s="8"/>
      <c r="AK934" s="8"/>
    </row>
    <row r="935" spans="1:37" s="17" customFormat="1" ht="20.399999999999999" outlineLevel="1" x14ac:dyDescent="0.2">
      <c r="A935" s="61" t="s">
        <v>1156</v>
      </c>
      <c r="B935" s="63" t="s">
        <v>1138</v>
      </c>
      <c r="C935" s="8"/>
      <c r="D935" s="25"/>
      <c r="E935" s="54"/>
      <c r="F935" s="9"/>
      <c r="G935" s="33"/>
      <c r="H935" s="33"/>
      <c r="I935" s="9"/>
      <c r="J935" s="9"/>
      <c r="K935" s="9"/>
      <c r="L935" s="9"/>
      <c r="M935" s="9"/>
      <c r="N935" s="9"/>
      <c r="O935" s="9"/>
      <c r="P935" s="9"/>
      <c r="Q935" s="9"/>
      <c r="R935" s="9"/>
      <c r="S935" s="9"/>
      <c r="T935" s="9"/>
      <c r="U935" s="33"/>
      <c r="V935" s="9"/>
      <c r="W935" s="9"/>
      <c r="X935" s="9"/>
      <c r="Y935" s="9"/>
      <c r="Z935" s="9"/>
      <c r="AA935" s="9"/>
      <c r="AB935" s="9"/>
      <c r="AC935" s="9"/>
      <c r="AD935" s="53" t="e">
        <f>#REF!*D935</f>
        <v>#REF!</v>
      </c>
      <c r="AE935" s="53" t="e">
        <f>AD935-#REF!</f>
        <v>#REF!</v>
      </c>
      <c r="AF935" s="8"/>
      <c r="AG935" s="33" t="e">
        <f>#REF!-D935</f>
        <v>#REF!</v>
      </c>
      <c r="AH935" s="8"/>
      <c r="AI935" s="8"/>
      <c r="AJ935" s="8"/>
      <c r="AK935" s="8"/>
    </row>
    <row r="936" spans="1:37" s="12" customFormat="1" outlineLevel="1" x14ac:dyDescent="0.25">
      <c r="A936" s="1"/>
      <c r="B936" s="14"/>
      <c r="C936" s="9"/>
      <c r="D936" s="25"/>
      <c r="E936" s="54"/>
      <c r="F936" s="9"/>
      <c r="G936" s="9"/>
      <c r="H936" s="9"/>
      <c r="I936" s="9"/>
      <c r="J936" s="9"/>
      <c r="K936" s="9"/>
      <c r="L936" s="9"/>
      <c r="M936" s="9"/>
      <c r="N936" s="9"/>
      <c r="O936" s="9"/>
      <c r="P936" s="9"/>
      <c r="Q936" s="9"/>
      <c r="R936" s="9"/>
      <c r="S936" s="9"/>
      <c r="T936" s="9"/>
      <c r="U936" s="9"/>
      <c r="V936" s="9"/>
      <c r="W936" s="9"/>
      <c r="X936" s="9"/>
      <c r="Y936" s="9"/>
      <c r="Z936" s="9"/>
      <c r="AA936" s="9"/>
      <c r="AB936" s="9"/>
      <c r="AC936" s="9"/>
      <c r="AD936" s="53" t="e">
        <f>#REF!*D936</f>
        <v>#REF!</v>
      </c>
      <c r="AE936" s="53" t="e">
        <f>AD936-#REF!</f>
        <v>#REF!</v>
      </c>
      <c r="AF936" s="9"/>
      <c r="AG936" s="33" t="e">
        <f>#REF!-D936</f>
        <v>#REF!</v>
      </c>
      <c r="AH936" s="9"/>
      <c r="AI936" s="9"/>
      <c r="AJ936" s="9"/>
      <c r="AK936" s="9"/>
    </row>
    <row r="937" spans="1:37" s="12" customFormat="1" ht="12" x14ac:dyDescent="0.25">
      <c r="A937" s="18" t="s">
        <v>23</v>
      </c>
      <c r="B937" s="35" t="s">
        <v>1107</v>
      </c>
      <c r="C937" s="18" t="s">
        <v>41</v>
      </c>
      <c r="D937" s="52" t="e">
        <f>#REF!/#REF!*100</f>
        <v>#REF!</v>
      </c>
      <c r="E937" s="54"/>
      <c r="F937" s="9"/>
      <c r="G937" s="9"/>
      <c r="H937" s="9"/>
      <c r="I937" s="9"/>
      <c r="J937" s="9"/>
      <c r="K937" s="9"/>
      <c r="L937" s="9"/>
      <c r="M937" s="9"/>
      <c r="N937" s="9"/>
      <c r="O937" s="9"/>
      <c r="P937" s="9"/>
      <c r="Q937" s="9"/>
      <c r="R937" s="9"/>
      <c r="S937" s="9"/>
      <c r="T937" s="9"/>
      <c r="U937" s="9"/>
      <c r="V937" s="9"/>
      <c r="W937" s="9"/>
      <c r="X937" s="9"/>
      <c r="Y937" s="9"/>
      <c r="Z937" s="9"/>
      <c r="AA937" s="9"/>
      <c r="AB937" s="9"/>
      <c r="AC937" s="9"/>
      <c r="AD937" s="53" t="e">
        <f>#REF!*D937</f>
        <v>#REF!</v>
      </c>
      <c r="AE937" s="53" t="e">
        <f>AD937-#REF!</f>
        <v>#REF!</v>
      </c>
      <c r="AF937" s="9"/>
      <c r="AG937" s="33" t="e">
        <f>#REF!-D937</f>
        <v>#REF!</v>
      </c>
      <c r="AH937" s="9"/>
      <c r="AI937" s="9"/>
      <c r="AJ937" s="9"/>
      <c r="AK937" s="9"/>
    </row>
    <row r="938" spans="1:37" s="12" customFormat="1" ht="63.75" customHeight="1" outlineLevel="1" x14ac:dyDescent="0.2">
      <c r="A938" s="61" t="s">
        <v>1108</v>
      </c>
      <c r="B938" s="47" t="s">
        <v>3630</v>
      </c>
      <c r="C938" s="8" t="s">
        <v>47</v>
      </c>
      <c r="D938" s="25">
        <f t="shared" ref="D938:D952" si="229">SUM(G938:AC938)</f>
        <v>845</v>
      </c>
      <c r="E938" s="54"/>
      <c r="F938" s="9"/>
      <c r="G938" s="9">
        <v>0</v>
      </c>
      <c r="H938" s="9">
        <v>96</v>
      </c>
      <c r="I938" s="9">
        <v>75</v>
      </c>
      <c r="J938" s="9">
        <v>63</v>
      </c>
      <c r="K938" s="9">
        <v>68</v>
      </c>
      <c r="L938" s="9">
        <v>52</v>
      </c>
      <c r="M938" s="9">
        <v>44</v>
      </c>
      <c r="N938" s="9">
        <v>44</v>
      </c>
      <c r="O938" s="9">
        <v>48</v>
      </c>
      <c r="P938" s="9">
        <v>60</v>
      </c>
      <c r="Q938" s="9">
        <v>43</v>
      </c>
      <c r="R938" s="9">
        <v>0</v>
      </c>
      <c r="S938" s="9">
        <v>0</v>
      </c>
      <c r="T938" s="9">
        <v>0</v>
      </c>
      <c r="U938" s="9">
        <v>34</v>
      </c>
      <c r="V938" s="9">
        <v>45</v>
      </c>
      <c r="W938" s="9">
        <v>31</v>
      </c>
      <c r="X938" s="9">
        <v>30</v>
      </c>
      <c r="Y938" s="9">
        <v>38</v>
      </c>
      <c r="Z938" s="9">
        <v>36</v>
      </c>
      <c r="AA938" s="9">
        <v>31</v>
      </c>
      <c r="AB938" s="9">
        <v>7</v>
      </c>
      <c r="AC938" s="9">
        <v>0</v>
      </c>
      <c r="AD938" s="53" t="e">
        <f>#REF!*D938</f>
        <v>#REF!</v>
      </c>
      <c r="AE938" s="53" t="e">
        <f>AD938-#REF!</f>
        <v>#REF!</v>
      </c>
      <c r="AF938" s="9"/>
      <c r="AG938" s="33" t="e">
        <f>#REF!-D938</f>
        <v>#REF!</v>
      </c>
      <c r="AH938" s="9"/>
      <c r="AI938" s="9"/>
      <c r="AJ938" s="9"/>
      <c r="AK938" s="9"/>
    </row>
    <row r="939" spans="1:37" s="12" customFormat="1" ht="51" outlineLevel="1" x14ac:dyDescent="0.2">
      <c r="A939" s="61" t="s">
        <v>1109</v>
      </c>
      <c r="B939" s="47" t="s">
        <v>3631</v>
      </c>
      <c r="C939" s="8" t="s">
        <v>47</v>
      </c>
      <c r="D939" s="25">
        <f t="shared" si="229"/>
        <v>44</v>
      </c>
      <c r="E939" s="54"/>
      <c r="F939" s="9"/>
      <c r="G939" s="9">
        <v>0</v>
      </c>
      <c r="H939" s="9">
        <v>6</v>
      </c>
      <c r="I939" s="9">
        <v>3</v>
      </c>
      <c r="J939" s="9">
        <v>2</v>
      </c>
      <c r="K939" s="9">
        <v>2</v>
      </c>
      <c r="L939" s="9">
        <v>2</v>
      </c>
      <c r="M939" s="9">
        <v>3</v>
      </c>
      <c r="N939" s="9">
        <v>3</v>
      </c>
      <c r="O939" s="9">
        <v>3</v>
      </c>
      <c r="P939" s="9">
        <v>3</v>
      </c>
      <c r="Q939" s="9">
        <v>3</v>
      </c>
      <c r="R939" s="9">
        <v>3</v>
      </c>
      <c r="S939" s="9">
        <v>0</v>
      </c>
      <c r="T939" s="9">
        <v>0</v>
      </c>
      <c r="U939" s="9">
        <v>2</v>
      </c>
      <c r="V939" s="9">
        <v>2</v>
      </c>
      <c r="W939" s="9">
        <v>2</v>
      </c>
      <c r="X939" s="9">
        <v>1</v>
      </c>
      <c r="Y939" s="9">
        <v>1</v>
      </c>
      <c r="Z939" s="9">
        <v>1</v>
      </c>
      <c r="AA939" s="9">
        <v>1</v>
      </c>
      <c r="AB939" s="9">
        <v>1</v>
      </c>
      <c r="AC939" s="9">
        <v>0</v>
      </c>
      <c r="AD939" s="53" t="e">
        <f>#REF!*D939</f>
        <v>#REF!</v>
      </c>
      <c r="AE939" s="53" t="e">
        <f>AD939-#REF!</f>
        <v>#REF!</v>
      </c>
      <c r="AF939" s="9"/>
      <c r="AG939" s="33" t="e">
        <f>#REF!-D939</f>
        <v>#REF!</v>
      </c>
      <c r="AH939" s="9"/>
      <c r="AI939" s="9"/>
      <c r="AJ939" s="9"/>
      <c r="AK939" s="9"/>
    </row>
    <row r="940" spans="1:37" s="12" customFormat="1" ht="51" outlineLevel="1" x14ac:dyDescent="0.2">
      <c r="A940" s="61" t="s">
        <v>1110</v>
      </c>
      <c r="B940" s="47" t="s">
        <v>3631</v>
      </c>
      <c r="C940" s="8" t="s">
        <v>47</v>
      </c>
      <c r="D940" s="25">
        <f t="shared" si="229"/>
        <v>6</v>
      </c>
      <c r="E940" s="54"/>
      <c r="F940" s="9"/>
      <c r="G940" s="9">
        <v>0</v>
      </c>
      <c r="H940" s="9">
        <v>0</v>
      </c>
      <c r="I940" s="9">
        <v>0</v>
      </c>
      <c r="J940" s="9">
        <v>2</v>
      </c>
      <c r="K940" s="9">
        <v>0</v>
      </c>
      <c r="L940" s="9">
        <v>0</v>
      </c>
      <c r="M940" s="9">
        <v>0</v>
      </c>
      <c r="N940" s="9">
        <v>0</v>
      </c>
      <c r="O940" s="9">
        <v>0</v>
      </c>
      <c r="P940" s="9">
        <v>0</v>
      </c>
      <c r="Q940" s="9">
        <v>0</v>
      </c>
      <c r="R940" s="9">
        <v>0</v>
      </c>
      <c r="S940" s="9">
        <v>0</v>
      </c>
      <c r="T940" s="9">
        <v>0</v>
      </c>
      <c r="U940" s="9">
        <v>0</v>
      </c>
      <c r="V940" s="9">
        <v>0</v>
      </c>
      <c r="W940" s="9">
        <v>4</v>
      </c>
      <c r="X940" s="9">
        <v>0</v>
      </c>
      <c r="Y940" s="9">
        <v>0</v>
      </c>
      <c r="Z940" s="9">
        <v>0</v>
      </c>
      <c r="AA940" s="9">
        <v>0</v>
      </c>
      <c r="AB940" s="9">
        <v>0</v>
      </c>
      <c r="AC940" s="9">
        <v>0</v>
      </c>
      <c r="AD940" s="53" t="e">
        <f>#REF!*D940</f>
        <v>#REF!</v>
      </c>
      <c r="AE940" s="53" t="e">
        <f>AD940-#REF!</f>
        <v>#REF!</v>
      </c>
      <c r="AF940" s="9"/>
      <c r="AG940" s="33" t="e">
        <f>#REF!-D940</f>
        <v>#REF!</v>
      </c>
      <c r="AH940" s="9"/>
      <c r="AI940" s="9"/>
      <c r="AJ940" s="9"/>
      <c r="AK940" s="9"/>
    </row>
    <row r="941" spans="1:37" s="12" customFormat="1" ht="30.6" outlineLevel="1" x14ac:dyDescent="0.2">
      <c r="A941" s="61" t="s">
        <v>1111</v>
      </c>
      <c r="B941" s="14" t="s">
        <v>3632</v>
      </c>
      <c r="C941" s="8" t="s">
        <v>47</v>
      </c>
      <c r="D941" s="25">
        <f t="shared" si="229"/>
        <v>401</v>
      </c>
      <c r="E941" s="54"/>
      <c r="F941" s="9"/>
      <c r="G941" s="9">
        <v>0</v>
      </c>
      <c r="H941" s="9">
        <f>51-16</f>
        <v>35</v>
      </c>
      <c r="I941" s="9">
        <f>32-5</f>
        <v>27</v>
      </c>
      <c r="J941" s="9">
        <v>31</v>
      </c>
      <c r="K941" s="9">
        <f>53-23</f>
        <v>30</v>
      </c>
      <c r="L941" s="9">
        <f>55-24</f>
        <v>31</v>
      </c>
      <c r="M941" s="9">
        <v>22</v>
      </c>
      <c r="N941" s="9">
        <v>22</v>
      </c>
      <c r="O941" s="9">
        <v>26</v>
      </c>
      <c r="P941" s="9">
        <v>33</v>
      </c>
      <c r="Q941" s="9">
        <v>18</v>
      </c>
      <c r="R941" s="9">
        <v>0</v>
      </c>
      <c r="S941" s="9">
        <v>0</v>
      </c>
      <c r="T941" s="9">
        <v>0</v>
      </c>
      <c r="U941" s="9">
        <v>17</v>
      </c>
      <c r="V941" s="9">
        <v>23</v>
      </c>
      <c r="W941" s="9">
        <v>10</v>
      </c>
      <c r="X941" s="9">
        <v>19</v>
      </c>
      <c r="Y941" s="9">
        <v>23</v>
      </c>
      <c r="Z941" s="9">
        <v>11</v>
      </c>
      <c r="AA941" s="9">
        <v>20</v>
      </c>
      <c r="AB941" s="9">
        <v>3</v>
      </c>
      <c r="AC941" s="9">
        <v>0</v>
      </c>
      <c r="AD941" s="53" t="e">
        <f>#REF!*D941</f>
        <v>#REF!</v>
      </c>
      <c r="AE941" s="53" t="e">
        <f>AD941-#REF!</f>
        <v>#REF!</v>
      </c>
      <c r="AF941" s="9"/>
      <c r="AG941" s="33" t="e">
        <f>#REF!-D941</f>
        <v>#REF!</v>
      </c>
      <c r="AH941" s="9"/>
      <c r="AI941" s="9"/>
      <c r="AJ941" s="9"/>
      <c r="AK941" s="9"/>
    </row>
    <row r="942" spans="1:37" s="12" customFormat="1" ht="20.399999999999999" outlineLevel="1" x14ac:dyDescent="0.2">
      <c r="A942" s="61" t="s">
        <v>1112</v>
      </c>
      <c r="B942" s="14" t="s">
        <v>3633</v>
      </c>
      <c r="C942" s="8" t="s">
        <v>47</v>
      </c>
      <c r="D942" s="25">
        <f t="shared" si="229"/>
        <v>1</v>
      </c>
      <c r="E942" s="54"/>
      <c r="F942" s="9"/>
      <c r="G942" s="9">
        <v>0</v>
      </c>
      <c r="H942" s="9">
        <v>1</v>
      </c>
      <c r="I942" s="9">
        <v>0</v>
      </c>
      <c r="J942" s="9">
        <v>0</v>
      </c>
      <c r="K942" s="9">
        <v>0</v>
      </c>
      <c r="L942" s="9">
        <v>0</v>
      </c>
      <c r="M942" s="9">
        <v>0</v>
      </c>
      <c r="N942" s="9">
        <v>0</v>
      </c>
      <c r="O942" s="9">
        <v>0</v>
      </c>
      <c r="P942" s="9">
        <v>0</v>
      </c>
      <c r="Q942" s="9">
        <v>0</v>
      </c>
      <c r="R942" s="9">
        <v>0</v>
      </c>
      <c r="S942" s="9">
        <v>0</v>
      </c>
      <c r="T942" s="9">
        <v>0</v>
      </c>
      <c r="U942" s="9">
        <v>0</v>
      </c>
      <c r="V942" s="9">
        <v>0</v>
      </c>
      <c r="W942" s="9">
        <v>0</v>
      </c>
      <c r="X942" s="9">
        <v>0</v>
      </c>
      <c r="Y942" s="9">
        <v>0</v>
      </c>
      <c r="Z942" s="9">
        <v>0</v>
      </c>
      <c r="AA942" s="9">
        <v>0</v>
      </c>
      <c r="AB942" s="9">
        <v>0</v>
      </c>
      <c r="AC942" s="9">
        <v>0</v>
      </c>
      <c r="AD942" s="53" t="e">
        <f>#REF!*D942</f>
        <v>#REF!</v>
      </c>
      <c r="AE942" s="53" t="e">
        <f>AD942-#REF!</f>
        <v>#REF!</v>
      </c>
      <c r="AF942" s="9"/>
      <c r="AG942" s="33" t="e">
        <f>#REF!-D942</f>
        <v>#REF!</v>
      </c>
      <c r="AH942" s="9"/>
      <c r="AI942" s="9"/>
      <c r="AJ942" s="9"/>
      <c r="AK942" s="9"/>
    </row>
    <row r="943" spans="1:37" s="12" customFormat="1" ht="20.399999999999999" outlineLevel="1" x14ac:dyDescent="0.2">
      <c r="A943" s="61" t="s">
        <v>1113</v>
      </c>
      <c r="B943" s="14" t="s">
        <v>3634</v>
      </c>
      <c r="C943" s="8" t="s">
        <v>47</v>
      </c>
      <c r="D943" s="25">
        <f t="shared" si="229"/>
        <v>10</v>
      </c>
      <c r="E943" s="54"/>
      <c r="F943" s="9"/>
      <c r="G943" s="9">
        <v>0</v>
      </c>
      <c r="H943" s="9">
        <v>10</v>
      </c>
      <c r="I943" s="9">
        <v>0</v>
      </c>
      <c r="J943" s="9">
        <v>0</v>
      </c>
      <c r="K943" s="9">
        <v>0</v>
      </c>
      <c r="L943" s="9">
        <v>0</v>
      </c>
      <c r="M943" s="9">
        <v>0</v>
      </c>
      <c r="N943" s="9">
        <v>0</v>
      </c>
      <c r="O943" s="9">
        <v>0</v>
      </c>
      <c r="P943" s="9">
        <v>0</v>
      </c>
      <c r="Q943" s="9">
        <v>0</v>
      </c>
      <c r="R943" s="9">
        <v>0</v>
      </c>
      <c r="S943" s="9">
        <v>0</v>
      </c>
      <c r="T943" s="9">
        <v>0</v>
      </c>
      <c r="U943" s="9">
        <v>0</v>
      </c>
      <c r="V943" s="9">
        <v>0</v>
      </c>
      <c r="W943" s="9">
        <v>0</v>
      </c>
      <c r="X943" s="9">
        <v>0</v>
      </c>
      <c r="Y943" s="9">
        <v>0</v>
      </c>
      <c r="Z943" s="9">
        <v>0</v>
      </c>
      <c r="AA943" s="9">
        <v>0</v>
      </c>
      <c r="AB943" s="9">
        <v>0</v>
      </c>
      <c r="AC943" s="9">
        <v>0</v>
      </c>
      <c r="AD943" s="53" t="e">
        <f>#REF!*D943</f>
        <v>#REF!</v>
      </c>
      <c r="AE943" s="53" t="e">
        <f>AD943-#REF!</f>
        <v>#REF!</v>
      </c>
      <c r="AF943" s="9"/>
      <c r="AG943" s="33" t="e">
        <f>#REF!-D943</f>
        <v>#REF!</v>
      </c>
      <c r="AH943" s="9"/>
      <c r="AI943" s="9"/>
      <c r="AJ943" s="9"/>
      <c r="AK943" s="9"/>
    </row>
    <row r="944" spans="1:37" s="12" customFormat="1" ht="20.399999999999999" outlineLevel="1" x14ac:dyDescent="0.2">
      <c r="A944" s="61" t="s">
        <v>1114</v>
      </c>
      <c r="B944" s="14" t="s">
        <v>3635</v>
      </c>
      <c r="C944" s="8" t="s">
        <v>47</v>
      </c>
      <c r="D944" s="25">
        <f t="shared" si="229"/>
        <v>3</v>
      </c>
      <c r="E944" s="54"/>
      <c r="F944" s="9"/>
      <c r="G944" s="9">
        <v>0</v>
      </c>
      <c r="H944" s="9">
        <v>3</v>
      </c>
      <c r="I944" s="9">
        <v>0</v>
      </c>
      <c r="J944" s="9">
        <v>0</v>
      </c>
      <c r="K944" s="9">
        <v>0</v>
      </c>
      <c r="L944" s="9">
        <v>0</v>
      </c>
      <c r="M944" s="9">
        <v>0</v>
      </c>
      <c r="N944" s="9">
        <v>0</v>
      </c>
      <c r="O944" s="9">
        <v>0</v>
      </c>
      <c r="P944" s="9">
        <v>0</v>
      </c>
      <c r="Q944" s="9">
        <v>0</v>
      </c>
      <c r="R944" s="9">
        <v>0</v>
      </c>
      <c r="S944" s="9">
        <v>0</v>
      </c>
      <c r="T944" s="9">
        <v>0</v>
      </c>
      <c r="U944" s="9">
        <v>0</v>
      </c>
      <c r="V944" s="9">
        <v>0</v>
      </c>
      <c r="W944" s="9">
        <v>0</v>
      </c>
      <c r="X944" s="9">
        <v>0</v>
      </c>
      <c r="Y944" s="9">
        <v>0</v>
      </c>
      <c r="Z944" s="9">
        <v>0</v>
      </c>
      <c r="AA944" s="9">
        <v>0</v>
      </c>
      <c r="AB944" s="9">
        <v>0</v>
      </c>
      <c r="AC944" s="9">
        <v>0</v>
      </c>
      <c r="AD944" s="53" t="e">
        <f>#REF!*D944</f>
        <v>#REF!</v>
      </c>
      <c r="AE944" s="53" t="e">
        <f>AD944-#REF!</f>
        <v>#REF!</v>
      </c>
      <c r="AF944" s="9"/>
      <c r="AG944" s="33" t="e">
        <f>#REF!-D944</f>
        <v>#REF!</v>
      </c>
      <c r="AH944" s="9"/>
      <c r="AI944" s="9"/>
      <c r="AJ944" s="9"/>
      <c r="AK944" s="9"/>
    </row>
    <row r="945" spans="1:37" s="12" customFormat="1" ht="20.399999999999999" outlineLevel="1" x14ac:dyDescent="0.2">
      <c r="A945" s="61" t="s">
        <v>1117</v>
      </c>
      <c r="B945" s="14" t="s">
        <v>3636</v>
      </c>
      <c r="C945" s="8" t="s">
        <v>47</v>
      </c>
      <c r="D945" s="25">
        <f t="shared" si="229"/>
        <v>3</v>
      </c>
      <c r="E945" s="54"/>
      <c r="F945" s="9"/>
      <c r="G945" s="9">
        <v>0</v>
      </c>
      <c r="H945" s="9">
        <v>3</v>
      </c>
      <c r="I945" s="9">
        <v>0</v>
      </c>
      <c r="J945" s="9">
        <v>0</v>
      </c>
      <c r="K945" s="9">
        <v>0</v>
      </c>
      <c r="L945" s="9">
        <v>0</v>
      </c>
      <c r="M945" s="9">
        <v>0</v>
      </c>
      <c r="N945" s="9">
        <v>0</v>
      </c>
      <c r="O945" s="9">
        <v>0</v>
      </c>
      <c r="P945" s="9">
        <v>0</v>
      </c>
      <c r="Q945" s="9">
        <v>0</v>
      </c>
      <c r="R945" s="9">
        <v>0</v>
      </c>
      <c r="S945" s="9">
        <v>0</v>
      </c>
      <c r="T945" s="9">
        <v>0</v>
      </c>
      <c r="U945" s="9">
        <v>0</v>
      </c>
      <c r="V945" s="9">
        <v>0</v>
      </c>
      <c r="W945" s="9">
        <v>0</v>
      </c>
      <c r="X945" s="9">
        <v>0</v>
      </c>
      <c r="Y945" s="9">
        <v>0</v>
      </c>
      <c r="Z945" s="9">
        <v>0</v>
      </c>
      <c r="AA945" s="9">
        <v>0</v>
      </c>
      <c r="AB945" s="9">
        <v>0</v>
      </c>
      <c r="AC945" s="9">
        <v>0</v>
      </c>
      <c r="AD945" s="53" t="e">
        <f>#REF!*D945</f>
        <v>#REF!</v>
      </c>
      <c r="AE945" s="53" t="e">
        <f>AD945-#REF!</f>
        <v>#REF!</v>
      </c>
      <c r="AF945" s="9"/>
      <c r="AG945" s="33" t="e">
        <f>#REF!-D945</f>
        <v>#REF!</v>
      </c>
      <c r="AH945" s="9"/>
      <c r="AI945" s="9"/>
      <c r="AJ945" s="9"/>
      <c r="AK945" s="9"/>
    </row>
    <row r="946" spans="1:37" s="12" customFormat="1" ht="20.399999999999999" outlineLevel="1" x14ac:dyDescent="0.2">
      <c r="A946" s="61" t="s">
        <v>1118</v>
      </c>
      <c r="B946" s="14" t="s">
        <v>3637</v>
      </c>
      <c r="C946" s="8" t="s">
        <v>47</v>
      </c>
      <c r="D946" s="25">
        <f t="shared" si="229"/>
        <v>1</v>
      </c>
      <c r="E946" s="54"/>
      <c r="F946" s="9"/>
      <c r="G946" s="9">
        <v>0</v>
      </c>
      <c r="H946" s="9">
        <v>1</v>
      </c>
      <c r="I946" s="9">
        <v>0</v>
      </c>
      <c r="J946" s="9">
        <v>0</v>
      </c>
      <c r="K946" s="9">
        <v>0</v>
      </c>
      <c r="L946" s="9">
        <v>0</v>
      </c>
      <c r="M946" s="9">
        <v>0</v>
      </c>
      <c r="N946" s="9">
        <v>0</v>
      </c>
      <c r="O946" s="9">
        <v>0</v>
      </c>
      <c r="P946" s="9">
        <v>0</v>
      </c>
      <c r="Q946" s="9">
        <v>0</v>
      </c>
      <c r="R946" s="9">
        <v>0</v>
      </c>
      <c r="S946" s="9">
        <v>0</v>
      </c>
      <c r="T946" s="9">
        <v>0</v>
      </c>
      <c r="U946" s="9">
        <v>0</v>
      </c>
      <c r="V946" s="9">
        <v>0</v>
      </c>
      <c r="W946" s="9">
        <v>0</v>
      </c>
      <c r="X946" s="9">
        <v>0</v>
      </c>
      <c r="Y946" s="9">
        <v>0</v>
      </c>
      <c r="Z946" s="9">
        <v>0</v>
      </c>
      <c r="AA946" s="9">
        <v>0</v>
      </c>
      <c r="AB946" s="9">
        <v>0</v>
      </c>
      <c r="AC946" s="9">
        <v>0</v>
      </c>
      <c r="AD946" s="53" t="e">
        <f>#REF!*D946</f>
        <v>#REF!</v>
      </c>
      <c r="AE946" s="53" t="e">
        <f>AD946-#REF!</f>
        <v>#REF!</v>
      </c>
      <c r="AF946" s="9"/>
      <c r="AG946" s="33" t="e">
        <f>#REF!-D946</f>
        <v>#REF!</v>
      </c>
      <c r="AH946" s="9"/>
      <c r="AI946" s="9"/>
      <c r="AJ946" s="9"/>
      <c r="AK946" s="9"/>
    </row>
    <row r="947" spans="1:37" s="12" customFormat="1" ht="20.399999999999999" outlineLevel="1" x14ac:dyDescent="0.2">
      <c r="A947" s="61" t="s">
        <v>1119</v>
      </c>
      <c r="B947" s="14" t="s">
        <v>3638</v>
      </c>
      <c r="C947" s="8" t="s">
        <v>47</v>
      </c>
      <c r="D947" s="25">
        <f t="shared" si="229"/>
        <v>10</v>
      </c>
      <c r="E947" s="54"/>
      <c r="F947" s="9"/>
      <c r="G947" s="9">
        <v>0</v>
      </c>
      <c r="H947" s="9">
        <v>10</v>
      </c>
      <c r="I947" s="9">
        <v>0</v>
      </c>
      <c r="J947" s="9">
        <v>0</v>
      </c>
      <c r="K947" s="9">
        <v>0</v>
      </c>
      <c r="L947" s="9">
        <v>0</v>
      </c>
      <c r="M947" s="9">
        <v>0</v>
      </c>
      <c r="N947" s="9">
        <v>0</v>
      </c>
      <c r="O947" s="9">
        <v>0</v>
      </c>
      <c r="P947" s="9">
        <v>0</v>
      </c>
      <c r="Q947" s="9">
        <v>0</v>
      </c>
      <c r="R947" s="9">
        <v>0</v>
      </c>
      <c r="S947" s="9">
        <v>0</v>
      </c>
      <c r="T947" s="9">
        <v>0</v>
      </c>
      <c r="U947" s="9">
        <v>0</v>
      </c>
      <c r="V947" s="9">
        <v>0</v>
      </c>
      <c r="W947" s="9">
        <v>0</v>
      </c>
      <c r="X947" s="9">
        <v>0</v>
      </c>
      <c r="Y947" s="9">
        <v>0</v>
      </c>
      <c r="Z947" s="9">
        <v>0</v>
      </c>
      <c r="AA947" s="9">
        <v>0</v>
      </c>
      <c r="AB947" s="9">
        <v>0</v>
      </c>
      <c r="AC947" s="9">
        <v>0</v>
      </c>
      <c r="AD947" s="53" t="e">
        <f>#REF!*D947</f>
        <v>#REF!</v>
      </c>
      <c r="AE947" s="53" t="e">
        <f>AD947-#REF!</f>
        <v>#REF!</v>
      </c>
      <c r="AF947" s="9"/>
      <c r="AG947" s="33" t="e">
        <f>#REF!-D947</f>
        <v>#REF!</v>
      </c>
      <c r="AH947" s="9"/>
      <c r="AI947" s="9"/>
      <c r="AJ947" s="9"/>
      <c r="AK947" s="9"/>
    </row>
    <row r="948" spans="1:37" s="12" customFormat="1" ht="40.799999999999997" outlineLevel="1" x14ac:dyDescent="0.2">
      <c r="A948" s="61" t="s">
        <v>1145</v>
      </c>
      <c r="B948" s="14" t="s">
        <v>3639</v>
      </c>
      <c r="C948" s="8" t="s">
        <v>47</v>
      </c>
      <c r="D948" s="25">
        <f t="shared" si="229"/>
        <v>2</v>
      </c>
      <c r="E948" s="54"/>
      <c r="F948" s="9"/>
      <c r="G948" s="9">
        <v>0</v>
      </c>
      <c r="H948" s="9">
        <v>2</v>
      </c>
      <c r="I948" s="9">
        <v>0</v>
      </c>
      <c r="J948" s="9">
        <v>0</v>
      </c>
      <c r="K948" s="9">
        <v>0</v>
      </c>
      <c r="L948" s="9">
        <v>0</v>
      </c>
      <c r="M948" s="9">
        <v>0</v>
      </c>
      <c r="N948" s="9">
        <v>0</v>
      </c>
      <c r="O948" s="9">
        <v>0</v>
      </c>
      <c r="P948" s="9">
        <v>0</v>
      </c>
      <c r="Q948" s="9">
        <v>0</v>
      </c>
      <c r="R948" s="9">
        <v>0</v>
      </c>
      <c r="S948" s="9">
        <v>0</v>
      </c>
      <c r="T948" s="9">
        <v>0</v>
      </c>
      <c r="U948" s="9">
        <v>0</v>
      </c>
      <c r="V948" s="9">
        <v>0</v>
      </c>
      <c r="W948" s="9">
        <v>0</v>
      </c>
      <c r="X948" s="9">
        <v>0</v>
      </c>
      <c r="Y948" s="9">
        <v>0</v>
      </c>
      <c r="Z948" s="9">
        <v>0</v>
      </c>
      <c r="AA948" s="9">
        <v>0</v>
      </c>
      <c r="AB948" s="9">
        <v>0</v>
      </c>
      <c r="AC948" s="9">
        <v>0</v>
      </c>
      <c r="AD948" s="53" t="e">
        <f>#REF!*D948</f>
        <v>#REF!</v>
      </c>
      <c r="AE948" s="53" t="e">
        <f>AD948-#REF!</f>
        <v>#REF!</v>
      </c>
      <c r="AF948" s="9"/>
      <c r="AG948" s="33" t="e">
        <f>#REF!-D948</f>
        <v>#REF!</v>
      </c>
      <c r="AH948" s="9"/>
      <c r="AI948" s="9"/>
      <c r="AJ948" s="9"/>
      <c r="AK948" s="9"/>
    </row>
    <row r="949" spans="1:37" s="12" customFormat="1" ht="36.75" customHeight="1" outlineLevel="1" x14ac:dyDescent="0.2">
      <c r="A949" s="61" t="s">
        <v>1146</v>
      </c>
      <c r="B949" s="47" t="s">
        <v>3640</v>
      </c>
      <c r="C949" s="8" t="s">
        <v>47</v>
      </c>
      <c r="D949" s="25">
        <f t="shared" si="229"/>
        <v>5</v>
      </c>
      <c r="E949" s="54"/>
      <c r="F949" s="9"/>
      <c r="G949" s="9">
        <v>0</v>
      </c>
      <c r="H949" s="9">
        <v>5</v>
      </c>
      <c r="I949" s="9">
        <v>0</v>
      </c>
      <c r="J949" s="9">
        <v>0</v>
      </c>
      <c r="K949" s="9">
        <v>0</v>
      </c>
      <c r="L949" s="9">
        <v>0</v>
      </c>
      <c r="M949" s="9">
        <v>0</v>
      </c>
      <c r="N949" s="9">
        <v>0</v>
      </c>
      <c r="O949" s="9">
        <v>0</v>
      </c>
      <c r="P949" s="9">
        <v>0</v>
      </c>
      <c r="Q949" s="9">
        <v>0</v>
      </c>
      <c r="R949" s="9">
        <v>0</v>
      </c>
      <c r="S949" s="9">
        <v>0</v>
      </c>
      <c r="T949" s="9">
        <v>0</v>
      </c>
      <c r="U949" s="9">
        <v>0</v>
      </c>
      <c r="V949" s="9">
        <v>0</v>
      </c>
      <c r="W949" s="9">
        <v>0</v>
      </c>
      <c r="X949" s="9">
        <v>0</v>
      </c>
      <c r="Y949" s="9">
        <v>0</v>
      </c>
      <c r="Z949" s="9">
        <v>0</v>
      </c>
      <c r="AA949" s="9">
        <v>0</v>
      </c>
      <c r="AB949" s="9">
        <v>0</v>
      </c>
      <c r="AC949" s="9">
        <v>0</v>
      </c>
      <c r="AD949" s="53" t="e">
        <f>#REF!*D949</f>
        <v>#REF!</v>
      </c>
      <c r="AE949" s="53" t="e">
        <f>AD949-#REF!</f>
        <v>#REF!</v>
      </c>
      <c r="AF949" s="9"/>
      <c r="AG949" s="33" t="e">
        <f>#REF!-D949</f>
        <v>#REF!</v>
      </c>
      <c r="AH949" s="9"/>
      <c r="AI949" s="9"/>
      <c r="AJ949" s="9"/>
      <c r="AK949" s="9"/>
    </row>
    <row r="950" spans="1:37" s="12" customFormat="1" ht="20.399999999999999" outlineLevel="1" x14ac:dyDescent="0.2">
      <c r="A950" s="61" t="s">
        <v>1147</v>
      </c>
      <c r="B950" s="14" t="s">
        <v>215</v>
      </c>
      <c r="C950" s="8" t="s">
        <v>47</v>
      </c>
      <c r="D950" s="25">
        <f t="shared" si="229"/>
        <v>20</v>
      </c>
      <c r="E950" s="54"/>
      <c r="F950" s="9"/>
      <c r="G950" s="9">
        <v>0</v>
      </c>
      <c r="H950" s="9">
        <v>20</v>
      </c>
      <c r="I950" s="9">
        <v>0</v>
      </c>
      <c r="J950" s="9">
        <v>0</v>
      </c>
      <c r="K950" s="9">
        <v>0</v>
      </c>
      <c r="L950" s="9">
        <v>0</v>
      </c>
      <c r="M950" s="9">
        <v>0</v>
      </c>
      <c r="N950" s="9">
        <v>0</v>
      </c>
      <c r="O950" s="9">
        <v>0</v>
      </c>
      <c r="P950" s="9">
        <v>0</v>
      </c>
      <c r="Q950" s="9">
        <v>0</v>
      </c>
      <c r="R950" s="9">
        <v>0</v>
      </c>
      <c r="S950" s="9">
        <v>0</v>
      </c>
      <c r="T950" s="9">
        <v>0</v>
      </c>
      <c r="U950" s="9">
        <v>0</v>
      </c>
      <c r="V950" s="9">
        <v>0</v>
      </c>
      <c r="W950" s="9">
        <v>0</v>
      </c>
      <c r="X950" s="9">
        <v>0</v>
      </c>
      <c r="Y950" s="9">
        <v>0</v>
      </c>
      <c r="Z950" s="9">
        <v>0</v>
      </c>
      <c r="AA950" s="9">
        <v>0</v>
      </c>
      <c r="AB950" s="9">
        <v>0</v>
      </c>
      <c r="AC950" s="9">
        <v>0</v>
      </c>
      <c r="AD950" s="53" t="e">
        <f>#REF!*D950</f>
        <v>#REF!</v>
      </c>
      <c r="AE950" s="53" t="e">
        <f>AD950-#REF!</f>
        <v>#REF!</v>
      </c>
      <c r="AF950" s="9"/>
      <c r="AG950" s="33" t="e">
        <f>#REF!-D950</f>
        <v>#REF!</v>
      </c>
      <c r="AH950" s="9"/>
      <c r="AI950" s="9"/>
      <c r="AJ950" s="9"/>
      <c r="AK950" s="9"/>
    </row>
    <row r="951" spans="1:37" s="12" customFormat="1" ht="10.199999999999999" outlineLevel="1" x14ac:dyDescent="0.2">
      <c r="A951" s="61" t="s">
        <v>1148</v>
      </c>
      <c r="B951" s="14" t="s">
        <v>1144</v>
      </c>
      <c r="C951" s="8" t="s">
        <v>47</v>
      </c>
      <c r="D951" s="25">
        <f t="shared" si="229"/>
        <v>4</v>
      </c>
      <c r="E951" s="54"/>
      <c r="F951" s="9"/>
      <c r="G951" s="9">
        <v>0</v>
      </c>
      <c r="H951" s="9">
        <v>4</v>
      </c>
      <c r="I951" s="9">
        <v>0</v>
      </c>
      <c r="J951" s="9">
        <v>0</v>
      </c>
      <c r="K951" s="9">
        <v>0</v>
      </c>
      <c r="L951" s="9">
        <v>0</v>
      </c>
      <c r="M951" s="9">
        <v>0</v>
      </c>
      <c r="N951" s="9">
        <v>0</v>
      </c>
      <c r="O951" s="9">
        <v>0</v>
      </c>
      <c r="P951" s="9">
        <v>0</v>
      </c>
      <c r="Q951" s="9">
        <v>0</v>
      </c>
      <c r="R951" s="9">
        <v>0</v>
      </c>
      <c r="S951" s="9">
        <v>0</v>
      </c>
      <c r="T951" s="9">
        <v>0</v>
      </c>
      <c r="U951" s="9">
        <v>0</v>
      </c>
      <c r="V951" s="9">
        <v>0</v>
      </c>
      <c r="W951" s="9">
        <v>0</v>
      </c>
      <c r="X951" s="9">
        <v>0</v>
      </c>
      <c r="Y951" s="9">
        <v>0</v>
      </c>
      <c r="Z951" s="9">
        <v>0</v>
      </c>
      <c r="AA951" s="9">
        <v>0</v>
      </c>
      <c r="AB951" s="9">
        <v>0</v>
      </c>
      <c r="AC951" s="9">
        <v>0</v>
      </c>
      <c r="AD951" s="53" t="e">
        <f>#REF!*D951</f>
        <v>#REF!</v>
      </c>
      <c r="AE951" s="53" t="e">
        <f>AD951-#REF!</f>
        <v>#REF!</v>
      </c>
      <c r="AF951" s="9"/>
      <c r="AG951" s="33" t="e">
        <f>#REF!-D951</f>
        <v>#REF!</v>
      </c>
      <c r="AH951" s="9"/>
      <c r="AI951" s="9"/>
      <c r="AJ951" s="9"/>
      <c r="AK951" s="9"/>
    </row>
    <row r="952" spans="1:37" s="12" customFormat="1" ht="40.799999999999997" outlineLevel="1" x14ac:dyDescent="0.2">
      <c r="A952" s="61" t="s">
        <v>1149</v>
      </c>
      <c r="B952" s="14" t="s">
        <v>3613</v>
      </c>
      <c r="C952" s="8" t="s">
        <v>47</v>
      </c>
      <c r="D952" s="25">
        <f t="shared" si="229"/>
        <v>4</v>
      </c>
      <c r="E952" s="54"/>
      <c r="F952" s="9"/>
      <c r="G952" s="9">
        <v>0</v>
      </c>
      <c r="H952" s="9">
        <v>4</v>
      </c>
      <c r="I952" s="9">
        <v>0</v>
      </c>
      <c r="J952" s="9">
        <v>0</v>
      </c>
      <c r="K952" s="9">
        <v>0</v>
      </c>
      <c r="L952" s="9">
        <v>0</v>
      </c>
      <c r="M952" s="9">
        <v>0</v>
      </c>
      <c r="N952" s="9">
        <v>0</v>
      </c>
      <c r="O952" s="9">
        <v>0</v>
      </c>
      <c r="P952" s="9">
        <v>0</v>
      </c>
      <c r="Q952" s="9">
        <v>0</v>
      </c>
      <c r="R952" s="9">
        <v>0</v>
      </c>
      <c r="S952" s="9">
        <v>0</v>
      </c>
      <c r="T952" s="9">
        <v>0</v>
      </c>
      <c r="U952" s="9">
        <v>0</v>
      </c>
      <c r="V952" s="9">
        <v>0</v>
      </c>
      <c r="W952" s="9">
        <v>0</v>
      </c>
      <c r="X952" s="9">
        <v>0</v>
      </c>
      <c r="Y952" s="9">
        <v>0</v>
      </c>
      <c r="Z952" s="9">
        <v>0</v>
      </c>
      <c r="AA952" s="9">
        <v>0</v>
      </c>
      <c r="AB952" s="9">
        <v>0</v>
      </c>
      <c r="AC952" s="9">
        <v>0</v>
      </c>
      <c r="AD952" s="53" t="e">
        <f>#REF!*D952</f>
        <v>#REF!</v>
      </c>
      <c r="AE952" s="53" t="e">
        <f>AD952-#REF!</f>
        <v>#REF!</v>
      </c>
      <c r="AF952" s="9"/>
      <c r="AG952" s="33" t="e">
        <f>#REF!-D952</f>
        <v>#REF!</v>
      </c>
      <c r="AH952" s="9"/>
      <c r="AI952" s="9"/>
      <c r="AJ952" s="9"/>
      <c r="AK952" s="9"/>
    </row>
    <row r="953" spans="1:37" s="12" customFormat="1" ht="10.199999999999999" outlineLevel="1" x14ac:dyDescent="0.2">
      <c r="A953" s="61"/>
      <c r="B953" s="15"/>
      <c r="C953" s="9"/>
      <c r="D953" s="25"/>
      <c r="E953" s="54"/>
      <c r="F953" s="9"/>
      <c r="G953" s="9"/>
      <c r="H953" s="9"/>
      <c r="I953" s="9"/>
      <c r="J953" s="9"/>
      <c r="K953" s="9"/>
      <c r="L953" s="9"/>
      <c r="M953" s="9"/>
      <c r="N953" s="9"/>
      <c r="O953" s="9"/>
      <c r="P953" s="9"/>
      <c r="Q953" s="9"/>
      <c r="R953" s="9"/>
      <c r="S953" s="9"/>
      <c r="T953" s="9"/>
      <c r="U953" s="9"/>
      <c r="V953" s="9"/>
      <c r="W953" s="9"/>
      <c r="X953" s="9"/>
      <c r="Y953" s="9"/>
      <c r="Z953" s="9"/>
      <c r="AA953" s="9"/>
      <c r="AB953" s="9"/>
      <c r="AC953" s="9"/>
      <c r="AD953" s="53" t="e">
        <f>#REF!*D953</f>
        <v>#REF!</v>
      </c>
      <c r="AE953" s="53" t="e">
        <f>AD953-#REF!</f>
        <v>#REF!</v>
      </c>
      <c r="AF953" s="9"/>
      <c r="AG953" s="33" t="e">
        <f>#REF!-D953</f>
        <v>#REF!</v>
      </c>
      <c r="AH953" s="9"/>
      <c r="AI953" s="9"/>
      <c r="AJ953" s="9"/>
      <c r="AK953" s="9"/>
    </row>
    <row r="954" spans="1:37" s="12" customFormat="1" ht="12" x14ac:dyDescent="0.25">
      <c r="A954" s="18" t="s">
        <v>1115</v>
      </c>
      <c r="B954" s="35" t="s">
        <v>386</v>
      </c>
      <c r="C954" s="18" t="s">
        <v>41</v>
      </c>
      <c r="D954" s="52" t="e">
        <f>#REF!/#REF!*100</f>
        <v>#REF!</v>
      </c>
      <c r="E954" s="54"/>
      <c r="F954" s="9"/>
      <c r="G954" s="9"/>
      <c r="H954" s="9"/>
      <c r="I954" s="9"/>
      <c r="J954" s="9"/>
      <c r="K954" s="9"/>
      <c r="L954" s="9"/>
      <c r="M954" s="9"/>
      <c r="N954" s="9"/>
      <c r="O954" s="9"/>
      <c r="P954" s="9"/>
      <c r="Q954" s="9"/>
      <c r="R954" s="9"/>
      <c r="S954" s="9"/>
      <c r="T954" s="9"/>
      <c r="U954" s="9"/>
      <c r="V954" s="9"/>
      <c r="W954" s="9"/>
      <c r="X954" s="9"/>
      <c r="Y954" s="9"/>
      <c r="Z954" s="9"/>
      <c r="AA954" s="9"/>
      <c r="AB954" s="9"/>
      <c r="AC954" s="9"/>
      <c r="AD954" s="53" t="e">
        <f>#REF!*D954</f>
        <v>#REF!</v>
      </c>
      <c r="AE954" s="53" t="e">
        <f>AD954-#REF!</f>
        <v>#REF!</v>
      </c>
      <c r="AF954" s="9"/>
      <c r="AG954" s="33" t="e">
        <f>#REF!-D954</f>
        <v>#REF!</v>
      </c>
      <c r="AH954" s="9"/>
      <c r="AI954" s="9"/>
      <c r="AJ954" s="9"/>
      <c r="AK954" s="9"/>
    </row>
    <row r="955" spans="1:37" s="12" customFormat="1" ht="20.399999999999999" outlineLevel="1" x14ac:dyDescent="0.2">
      <c r="A955" s="61" t="s">
        <v>1116</v>
      </c>
      <c r="B955" s="14" t="s">
        <v>1141</v>
      </c>
      <c r="C955" s="9" t="s">
        <v>48</v>
      </c>
      <c r="D955" s="25">
        <f>SUM(G955:AC955)</f>
        <v>4760</v>
      </c>
      <c r="E955" s="54"/>
      <c r="F955" s="9"/>
      <c r="G955" s="9">
        <v>0</v>
      </c>
      <c r="H955" s="9">
        <f>730-200-80</f>
        <v>450</v>
      </c>
      <c r="I955" s="9">
        <f>640-70</f>
        <v>570</v>
      </c>
      <c r="J955" s="9">
        <f>810-170</f>
        <v>640</v>
      </c>
      <c r="K955" s="9">
        <f>1175-855</f>
        <v>320</v>
      </c>
      <c r="L955" s="9">
        <f>235-110</f>
        <v>125</v>
      </c>
      <c r="M955" s="9">
        <f>200*1.15</f>
        <v>229.99999999999997</v>
      </c>
      <c r="N955" s="9">
        <f>200*1.15</f>
        <v>229.99999999999997</v>
      </c>
      <c r="O955" s="9">
        <v>240</v>
      </c>
      <c r="P955" s="9">
        <f>400-100</f>
        <v>300</v>
      </c>
      <c r="Q955" s="9">
        <f>225-75</f>
        <v>150</v>
      </c>
      <c r="R955" s="9">
        <v>105</v>
      </c>
      <c r="S955" s="9">
        <v>0</v>
      </c>
      <c r="T955" s="9">
        <v>130</v>
      </c>
      <c r="U955" s="9">
        <v>160</v>
      </c>
      <c r="V955" s="9">
        <v>210</v>
      </c>
      <c r="W955" s="9">
        <v>150</v>
      </c>
      <c r="X955" s="9">
        <v>160</v>
      </c>
      <c r="Y955" s="9">
        <v>190</v>
      </c>
      <c r="Z955" s="9">
        <v>190</v>
      </c>
      <c r="AA955" s="9">
        <v>160</v>
      </c>
      <c r="AB955" s="9">
        <v>50</v>
      </c>
      <c r="AC955" s="9">
        <v>0</v>
      </c>
      <c r="AD955" s="53" t="e">
        <f>#REF!*D955</f>
        <v>#REF!</v>
      </c>
      <c r="AE955" s="53" t="e">
        <f>AD955-#REF!</f>
        <v>#REF!</v>
      </c>
      <c r="AF955" s="9"/>
      <c r="AG955" s="33" t="e">
        <f>#REF!-D955</f>
        <v>#REF!</v>
      </c>
      <c r="AH955" s="9"/>
      <c r="AI955" s="9"/>
      <c r="AJ955" s="9"/>
      <c r="AK955" s="9"/>
    </row>
    <row r="956" spans="1:37" s="12" customFormat="1" ht="20.399999999999999" outlineLevel="1" x14ac:dyDescent="0.2">
      <c r="A956" s="61" t="s">
        <v>1136</v>
      </c>
      <c r="B956" s="14" t="s">
        <v>1142</v>
      </c>
      <c r="C956" s="9" t="s">
        <v>48</v>
      </c>
      <c r="D956" s="25">
        <f>SUM(G956:AC956)</f>
        <v>4260</v>
      </c>
      <c r="E956" s="54"/>
      <c r="F956" s="9"/>
      <c r="G956" s="9">
        <v>0</v>
      </c>
      <c r="H956" s="9">
        <f>610-100</f>
        <v>510</v>
      </c>
      <c r="I956" s="9">
        <f>435-45</f>
        <v>390</v>
      </c>
      <c r="J956" s="9">
        <f>515-110</f>
        <v>405</v>
      </c>
      <c r="K956" s="9">
        <f>645-300</f>
        <v>345</v>
      </c>
      <c r="L956" s="9">
        <f>405-180</f>
        <v>225</v>
      </c>
      <c r="M956" s="9">
        <v>165</v>
      </c>
      <c r="N956" s="9">
        <v>165</v>
      </c>
      <c r="O956" s="9">
        <v>175</v>
      </c>
      <c r="P956" s="9">
        <v>100</v>
      </c>
      <c r="Q956" s="9">
        <v>190</v>
      </c>
      <c r="R956" s="9">
        <v>15</v>
      </c>
      <c r="S956" s="9">
        <v>0</v>
      </c>
      <c r="T956" s="9">
        <v>0</v>
      </c>
      <c r="U956" s="9">
        <v>200</v>
      </c>
      <c r="V956" s="9">
        <v>265</v>
      </c>
      <c r="W956" s="9">
        <v>180</v>
      </c>
      <c r="X956" s="9">
        <v>200</v>
      </c>
      <c r="Y956" s="9">
        <v>235</v>
      </c>
      <c r="Z956" s="9">
        <v>235</v>
      </c>
      <c r="AA956" s="9">
        <v>200</v>
      </c>
      <c r="AB956" s="9">
        <v>60</v>
      </c>
      <c r="AC956" s="9">
        <v>0</v>
      </c>
      <c r="AD956" s="53" t="e">
        <f>#REF!*D956</f>
        <v>#REF!</v>
      </c>
      <c r="AE956" s="53" t="e">
        <f>AD956-#REF!</f>
        <v>#REF!</v>
      </c>
      <c r="AF956" s="9"/>
      <c r="AG956" s="33" t="e">
        <f>#REF!-D956</f>
        <v>#REF!</v>
      </c>
      <c r="AH956" s="9"/>
      <c r="AI956" s="9"/>
      <c r="AJ956" s="9"/>
      <c r="AK956" s="9"/>
    </row>
    <row r="957" spans="1:37" s="12" customFormat="1" ht="20.399999999999999" outlineLevel="1" x14ac:dyDescent="0.2">
      <c r="A957" s="61" t="s">
        <v>1157</v>
      </c>
      <c r="B957" s="14" t="s">
        <v>1143</v>
      </c>
      <c r="C957" s="9" t="s">
        <v>48</v>
      </c>
      <c r="D957" s="25">
        <f>SUM(G957:AC957)</f>
        <v>915</v>
      </c>
      <c r="E957" s="54"/>
      <c r="F957" s="9"/>
      <c r="G957" s="9">
        <v>0</v>
      </c>
      <c r="H957" s="9">
        <v>100</v>
      </c>
      <c r="I957" s="9">
        <v>70</v>
      </c>
      <c r="J957" s="9">
        <f>70-15</f>
        <v>55</v>
      </c>
      <c r="K957" s="9">
        <f>115-55</f>
        <v>60</v>
      </c>
      <c r="L957" s="9">
        <f>120-55</f>
        <v>65</v>
      </c>
      <c r="M957" s="9">
        <v>70</v>
      </c>
      <c r="N957" s="9">
        <v>70</v>
      </c>
      <c r="O957" s="9">
        <v>85</v>
      </c>
      <c r="P957" s="9">
        <v>45</v>
      </c>
      <c r="Q957" s="9">
        <v>35</v>
      </c>
      <c r="R957" s="9">
        <v>0</v>
      </c>
      <c r="S957" s="9">
        <v>0</v>
      </c>
      <c r="T957" s="9">
        <v>0</v>
      </c>
      <c r="U957" s="9">
        <v>40</v>
      </c>
      <c r="V957" s="9">
        <v>0</v>
      </c>
      <c r="W957" s="9">
        <v>35</v>
      </c>
      <c r="X957" s="9">
        <v>40</v>
      </c>
      <c r="Y957" s="9">
        <v>45</v>
      </c>
      <c r="Z957" s="9">
        <v>45</v>
      </c>
      <c r="AA957" s="9">
        <v>40</v>
      </c>
      <c r="AB957" s="9">
        <v>15</v>
      </c>
      <c r="AC957" s="9">
        <v>0</v>
      </c>
      <c r="AD957" s="53" t="e">
        <f>#REF!*D957</f>
        <v>#REF!</v>
      </c>
      <c r="AE957" s="53" t="e">
        <f>AD957-#REF!</f>
        <v>#REF!</v>
      </c>
      <c r="AF957" s="9"/>
      <c r="AG957" s="33" t="e">
        <f>#REF!-D957</f>
        <v>#REF!</v>
      </c>
      <c r="AH957" s="9"/>
      <c r="AI957" s="9"/>
      <c r="AJ957" s="9"/>
      <c r="AK957" s="9"/>
    </row>
    <row r="958" spans="1:37" s="12" customFormat="1" ht="30.6" outlineLevel="1" x14ac:dyDescent="0.2">
      <c r="A958" s="61" t="s">
        <v>1158</v>
      </c>
      <c r="B958" s="14" t="s">
        <v>1160</v>
      </c>
      <c r="C958" s="9" t="s">
        <v>48</v>
      </c>
      <c r="D958" s="25">
        <f>SUM(G958:AC958)</f>
        <v>935</v>
      </c>
      <c r="E958" s="54"/>
      <c r="F958" s="9"/>
      <c r="G958" s="9">
        <v>0</v>
      </c>
      <c r="H958" s="9">
        <v>150</v>
      </c>
      <c r="I958" s="9">
        <v>0</v>
      </c>
      <c r="J958" s="9">
        <v>0</v>
      </c>
      <c r="K958" s="9">
        <v>0</v>
      </c>
      <c r="L958" s="9">
        <f>450-210</f>
        <v>240</v>
      </c>
      <c r="M958" s="9">
        <v>0</v>
      </c>
      <c r="N958" s="9">
        <v>0</v>
      </c>
      <c r="O958" s="9">
        <v>0</v>
      </c>
      <c r="P958" s="9">
        <v>100</v>
      </c>
      <c r="Q958" s="9">
        <v>75</v>
      </c>
      <c r="R958" s="9">
        <v>0</v>
      </c>
      <c r="S958" s="9">
        <v>0</v>
      </c>
      <c r="T958" s="9">
        <v>0</v>
      </c>
      <c r="U958" s="9">
        <v>100</v>
      </c>
      <c r="V958" s="9">
        <v>30</v>
      </c>
      <c r="W958" s="9">
        <v>0</v>
      </c>
      <c r="X958" s="9">
        <v>0</v>
      </c>
      <c r="Y958" s="9">
        <v>210</v>
      </c>
      <c r="Z958" s="9">
        <v>15</v>
      </c>
      <c r="AA958" s="9">
        <v>0</v>
      </c>
      <c r="AB958" s="9">
        <v>15</v>
      </c>
      <c r="AC958" s="9">
        <v>0</v>
      </c>
      <c r="AD958" s="53" t="e">
        <f>#REF!*D958</f>
        <v>#REF!</v>
      </c>
      <c r="AE958" s="53" t="e">
        <f>AD958-#REF!</f>
        <v>#REF!</v>
      </c>
      <c r="AF958" s="9"/>
      <c r="AG958" s="33" t="e">
        <f>#REF!-D958</f>
        <v>#REF!</v>
      </c>
      <c r="AH958" s="9"/>
      <c r="AI958" s="9"/>
      <c r="AJ958" s="9"/>
      <c r="AK958" s="9"/>
    </row>
    <row r="959" spans="1:37" s="12" customFormat="1" ht="30.6" outlineLevel="1" x14ac:dyDescent="0.2">
      <c r="A959" s="61" t="s">
        <v>1159</v>
      </c>
      <c r="B959" s="14" t="s">
        <v>3592</v>
      </c>
      <c r="C959" s="9" t="s">
        <v>48</v>
      </c>
      <c r="D959" s="25">
        <f>SUM(G959:AC959)</f>
        <v>195</v>
      </c>
      <c r="E959" s="54"/>
      <c r="F959" s="9"/>
      <c r="G959" s="9">
        <v>0</v>
      </c>
      <c r="H959" s="9">
        <v>50</v>
      </c>
      <c r="I959" s="9">
        <v>0</v>
      </c>
      <c r="J959" s="9">
        <v>5</v>
      </c>
      <c r="K959" s="9">
        <v>0</v>
      </c>
      <c r="L959" s="9">
        <v>0</v>
      </c>
      <c r="M959" s="9">
        <v>10</v>
      </c>
      <c r="N959" s="9">
        <v>0</v>
      </c>
      <c r="O959" s="9">
        <v>0</v>
      </c>
      <c r="P959" s="9">
        <v>10</v>
      </c>
      <c r="Q959" s="9">
        <v>0</v>
      </c>
      <c r="R959" s="9">
        <v>0</v>
      </c>
      <c r="S959" s="9">
        <v>0</v>
      </c>
      <c r="T959" s="9">
        <v>0</v>
      </c>
      <c r="U959" s="9">
        <v>120</v>
      </c>
      <c r="V959" s="9">
        <v>0</v>
      </c>
      <c r="W959" s="9">
        <v>0</v>
      </c>
      <c r="X959" s="9">
        <v>0</v>
      </c>
      <c r="Y959" s="9">
        <v>0</v>
      </c>
      <c r="Z959" s="9">
        <v>0</v>
      </c>
      <c r="AA959" s="9">
        <v>0</v>
      </c>
      <c r="AB959" s="9">
        <v>0</v>
      </c>
      <c r="AC959" s="9">
        <v>0</v>
      </c>
      <c r="AD959" s="53" t="e">
        <f>#REF!*D959</f>
        <v>#REF!</v>
      </c>
      <c r="AE959" s="53" t="e">
        <f>AD959-#REF!</f>
        <v>#REF!</v>
      </c>
      <c r="AF959" s="9"/>
      <c r="AG959" s="33" t="e">
        <f>#REF!-D959</f>
        <v>#REF!</v>
      </c>
      <c r="AH959" s="9"/>
      <c r="AI959" s="9"/>
      <c r="AJ959" s="9"/>
      <c r="AK959" s="9"/>
    </row>
    <row r="960" spans="1:37" s="12" customFormat="1" ht="10.199999999999999" x14ac:dyDescent="0.2">
      <c r="A960" s="61"/>
      <c r="B960" s="14"/>
      <c r="C960" s="8"/>
      <c r="D960" s="25"/>
      <c r="E960" s="54"/>
      <c r="F960" s="9"/>
      <c r="G960" s="9"/>
      <c r="H960" s="9"/>
      <c r="I960" s="9"/>
      <c r="J960" s="9"/>
      <c r="K960" s="9"/>
      <c r="L960" s="9"/>
      <c r="M960" s="9"/>
      <c r="N960" s="9"/>
      <c r="O960" s="9"/>
      <c r="P960" s="9"/>
      <c r="Q960" s="9"/>
      <c r="R960" s="9"/>
      <c r="S960" s="9"/>
      <c r="T960" s="9"/>
      <c r="U960" s="9"/>
      <c r="V960" s="9"/>
      <c r="W960" s="9"/>
      <c r="X960" s="9"/>
      <c r="Y960" s="9"/>
      <c r="Z960" s="9"/>
      <c r="AA960" s="9"/>
      <c r="AB960" s="9"/>
      <c r="AC960" s="9"/>
      <c r="AD960" s="53" t="e">
        <f>#REF!*D960</f>
        <v>#REF!</v>
      </c>
      <c r="AE960" s="53" t="e">
        <f>AD960-#REF!</f>
        <v>#REF!</v>
      </c>
      <c r="AF960" s="9"/>
      <c r="AG960" s="33" t="e">
        <f>#REF!-D960</f>
        <v>#REF!</v>
      </c>
      <c r="AH960" s="9"/>
      <c r="AI960" s="9"/>
      <c r="AJ960" s="9"/>
      <c r="AK960" s="9"/>
    </row>
    <row r="961" spans="1:37" x14ac:dyDescent="0.25">
      <c r="A961" s="58">
        <v>4</v>
      </c>
      <c r="B961" s="59" t="s">
        <v>1105</v>
      </c>
      <c r="C961" s="58" t="s">
        <v>41</v>
      </c>
      <c r="D961" s="60" t="e">
        <f>#REF!/#REF!*100</f>
        <v>#REF!</v>
      </c>
      <c r="E961" s="200" t="s">
        <v>2806</v>
      </c>
      <c r="G961" s="9"/>
      <c r="AD961" s="53" t="e">
        <f>#REF!*D961</f>
        <v>#REF!</v>
      </c>
      <c r="AE961" s="53" t="e">
        <f>AD961-#REF!</f>
        <v>#REF!</v>
      </c>
      <c r="AG961" s="33" t="e">
        <f>#REF!-D961</f>
        <v>#REF!</v>
      </c>
    </row>
    <row r="962" spans="1:37" x14ac:dyDescent="0.25">
      <c r="A962" s="18" t="s">
        <v>501</v>
      </c>
      <c r="B962" s="35" t="s">
        <v>1068</v>
      </c>
      <c r="C962" s="18" t="s">
        <v>41</v>
      </c>
      <c r="D962" s="52" t="e">
        <f>#REF!/#REF!*100</f>
        <v>#REF!</v>
      </c>
      <c r="G962" s="9"/>
      <c r="AD962" s="53" t="e">
        <f>#REF!*D962</f>
        <v>#REF!</v>
      </c>
      <c r="AE962" s="53" t="e">
        <f>AD962-#REF!</f>
        <v>#REF!</v>
      </c>
      <c r="AG962" s="33" t="e">
        <f>#REF!-D962</f>
        <v>#REF!</v>
      </c>
    </row>
    <row r="963" spans="1:37" s="12" customFormat="1" ht="20.399999999999999" outlineLevel="1" x14ac:dyDescent="0.2">
      <c r="A963" s="61" t="s">
        <v>1069</v>
      </c>
      <c r="B963" s="47" t="s">
        <v>482</v>
      </c>
      <c r="C963" s="9" t="s">
        <v>48</v>
      </c>
      <c r="D963" s="25">
        <f>SUM(G963:AC963)*3</f>
        <v>84</v>
      </c>
      <c r="E963" s="54"/>
      <c r="F963" s="78"/>
      <c r="G963" s="33">
        <v>0</v>
      </c>
      <c r="H963" s="33">
        <v>0</v>
      </c>
      <c r="I963" s="9">
        <v>0</v>
      </c>
      <c r="J963" s="9">
        <v>0</v>
      </c>
      <c r="K963" s="9">
        <v>0</v>
      </c>
      <c r="L963" s="9">
        <v>0</v>
      </c>
      <c r="M963" s="9">
        <v>0</v>
      </c>
      <c r="N963" s="9">
        <v>0</v>
      </c>
      <c r="O963" s="9">
        <v>0</v>
      </c>
      <c r="P963" s="9">
        <v>0</v>
      </c>
      <c r="Q963" s="9">
        <v>0</v>
      </c>
      <c r="R963" s="9">
        <v>0</v>
      </c>
      <c r="S963" s="9">
        <v>0</v>
      </c>
      <c r="T963" s="9">
        <v>0</v>
      </c>
      <c r="U963" s="33">
        <v>0</v>
      </c>
      <c r="V963" s="9">
        <v>0</v>
      </c>
      <c r="W963" s="9">
        <v>0</v>
      </c>
      <c r="X963" s="9">
        <v>7</v>
      </c>
      <c r="Y963" s="9">
        <f>24/3</f>
        <v>8</v>
      </c>
      <c r="Z963" s="9">
        <v>6</v>
      </c>
      <c r="AA963" s="9">
        <v>7</v>
      </c>
      <c r="AB963" s="9">
        <v>0</v>
      </c>
      <c r="AC963" s="9">
        <v>0</v>
      </c>
      <c r="AD963" s="53" t="e">
        <f>#REF!*D963</f>
        <v>#REF!</v>
      </c>
      <c r="AE963" s="53" t="e">
        <f>AD963-#REF!</f>
        <v>#REF!</v>
      </c>
      <c r="AF963" s="9"/>
      <c r="AG963" s="33" t="e">
        <f>#REF!-D963</f>
        <v>#REF!</v>
      </c>
      <c r="AH963" s="9"/>
      <c r="AI963" s="9"/>
      <c r="AJ963" s="9"/>
      <c r="AK963" s="9"/>
    </row>
    <row r="964" spans="1:37" s="12" customFormat="1" ht="20.399999999999999" outlineLevel="1" x14ac:dyDescent="0.2">
      <c r="A964" s="61" t="s">
        <v>1070</v>
      </c>
      <c r="B964" s="47" t="s">
        <v>407</v>
      </c>
      <c r="C964" s="9" t="s">
        <v>48</v>
      </c>
      <c r="D964" s="25">
        <f>SUM(G964:AC964)*3</f>
        <v>3057</v>
      </c>
      <c r="E964" s="54"/>
      <c r="F964" s="78"/>
      <c r="G964" s="33">
        <v>0</v>
      </c>
      <c r="H964" s="33">
        <v>0</v>
      </c>
      <c r="I964" s="9">
        <v>33</v>
      </c>
      <c r="J964" s="9">
        <v>0</v>
      </c>
      <c r="K964" s="9">
        <v>0</v>
      </c>
      <c r="L964" s="9">
        <v>153</v>
      </c>
      <c r="M964" s="9">
        <v>130</v>
      </c>
      <c r="N964" s="9">
        <v>130</v>
      </c>
      <c r="O964" s="9">
        <v>122</v>
      </c>
      <c r="P964" s="9">
        <v>64</v>
      </c>
      <c r="Q964" s="9">
        <v>34</v>
      </c>
      <c r="R964" s="9">
        <v>0</v>
      </c>
      <c r="S964" s="9">
        <v>0</v>
      </c>
      <c r="T964" s="9">
        <v>0</v>
      </c>
      <c r="U964" s="33">
        <v>0</v>
      </c>
      <c r="V964" s="9">
        <v>0</v>
      </c>
      <c r="W964" s="9">
        <v>0</v>
      </c>
      <c r="X964" s="9">
        <v>103</v>
      </c>
      <c r="Y964" s="9">
        <v>97</v>
      </c>
      <c r="Z964" s="9">
        <v>50</v>
      </c>
      <c r="AA964" s="9">
        <v>103</v>
      </c>
      <c r="AB964" s="9">
        <v>0</v>
      </c>
      <c r="AC964" s="9">
        <v>0</v>
      </c>
      <c r="AD964" s="53" t="e">
        <f>#REF!*D964</f>
        <v>#REF!</v>
      </c>
      <c r="AE964" s="53" t="e">
        <f>AD964-#REF!</f>
        <v>#REF!</v>
      </c>
      <c r="AF964" s="9"/>
      <c r="AG964" s="33" t="e">
        <f>#REF!-D964</f>
        <v>#REF!</v>
      </c>
      <c r="AH964" s="9"/>
      <c r="AI964" s="9"/>
      <c r="AJ964" s="9"/>
      <c r="AK964" s="9"/>
    </row>
    <row r="965" spans="1:37" s="12" customFormat="1" ht="20.399999999999999" outlineLevel="1" x14ac:dyDescent="0.2">
      <c r="A965" s="61" t="s">
        <v>1071</v>
      </c>
      <c r="B965" s="14" t="s">
        <v>60</v>
      </c>
      <c r="C965" s="9" t="s">
        <v>47</v>
      </c>
      <c r="D965" s="25">
        <f t="shared" ref="D965:D990" si="230">SUM(G965:AC965)</f>
        <v>16</v>
      </c>
      <c r="E965" s="54"/>
      <c r="F965" s="78"/>
      <c r="G965" s="33">
        <v>0</v>
      </c>
      <c r="H965" s="33">
        <v>0</v>
      </c>
      <c r="I965" s="9">
        <v>0</v>
      </c>
      <c r="J965" s="9">
        <v>0</v>
      </c>
      <c r="K965" s="9">
        <v>0</v>
      </c>
      <c r="L965" s="9">
        <v>0</v>
      </c>
      <c r="M965" s="9">
        <v>0</v>
      </c>
      <c r="N965" s="9">
        <v>0</v>
      </c>
      <c r="O965" s="9">
        <v>0</v>
      </c>
      <c r="P965" s="9">
        <v>0</v>
      </c>
      <c r="Q965" s="9">
        <v>0</v>
      </c>
      <c r="R965" s="9">
        <v>0</v>
      </c>
      <c r="S965" s="9">
        <v>0</v>
      </c>
      <c r="T965" s="9">
        <v>0</v>
      </c>
      <c r="U965" s="33">
        <v>0</v>
      </c>
      <c r="V965" s="9">
        <v>0</v>
      </c>
      <c r="W965" s="9">
        <v>0</v>
      </c>
      <c r="X965" s="9">
        <v>4</v>
      </c>
      <c r="Y965" s="9">
        <v>4</v>
      </c>
      <c r="Z965" s="9">
        <v>4</v>
      </c>
      <c r="AA965" s="9">
        <v>4</v>
      </c>
      <c r="AB965" s="9">
        <v>0</v>
      </c>
      <c r="AC965" s="9">
        <v>0</v>
      </c>
      <c r="AD965" s="53" t="e">
        <f>#REF!*D965</f>
        <v>#REF!</v>
      </c>
      <c r="AE965" s="53" t="e">
        <f>AD965-#REF!</f>
        <v>#REF!</v>
      </c>
      <c r="AF965" s="9"/>
      <c r="AG965" s="33" t="e">
        <f>#REF!-D965</f>
        <v>#REF!</v>
      </c>
      <c r="AH965" s="9"/>
      <c r="AI965" s="9"/>
      <c r="AJ965" s="9"/>
      <c r="AK965" s="9"/>
    </row>
    <row r="966" spans="1:37" s="12" customFormat="1" ht="20.399999999999999" outlineLevel="1" x14ac:dyDescent="0.2">
      <c r="A966" s="61" t="s">
        <v>1072</v>
      </c>
      <c r="B966" s="14" t="s">
        <v>61</v>
      </c>
      <c r="C966" s="9" t="s">
        <v>47</v>
      </c>
      <c r="D966" s="25">
        <f t="shared" si="230"/>
        <v>460</v>
      </c>
      <c r="E966" s="54"/>
      <c r="F966" s="78"/>
      <c r="G966" s="33">
        <v>0</v>
      </c>
      <c r="H966" s="33">
        <v>0</v>
      </c>
      <c r="I966" s="9">
        <v>21</v>
      </c>
      <c r="J966" s="9">
        <v>0</v>
      </c>
      <c r="K966" s="9">
        <v>0</v>
      </c>
      <c r="L966" s="9">
        <v>77</v>
      </c>
      <c r="M966" s="9">
        <v>63</v>
      </c>
      <c r="N966" s="9">
        <v>63</v>
      </c>
      <c r="O966" s="9">
        <v>61</v>
      </c>
      <c r="P966" s="9">
        <v>34</v>
      </c>
      <c r="Q966" s="9">
        <v>7</v>
      </c>
      <c r="R966" s="9">
        <v>0</v>
      </c>
      <c r="S966" s="9">
        <v>0</v>
      </c>
      <c r="T966" s="9">
        <v>0</v>
      </c>
      <c r="U966" s="33">
        <v>0</v>
      </c>
      <c r="V966" s="9">
        <v>0</v>
      </c>
      <c r="W966" s="9">
        <v>0</v>
      </c>
      <c r="X966" s="9">
        <v>41</v>
      </c>
      <c r="Y966" s="9">
        <v>32</v>
      </c>
      <c r="Z966" s="9">
        <v>20</v>
      </c>
      <c r="AA966" s="9">
        <v>41</v>
      </c>
      <c r="AB966" s="9">
        <v>0</v>
      </c>
      <c r="AC966" s="9">
        <v>0</v>
      </c>
      <c r="AD966" s="53" t="e">
        <f>#REF!*D966</f>
        <v>#REF!</v>
      </c>
      <c r="AE966" s="53" t="e">
        <f>AD966-#REF!</f>
        <v>#REF!</v>
      </c>
      <c r="AF966" s="9"/>
      <c r="AG966" s="33" t="e">
        <f>#REF!-D966</f>
        <v>#REF!</v>
      </c>
      <c r="AH966" s="9"/>
      <c r="AI966" s="9"/>
      <c r="AJ966" s="9"/>
      <c r="AK966" s="9"/>
    </row>
    <row r="967" spans="1:37" s="12" customFormat="1" ht="20.399999999999999" outlineLevel="1" x14ac:dyDescent="0.2">
      <c r="A967" s="61" t="s">
        <v>1073</v>
      </c>
      <c r="B967" s="14" t="s">
        <v>64</v>
      </c>
      <c r="C967" s="9" t="s">
        <v>47</v>
      </c>
      <c r="D967" s="25">
        <f t="shared" si="230"/>
        <v>44</v>
      </c>
      <c r="E967" s="54"/>
      <c r="F967" s="78"/>
      <c r="G967" s="88">
        <f t="shared" ref="G967:AC967" si="231">G965+G963</f>
        <v>0</v>
      </c>
      <c r="H967" s="88">
        <f t="shared" si="231"/>
        <v>0</v>
      </c>
      <c r="I967" s="88">
        <f t="shared" si="231"/>
        <v>0</v>
      </c>
      <c r="J967" s="88">
        <f t="shared" si="231"/>
        <v>0</v>
      </c>
      <c r="K967" s="88">
        <f t="shared" si="231"/>
        <v>0</v>
      </c>
      <c r="L967" s="88">
        <f t="shared" si="231"/>
        <v>0</v>
      </c>
      <c r="M967" s="88">
        <f t="shared" si="231"/>
        <v>0</v>
      </c>
      <c r="N967" s="88">
        <f t="shared" si="231"/>
        <v>0</v>
      </c>
      <c r="O967" s="88">
        <f t="shared" si="231"/>
        <v>0</v>
      </c>
      <c r="P967" s="88">
        <f t="shared" si="231"/>
        <v>0</v>
      </c>
      <c r="Q967" s="88">
        <f t="shared" si="231"/>
        <v>0</v>
      </c>
      <c r="R967" s="88">
        <f t="shared" si="231"/>
        <v>0</v>
      </c>
      <c r="S967" s="88">
        <f t="shared" si="231"/>
        <v>0</v>
      </c>
      <c r="T967" s="88">
        <f t="shared" si="231"/>
        <v>0</v>
      </c>
      <c r="U967" s="88">
        <f t="shared" si="231"/>
        <v>0</v>
      </c>
      <c r="V967" s="88">
        <f t="shared" si="231"/>
        <v>0</v>
      </c>
      <c r="W967" s="88">
        <f t="shared" si="231"/>
        <v>0</v>
      </c>
      <c r="X967" s="88">
        <f t="shared" si="231"/>
        <v>11</v>
      </c>
      <c r="Y967" s="88">
        <f t="shared" si="231"/>
        <v>12</v>
      </c>
      <c r="Z967" s="88">
        <f t="shared" si="231"/>
        <v>10</v>
      </c>
      <c r="AA967" s="88">
        <f t="shared" si="231"/>
        <v>11</v>
      </c>
      <c r="AB967" s="88">
        <f t="shared" si="231"/>
        <v>0</v>
      </c>
      <c r="AC967" s="88">
        <f t="shared" si="231"/>
        <v>0</v>
      </c>
      <c r="AD967" s="53" t="e">
        <f>#REF!*D967</f>
        <v>#REF!</v>
      </c>
      <c r="AE967" s="53" t="e">
        <f>AD967-#REF!</f>
        <v>#REF!</v>
      </c>
      <c r="AF967" s="49"/>
      <c r="AG967" s="33" t="e">
        <f>#REF!-D967</f>
        <v>#REF!</v>
      </c>
      <c r="AH967" s="9"/>
      <c r="AI967" s="9"/>
      <c r="AJ967" s="9"/>
      <c r="AK967" s="9"/>
    </row>
    <row r="968" spans="1:37" s="12" customFormat="1" ht="20.399999999999999" outlineLevel="1" x14ac:dyDescent="0.2">
      <c r="A968" s="61" t="s">
        <v>1074</v>
      </c>
      <c r="B968" s="14" t="s">
        <v>65</v>
      </c>
      <c r="C968" s="9" t="s">
        <v>47</v>
      </c>
      <c r="D968" s="25">
        <f t="shared" si="230"/>
        <v>1479</v>
      </c>
      <c r="E968" s="54"/>
      <c r="F968" s="78"/>
      <c r="G968" s="88">
        <f t="shared" ref="G968:AC968" si="232">G966+G964</f>
        <v>0</v>
      </c>
      <c r="H968" s="88">
        <f t="shared" si="232"/>
        <v>0</v>
      </c>
      <c r="I968" s="88">
        <f t="shared" si="232"/>
        <v>54</v>
      </c>
      <c r="J968" s="88">
        <f t="shared" si="232"/>
        <v>0</v>
      </c>
      <c r="K968" s="88">
        <f t="shared" si="232"/>
        <v>0</v>
      </c>
      <c r="L968" s="88">
        <f t="shared" si="232"/>
        <v>230</v>
      </c>
      <c r="M968" s="88">
        <f t="shared" si="232"/>
        <v>193</v>
      </c>
      <c r="N968" s="88">
        <f t="shared" si="232"/>
        <v>193</v>
      </c>
      <c r="O968" s="88">
        <f t="shared" si="232"/>
        <v>183</v>
      </c>
      <c r="P968" s="88">
        <f t="shared" si="232"/>
        <v>98</v>
      </c>
      <c r="Q968" s="88">
        <f t="shared" si="232"/>
        <v>41</v>
      </c>
      <c r="R968" s="88">
        <f t="shared" si="232"/>
        <v>0</v>
      </c>
      <c r="S968" s="88">
        <f t="shared" si="232"/>
        <v>0</v>
      </c>
      <c r="T968" s="88">
        <f t="shared" si="232"/>
        <v>0</v>
      </c>
      <c r="U968" s="88">
        <f t="shared" si="232"/>
        <v>0</v>
      </c>
      <c r="V968" s="88">
        <f t="shared" si="232"/>
        <v>0</v>
      </c>
      <c r="W968" s="88">
        <f t="shared" si="232"/>
        <v>0</v>
      </c>
      <c r="X968" s="88">
        <f t="shared" si="232"/>
        <v>144</v>
      </c>
      <c r="Y968" s="88">
        <f t="shared" si="232"/>
        <v>129</v>
      </c>
      <c r="Z968" s="88">
        <f t="shared" si="232"/>
        <v>70</v>
      </c>
      <c r="AA968" s="88">
        <f t="shared" si="232"/>
        <v>144</v>
      </c>
      <c r="AB968" s="88">
        <f t="shared" si="232"/>
        <v>0</v>
      </c>
      <c r="AC968" s="88">
        <f t="shared" si="232"/>
        <v>0</v>
      </c>
      <c r="AD968" s="53" t="e">
        <f>#REF!*D968</f>
        <v>#REF!</v>
      </c>
      <c r="AE968" s="53" t="e">
        <f>AD968-#REF!</f>
        <v>#REF!</v>
      </c>
      <c r="AF968" s="49"/>
      <c r="AG968" s="33" t="e">
        <f>#REF!-D968</f>
        <v>#REF!</v>
      </c>
      <c r="AH968" s="9"/>
      <c r="AI968" s="9"/>
      <c r="AJ968" s="9"/>
      <c r="AK968" s="9"/>
    </row>
    <row r="969" spans="1:37" s="12" customFormat="1" ht="20.399999999999999" outlineLevel="1" x14ac:dyDescent="0.2">
      <c r="A969" s="61" t="s">
        <v>1075</v>
      </c>
      <c r="B969" s="14" t="s">
        <v>68</v>
      </c>
      <c r="C969" s="9" t="s">
        <v>36</v>
      </c>
      <c r="D969" s="25">
        <f t="shared" si="230"/>
        <v>16</v>
      </c>
      <c r="E969" s="54"/>
      <c r="F969" s="78"/>
      <c r="G969" s="33">
        <v>0</v>
      </c>
      <c r="H969" s="33">
        <v>0</v>
      </c>
      <c r="I969" s="33">
        <f t="shared" ref="I969:T969" si="233">I965</f>
        <v>0</v>
      </c>
      <c r="J969" s="33">
        <f t="shared" si="233"/>
        <v>0</v>
      </c>
      <c r="K969" s="33">
        <f t="shared" si="233"/>
        <v>0</v>
      </c>
      <c r="L969" s="33">
        <f t="shared" si="233"/>
        <v>0</v>
      </c>
      <c r="M969" s="33">
        <f t="shared" si="233"/>
        <v>0</v>
      </c>
      <c r="N969" s="33">
        <f t="shared" si="233"/>
        <v>0</v>
      </c>
      <c r="O969" s="33">
        <f t="shared" si="233"/>
        <v>0</v>
      </c>
      <c r="P969" s="33">
        <f t="shared" si="233"/>
        <v>0</v>
      </c>
      <c r="Q969" s="33">
        <f t="shared" si="233"/>
        <v>0</v>
      </c>
      <c r="R969" s="33">
        <f t="shared" si="233"/>
        <v>0</v>
      </c>
      <c r="S969" s="33">
        <f t="shared" si="233"/>
        <v>0</v>
      </c>
      <c r="T969" s="33">
        <f t="shared" si="233"/>
        <v>0</v>
      </c>
      <c r="U969" s="33">
        <v>0</v>
      </c>
      <c r="V969" s="33">
        <f t="shared" ref="V969:AC970" si="234">V965</f>
        <v>0</v>
      </c>
      <c r="W969" s="33">
        <f t="shared" si="234"/>
        <v>0</v>
      </c>
      <c r="X969" s="33">
        <f t="shared" si="234"/>
        <v>4</v>
      </c>
      <c r="Y969" s="33">
        <f t="shared" si="234"/>
        <v>4</v>
      </c>
      <c r="Z969" s="33">
        <f t="shared" si="234"/>
        <v>4</v>
      </c>
      <c r="AA969" s="33">
        <f t="shared" si="234"/>
        <v>4</v>
      </c>
      <c r="AB969" s="33">
        <f t="shared" si="234"/>
        <v>0</v>
      </c>
      <c r="AC969" s="33">
        <f t="shared" si="234"/>
        <v>0</v>
      </c>
      <c r="AD969" s="53" t="e">
        <f>#REF!*D969</f>
        <v>#REF!</v>
      </c>
      <c r="AE969" s="53" t="e">
        <f>AD969-#REF!</f>
        <v>#REF!</v>
      </c>
      <c r="AF969" s="9"/>
      <c r="AG969" s="33" t="e">
        <f>#REF!-D969</f>
        <v>#REF!</v>
      </c>
      <c r="AH969" s="9"/>
      <c r="AI969" s="9"/>
      <c r="AJ969" s="9"/>
      <c r="AK969" s="9"/>
    </row>
    <row r="970" spans="1:37" s="12" customFormat="1" ht="20.399999999999999" outlineLevel="1" x14ac:dyDescent="0.2">
      <c r="A970" s="61" t="s">
        <v>1076</v>
      </c>
      <c r="B970" s="14" t="s">
        <v>226</v>
      </c>
      <c r="C970" s="9" t="s">
        <v>36</v>
      </c>
      <c r="D970" s="25">
        <f t="shared" si="230"/>
        <v>460</v>
      </c>
      <c r="E970" s="54"/>
      <c r="F970" s="78"/>
      <c r="G970" s="33">
        <v>0</v>
      </c>
      <c r="H970" s="33">
        <v>0</v>
      </c>
      <c r="I970" s="33">
        <f t="shared" ref="I970:T970" si="235">I966</f>
        <v>21</v>
      </c>
      <c r="J970" s="33">
        <f t="shared" si="235"/>
        <v>0</v>
      </c>
      <c r="K970" s="33">
        <f t="shared" si="235"/>
        <v>0</v>
      </c>
      <c r="L970" s="33">
        <f t="shared" si="235"/>
        <v>77</v>
      </c>
      <c r="M970" s="33">
        <f t="shared" si="235"/>
        <v>63</v>
      </c>
      <c r="N970" s="33">
        <f t="shared" si="235"/>
        <v>63</v>
      </c>
      <c r="O970" s="33">
        <f t="shared" si="235"/>
        <v>61</v>
      </c>
      <c r="P970" s="33">
        <f t="shared" si="235"/>
        <v>34</v>
      </c>
      <c r="Q970" s="33">
        <f t="shared" si="235"/>
        <v>7</v>
      </c>
      <c r="R970" s="33">
        <f t="shared" si="235"/>
        <v>0</v>
      </c>
      <c r="S970" s="33">
        <f t="shared" si="235"/>
        <v>0</v>
      </c>
      <c r="T970" s="33">
        <f t="shared" si="235"/>
        <v>0</v>
      </c>
      <c r="U970" s="33">
        <f>U966</f>
        <v>0</v>
      </c>
      <c r="V970" s="33">
        <f t="shared" si="234"/>
        <v>0</v>
      </c>
      <c r="W970" s="33">
        <f t="shared" si="234"/>
        <v>0</v>
      </c>
      <c r="X970" s="33">
        <f t="shared" si="234"/>
        <v>41</v>
      </c>
      <c r="Y970" s="33">
        <f t="shared" si="234"/>
        <v>32</v>
      </c>
      <c r="Z970" s="33">
        <f t="shared" si="234"/>
        <v>20</v>
      </c>
      <c r="AA970" s="33">
        <f t="shared" si="234"/>
        <v>41</v>
      </c>
      <c r="AB970" s="33">
        <f t="shared" si="234"/>
        <v>0</v>
      </c>
      <c r="AC970" s="33">
        <f t="shared" si="234"/>
        <v>0</v>
      </c>
      <c r="AD970" s="53" t="e">
        <f>#REF!*D970</f>
        <v>#REF!</v>
      </c>
      <c r="AE970" s="53" t="e">
        <f>AD970-#REF!</f>
        <v>#REF!</v>
      </c>
      <c r="AF970" s="9"/>
      <c r="AG970" s="33" t="e">
        <f>#REF!-D970</f>
        <v>#REF!</v>
      </c>
      <c r="AH970" s="9"/>
      <c r="AI970" s="9"/>
      <c r="AJ970" s="9"/>
      <c r="AK970" s="9"/>
    </row>
    <row r="971" spans="1:37" s="17" customFormat="1" ht="30.6" outlineLevel="1" x14ac:dyDescent="0.2">
      <c r="A971" s="61" t="s">
        <v>1077</v>
      </c>
      <c r="B971" s="47" t="s">
        <v>2468</v>
      </c>
      <c r="C971" s="8" t="s">
        <v>48</v>
      </c>
      <c r="D971" s="25">
        <f t="shared" si="230"/>
        <v>11</v>
      </c>
      <c r="E971" s="54"/>
      <c r="F971" s="9"/>
      <c r="G971" s="33">
        <v>0</v>
      </c>
      <c r="H971" s="33">
        <v>0</v>
      </c>
      <c r="I971" s="9">
        <v>11</v>
      </c>
      <c r="J971" s="9">
        <v>0</v>
      </c>
      <c r="K971" s="9">
        <v>0</v>
      </c>
      <c r="L971" s="9">
        <v>0</v>
      </c>
      <c r="M971" s="9">
        <v>0</v>
      </c>
      <c r="N971" s="9">
        <v>0</v>
      </c>
      <c r="O971" s="9">
        <v>0</v>
      </c>
      <c r="P971" s="9">
        <v>0</v>
      </c>
      <c r="Q971" s="9">
        <v>0</v>
      </c>
      <c r="R971" s="9">
        <v>0</v>
      </c>
      <c r="S971" s="9">
        <v>0</v>
      </c>
      <c r="T971" s="9">
        <v>0</v>
      </c>
      <c r="U971" s="33">
        <v>0</v>
      </c>
      <c r="V971" s="9">
        <v>0</v>
      </c>
      <c r="W971" s="9">
        <v>0</v>
      </c>
      <c r="X971" s="9">
        <v>0</v>
      </c>
      <c r="Y971" s="9">
        <v>0</v>
      </c>
      <c r="Z971" s="9">
        <v>0</v>
      </c>
      <c r="AA971" s="9">
        <v>0</v>
      </c>
      <c r="AB971" s="9">
        <v>0</v>
      </c>
      <c r="AC971" s="9">
        <v>0</v>
      </c>
      <c r="AD971" s="53" t="e">
        <f>#REF!*D971</f>
        <v>#REF!</v>
      </c>
      <c r="AE971" s="53" t="e">
        <f>AD971-#REF!</f>
        <v>#REF!</v>
      </c>
      <c r="AF971" s="8"/>
      <c r="AG971" s="33" t="e">
        <f>#REF!-D971</f>
        <v>#REF!</v>
      </c>
      <c r="AH971" s="8"/>
      <c r="AI971" s="8"/>
      <c r="AJ971" s="8"/>
      <c r="AK971" s="8"/>
    </row>
    <row r="972" spans="1:37" s="17" customFormat="1" ht="24.75" customHeight="1" outlineLevel="1" x14ac:dyDescent="0.2">
      <c r="A972" s="61" t="s">
        <v>1078</v>
      </c>
      <c r="B972" s="47" t="s">
        <v>2499</v>
      </c>
      <c r="C972" s="9" t="s">
        <v>47</v>
      </c>
      <c r="D972" s="25">
        <f t="shared" si="230"/>
        <v>3.6666666666666665</v>
      </c>
      <c r="E972" s="54"/>
      <c r="F972" s="9"/>
      <c r="G972" s="88">
        <f t="shared" ref="G972:AC972" si="236">G971/3</f>
        <v>0</v>
      </c>
      <c r="H972" s="88">
        <f t="shared" si="236"/>
        <v>0</v>
      </c>
      <c r="I972" s="88">
        <f t="shared" si="236"/>
        <v>3.6666666666666665</v>
      </c>
      <c r="J972" s="88">
        <f t="shared" si="236"/>
        <v>0</v>
      </c>
      <c r="K972" s="88">
        <f t="shared" si="236"/>
        <v>0</v>
      </c>
      <c r="L972" s="88">
        <f t="shared" si="236"/>
        <v>0</v>
      </c>
      <c r="M972" s="88">
        <f t="shared" si="236"/>
        <v>0</v>
      </c>
      <c r="N972" s="88">
        <f t="shared" si="236"/>
        <v>0</v>
      </c>
      <c r="O972" s="88">
        <f t="shared" si="236"/>
        <v>0</v>
      </c>
      <c r="P972" s="88">
        <f t="shared" si="236"/>
        <v>0</v>
      </c>
      <c r="Q972" s="88">
        <f t="shared" si="236"/>
        <v>0</v>
      </c>
      <c r="R972" s="88">
        <f t="shared" si="236"/>
        <v>0</v>
      </c>
      <c r="S972" s="88">
        <f t="shared" si="236"/>
        <v>0</v>
      </c>
      <c r="T972" s="88">
        <f t="shared" si="236"/>
        <v>0</v>
      </c>
      <c r="U972" s="88">
        <f t="shared" si="236"/>
        <v>0</v>
      </c>
      <c r="V972" s="88">
        <f t="shared" si="236"/>
        <v>0</v>
      </c>
      <c r="W972" s="88">
        <f t="shared" si="236"/>
        <v>0</v>
      </c>
      <c r="X972" s="88">
        <f t="shared" si="236"/>
        <v>0</v>
      </c>
      <c r="Y972" s="88">
        <f t="shared" si="236"/>
        <v>0</v>
      </c>
      <c r="Z972" s="88">
        <f t="shared" si="236"/>
        <v>0</v>
      </c>
      <c r="AA972" s="88">
        <f t="shared" si="236"/>
        <v>0</v>
      </c>
      <c r="AB972" s="88">
        <f t="shared" si="236"/>
        <v>0</v>
      </c>
      <c r="AC972" s="88">
        <f t="shared" si="236"/>
        <v>0</v>
      </c>
      <c r="AD972" s="53" t="e">
        <f>#REF!*D972</f>
        <v>#REF!</v>
      </c>
      <c r="AE972" s="53" t="e">
        <f>AD972-#REF!</f>
        <v>#REF!</v>
      </c>
      <c r="AF972" s="8"/>
      <c r="AG972" s="33" t="e">
        <f>#REF!-D972</f>
        <v>#REF!</v>
      </c>
      <c r="AH972" s="8"/>
      <c r="AI972" s="8"/>
      <c r="AJ972" s="8"/>
      <c r="AK972" s="8"/>
    </row>
    <row r="973" spans="1:37" s="17" customFormat="1" ht="24.75" customHeight="1" outlineLevel="1" x14ac:dyDescent="0.2">
      <c r="A973" s="61" t="s">
        <v>1079</v>
      </c>
      <c r="B973" s="47" t="s">
        <v>2470</v>
      </c>
      <c r="C973" s="9" t="s">
        <v>47</v>
      </c>
      <c r="D973" s="25">
        <f t="shared" si="230"/>
        <v>1</v>
      </c>
      <c r="E973" s="54"/>
      <c r="F973" s="9"/>
      <c r="G973" s="33">
        <v>0</v>
      </c>
      <c r="H973" s="33">
        <v>0</v>
      </c>
      <c r="I973" s="9">
        <v>1</v>
      </c>
      <c r="J973" s="9">
        <v>0</v>
      </c>
      <c r="K973" s="9">
        <v>0</v>
      </c>
      <c r="L973" s="9">
        <v>0</v>
      </c>
      <c r="M973" s="9">
        <v>0</v>
      </c>
      <c r="N973" s="9">
        <v>0</v>
      </c>
      <c r="O973" s="9">
        <v>0</v>
      </c>
      <c r="P973" s="9">
        <v>0</v>
      </c>
      <c r="Q973" s="9">
        <v>0</v>
      </c>
      <c r="R973" s="9">
        <v>0</v>
      </c>
      <c r="S973" s="9">
        <v>0</v>
      </c>
      <c r="T973" s="9">
        <v>0</v>
      </c>
      <c r="U973" s="33">
        <v>0</v>
      </c>
      <c r="V973" s="9">
        <v>0</v>
      </c>
      <c r="W973" s="9">
        <v>0</v>
      </c>
      <c r="X973" s="9">
        <v>0</v>
      </c>
      <c r="Y973" s="9">
        <v>0</v>
      </c>
      <c r="Z973" s="9">
        <v>0</v>
      </c>
      <c r="AA973" s="9">
        <v>0</v>
      </c>
      <c r="AB973" s="9">
        <v>0</v>
      </c>
      <c r="AC973" s="9">
        <v>0</v>
      </c>
      <c r="AD973" s="53" t="e">
        <f>#REF!*D973</f>
        <v>#REF!</v>
      </c>
      <c r="AE973" s="53" t="e">
        <f>AD973-#REF!</f>
        <v>#REF!</v>
      </c>
      <c r="AF973" s="8"/>
      <c r="AG973" s="33" t="e">
        <f>#REF!-D973</f>
        <v>#REF!</v>
      </c>
      <c r="AH973" s="8"/>
      <c r="AI973" s="8"/>
      <c r="AJ973" s="8"/>
      <c r="AK973" s="8"/>
    </row>
    <row r="974" spans="1:37" s="17" customFormat="1" ht="24.75" customHeight="1" outlineLevel="1" x14ac:dyDescent="0.2">
      <c r="A974" s="61" t="s">
        <v>1080</v>
      </c>
      <c r="B974" s="47" t="s">
        <v>2476</v>
      </c>
      <c r="C974" s="9" t="s">
        <v>47</v>
      </c>
      <c r="D974" s="25">
        <f t="shared" si="230"/>
        <v>7.333333333333333</v>
      </c>
      <c r="E974" s="54"/>
      <c r="F974" s="9"/>
      <c r="G974" s="88">
        <f t="shared" ref="G974:S974" si="237">G971/1.5</f>
        <v>0</v>
      </c>
      <c r="H974" s="88">
        <f t="shared" si="237"/>
        <v>0</v>
      </c>
      <c r="I974" s="88">
        <f t="shared" si="237"/>
        <v>7.333333333333333</v>
      </c>
      <c r="J974" s="88">
        <f t="shared" si="237"/>
        <v>0</v>
      </c>
      <c r="K974" s="88">
        <f t="shared" si="237"/>
        <v>0</v>
      </c>
      <c r="L974" s="88">
        <f t="shared" si="237"/>
        <v>0</v>
      </c>
      <c r="M974" s="88">
        <f t="shared" si="237"/>
        <v>0</v>
      </c>
      <c r="N974" s="88">
        <f t="shared" si="237"/>
        <v>0</v>
      </c>
      <c r="O974" s="88">
        <f t="shared" si="237"/>
        <v>0</v>
      </c>
      <c r="P974" s="88">
        <f t="shared" si="237"/>
        <v>0</v>
      </c>
      <c r="Q974" s="88">
        <f t="shared" si="237"/>
        <v>0</v>
      </c>
      <c r="R974" s="88">
        <f t="shared" si="237"/>
        <v>0</v>
      </c>
      <c r="S974" s="88">
        <f t="shared" si="237"/>
        <v>0</v>
      </c>
      <c r="T974" s="88">
        <f>T962/1.7</f>
        <v>0</v>
      </c>
      <c r="U974" s="88">
        <f t="shared" ref="U974:AB974" si="238">U971/1.5</f>
        <v>0</v>
      </c>
      <c r="V974" s="88">
        <f t="shared" si="238"/>
        <v>0</v>
      </c>
      <c r="W974" s="88">
        <f t="shared" si="238"/>
        <v>0</v>
      </c>
      <c r="X974" s="88">
        <f t="shared" si="238"/>
        <v>0</v>
      </c>
      <c r="Y974" s="88">
        <f t="shared" si="238"/>
        <v>0</v>
      </c>
      <c r="Z974" s="88">
        <f t="shared" si="238"/>
        <v>0</v>
      </c>
      <c r="AA974" s="88">
        <f t="shared" si="238"/>
        <v>0</v>
      </c>
      <c r="AB974" s="88">
        <f t="shared" si="238"/>
        <v>0</v>
      </c>
      <c r="AC974" s="88">
        <f>AC962/1.7</f>
        <v>0</v>
      </c>
      <c r="AD974" s="53" t="e">
        <f>#REF!*D974</f>
        <v>#REF!</v>
      </c>
      <c r="AE974" s="53" t="e">
        <f>AD974-#REF!</f>
        <v>#REF!</v>
      </c>
      <c r="AF974" s="8"/>
      <c r="AG974" s="33" t="e">
        <f>#REF!-D974</f>
        <v>#REF!</v>
      </c>
      <c r="AH974" s="8"/>
      <c r="AI974" s="8"/>
      <c r="AJ974" s="8"/>
      <c r="AK974" s="8"/>
    </row>
    <row r="975" spans="1:37" s="17" customFormat="1" ht="24.75" customHeight="1" outlineLevel="1" x14ac:dyDescent="0.2">
      <c r="A975" s="61" t="s">
        <v>1081</v>
      </c>
      <c r="B975" s="47" t="s">
        <v>2482</v>
      </c>
      <c r="C975" s="9" t="s">
        <v>47</v>
      </c>
      <c r="D975" s="25">
        <f t="shared" si="230"/>
        <v>188</v>
      </c>
      <c r="E975" s="54"/>
      <c r="F975" s="9"/>
      <c r="G975" s="33">
        <v>0</v>
      </c>
      <c r="H975" s="33">
        <v>0</v>
      </c>
      <c r="I975" s="9">
        <v>14</v>
      </c>
      <c r="J975" s="9">
        <v>0</v>
      </c>
      <c r="K975" s="9">
        <v>0</v>
      </c>
      <c r="L975" s="9">
        <v>40</v>
      </c>
      <c r="M975" s="9">
        <v>34</v>
      </c>
      <c r="N975" s="9">
        <v>34</v>
      </c>
      <c r="O975" s="9">
        <v>32</v>
      </c>
      <c r="P975" s="9">
        <v>34</v>
      </c>
      <c r="Q975" s="9">
        <v>0</v>
      </c>
      <c r="R975" s="9">
        <v>0</v>
      </c>
      <c r="S975" s="9">
        <v>0</v>
      </c>
      <c r="T975" s="9">
        <v>0</v>
      </c>
      <c r="U975" s="33">
        <v>0</v>
      </c>
      <c r="V975" s="9">
        <v>0</v>
      </c>
      <c r="W975" s="9">
        <v>0</v>
      </c>
      <c r="X975" s="9">
        <v>0</v>
      </c>
      <c r="Y975" s="9">
        <v>0</v>
      </c>
      <c r="Z975" s="9">
        <v>0</v>
      </c>
      <c r="AA975" s="9">
        <v>0</v>
      </c>
      <c r="AB975" s="9">
        <v>0</v>
      </c>
      <c r="AC975" s="9">
        <v>0</v>
      </c>
      <c r="AD975" s="53" t="e">
        <f>#REF!*D975</f>
        <v>#REF!</v>
      </c>
      <c r="AE975" s="53" t="e">
        <f>AD975-#REF!</f>
        <v>#REF!</v>
      </c>
      <c r="AF975" s="8"/>
      <c r="AG975" s="33" t="e">
        <f>#REF!-D975</f>
        <v>#REF!</v>
      </c>
      <c r="AH975" s="8"/>
      <c r="AI975" s="8"/>
      <c r="AJ975" s="8"/>
      <c r="AK975" s="8"/>
    </row>
    <row r="976" spans="1:37" s="12" customFormat="1" ht="20.399999999999999" outlineLevel="1" x14ac:dyDescent="0.2">
      <c r="A976" s="61" t="s">
        <v>1082</v>
      </c>
      <c r="B976" s="14" t="s">
        <v>441</v>
      </c>
      <c r="C976" s="9" t="s">
        <v>48</v>
      </c>
      <c r="D976" s="25">
        <f t="shared" si="230"/>
        <v>12</v>
      </c>
      <c r="E976" s="54"/>
      <c r="F976" s="78"/>
      <c r="G976" s="33">
        <v>0</v>
      </c>
      <c r="H976" s="33">
        <v>0</v>
      </c>
      <c r="I976" s="9">
        <v>12</v>
      </c>
      <c r="J976" s="9">
        <v>0</v>
      </c>
      <c r="K976" s="9">
        <v>0</v>
      </c>
      <c r="L976" s="9">
        <v>0</v>
      </c>
      <c r="M976" s="9">
        <v>0</v>
      </c>
      <c r="N976" s="9">
        <v>0</v>
      </c>
      <c r="O976" s="9">
        <v>0</v>
      </c>
      <c r="P976" s="9">
        <v>0</v>
      </c>
      <c r="Q976" s="9">
        <v>0</v>
      </c>
      <c r="R976" s="9">
        <v>0</v>
      </c>
      <c r="S976" s="9">
        <v>0</v>
      </c>
      <c r="T976" s="9">
        <v>0</v>
      </c>
      <c r="U976" s="33">
        <v>0</v>
      </c>
      <c r="V976" s="9">
        <v>0</v>
      </c>
      <c r="W976" s="9">
        <v>0</v>
      </c>
      <c r="X976" s="9">
        <v>0</v>
      </c>
      <c r="Y976" s="9">
        <v>0</v>
      </c>
      <c r="Z976" s="9">
        <v>0</v>
      </c>
      <c r="AA976" s="9">
        <v>0</v>
      </c>
      <c r="AB976" s="9">
        <v>0</v>
      </c>
      <c r="AC976" s="9">
        <v>0</v>
      </c>
      <c r="AD976" s="53" t="e">
        <f>#REF!*D976</f>
        <v>#REF!</v>
      </c>
      <c r="AE976" s="53" t="e">
        <f>AD976-#REF!</f>
        <v>#REF!</v>
      </c>
      <c r="AF976" s="9"/>
      <c r="AG976" s="33" t="e">
        <f>#REF!-D976</f>
        <v>#REF!</v>
      </c>
      <c r="AH976" s="9"/>
      <c r="AI976" s="9"/>
      <c r="AJ976" s="9"/>
      <c r="AK976" s="9"/>
    </row>
    <row r="977" spans="1:37" s="12" customFormat="1" ht="20.399999999999999" outlineLevel="1" x14ac:dyDescent="0.2">
      <c r="A977" s="61" t="s">
        <v>1083</v>
      </c>
      <c r="B977" s="14" t="s">
        <v>442</v>
      </c>
      <c r="C977" s="9" t="s">
        <v>48</v>
      </c>
      <c r="D977" s="25">
        <f t="shared" si="230"/>
        <v>12</v>
      </c>
      <c r="E977" s="54"/>
      <c r="F977" s="78"/>
      <c r="G977" s="33">
        <v>0</v>
      </c>
      <c r="H977" s="33">
        <v>0</v>
      </c>
      <c r="I977" s="9">
        <v>12</v>
      </c>
      <c r="J977" s="9">
        <v>0</v>
      </c>
      <c r="K977" s="9">
        <v>0</v>
      </c>
      <c r="L977" s="9">
        <v>0</v>
      </c>
      <c r="M977" s="9">
        <v>0</v>
      </c>
      <c r="N977" s="9">
        <v>0</v>
      </c>
      <c r="O977" s="9">
        <v>0</v>
      </c>
      <c r="P977" s="9">
        <v>0</v>
      </c>
      <c r="Q977" s="9">
        <v>0</v>
      </c>
      <c r="R977" s="9">
        <v>0</v>
      </c>
      <c r="S977" s="9">
        <v>0</v>
      </c>
      <c r="T977" s="9">
        <v>0</v>
      </c>
      <c r="U977" s="33">
        <v>0</v>
      </c>
      <c r="V977" s="9">
        <v>0</v>
      </c>
      <c r="W977" s="9">
        <v>0</v>
      </c>
      <c r="X977" s="9">
        <v>0</v>
      </c>
      <c r="Y977" s="9">
        <v>0</v>
      </c>
      <c r="Z977" s="9">
        <v>0</v>
      </c>
      <c r="AA977" s="9">
        <v>0</v>
      </c>
      <c r="AB977" s="9">
        <v>0</v>
      </c>
      <c r="AC977" s="9">
        <v>0</v>
      </c>
      <c r="AD977" s="53" t="e">
        <f>#REF!*D977</f>
        <v>#REF!</v>
      </c>
      <c r="AE977" s="53" t="e">
        <f>AD977-#REF!</f>
        <v>#REF!</v>
      </c>
      <c r="AF977" s="9"/>
      <c r="AG977" s="33" t="e">
        <f>#REF!-D977</f>
        <v>#REF!</v>
      </c>
      <c r="AH977" s="9"/>
      <c r="AI977" s="9"/>
      <c r="AJ977" s="9"/>
      <c r="AK977" s="9"/>
    </row>
    <row r="978" spans="1:37" s="12" customFormat="1" ht="20.399999999999999" outlineLevel="1" x14ac:dyDescent="0.2">
      <c r="A978" s="61" t="s">
        <v>1084</v>
      </c>
      <c r="B978" s="14" t="s">
        <v>443</v>
      </c>
      <c r="C978" s="9" t="s">
        <v>47</v>
      </c>
      <c r="D978" s="25">
        <f t="shared" si="230"/>
        <v>1</v>
      </c>
      <c r="E978" s="54"/>
      <c r="F978" s="78"/>
      <c r="G978" s="33">
        <v>0</v>
      </c>
      <c r="H978" s="33">
        <v>0</v>
      </c>
      <c r="I978" s="9">
        <v>1</v>
      </c>
      <c r="J978" s="9">
        <v>0</v>
      </c>
      <c r="K978" s="9">
        <v>0</v>
      </c>
      <c r="L978" s="9">
        <v>0</v>
      </c>
      <c r="M978" s="9">
        <v>0</v>
      </c>
      <c r="N978" s="9">
        <v>0</v>
      </c>
      <c r="O978" s="9">
        <v>0</v>
      </c>
      <c r="P978" s="9">
        <v>0</v>
      </c>
      <c r="Q978" s="9">
        <v>0</v>
      </c>
      <c r="R978" s="9">
        <v>0</v>
      </c>
      <c r="S978" s="9">
        <v>0</v>
      </c>
      <c r="T978" s="9">
        <v>0</v>
      </c>
      <c r="U978" s="33">
        <v>0</v>
      </c>
      <c r="V978" s="9">
        <v>0</v>
      </c>
      <c r="W978" s="9">
        <v>0</v>
      </c>
      <c r="X978" s="9">
        <v>0</v>
      </c>
      <c r="Y978" s="9">
        <v>0</v>
      </c>
      <c r="Z978" s="9">
        <v>0</v>
      </c>
      <c r="AA978" s="9">
        <v>0</v>
      </c>
      <c r="AB978" s="9">
        <v>0</v>
      </c>
      <c r="AC978" s="9">
        <v>0</v>
      </c>
      <c r="AD978" s="53" t="e">
        <f>#REF!*D978</f>
        <v>#REF!</v>
      </c>
      <c r="AE978" s="53" t="e">
        <f>AD978-#REF!</f>
        <v>#REF!</v>
      </c>
      <c r="AF978" s="9"/>
      <c r="AG978" s="33" t="e">
        <f>#REF!-D978</f>
        <v>#REF!</v>
      </c>
      <c r="AH978" s="9"/>
      <c r="AI978" s="9"/>
      <c r="AJ978" s="9"/>
      <c r="AK978" s="9"/>
    </row>
    <row r="979" spans="1:37" s="12" customFormat="1" ht="20.399999999999999" outlineLevel="1" x14ac:dyDescent="0.2">
      <c r="A979" s="61" t="s">
        <v>1085</v>
      </c>
      <c r="B979" s="14" t="s">
        <v>478</v>
      </c>
      <c r="C979" s="9" t="s">
        <v>47</v>
      </c>
      <c r="D979" s="25">
        <f t="shared" si="230"/>
        <v>1</v>
      </c>
      <c r="E979" s="54"/>
      <c r="F979" s="78"/>
      <c r="G979" s="33">
        <v>0</v>
      </c>
      <c r="H979" s="33">
        <v>0</v>
      </c>
      <c r="I979" s="9">
        <v>1</v>
      </c>
      <c r="J979" s="9">
        <v>0</v>
      </c>
      <c r="K979" s="9">
        <v>0</v>
      </c>
      <c r="L979" s="9">
        <v>0</v>
      </c>
      <c r="M979" s="9">
        <v>0</v>
      </c>
      <c r="N979" s="9">
        <v>0</v>
      </c>
      <c r="O979" s="9">
        <v>0</v>
      </c>
      <c r="P979" s="9">
        <v>0</v>
      </c>
      <c r="Q979" s="9">
        <v>0</v>
      </c>
      <c r="R979" s="9">
        <v>0</v>
      </c>
      <c r="S979" s="9">
        <v>0</v>
      </c>
      <c r="T979" s="9">
        <v>0</v>
      </c>
      <c r="U979" s="33">
        <v>0</v>
      </c>
      <c r="V979" s="9">
        <v>0</v>
      </c>
      <c r="W979" s="9">
        <v>0</v>
      </c>
      <c r="X979" s="9">
        <v>0</v>
      </c>
      <c r="Y979" s="9">
        <v>0</v>
      </c>
      <c r="Z979" s="9">
        <v>0</v>
      </c>
      <c r="AA979" s="9">
        <v>0</v>
      </c>
      <c r="AB979" s="9">
        <v>0</v>
      </c>
      <c r="AC979" s="9">
        <v>0</v>
      </c>
      <c r="AD979" s="53" t="e">
        <f>#REF!*D979</f>
        <v>#REF!</v>
      </c>
      <c r="AE979" s="53" t="e">
        <f>AD979-#REF!</f>
        <v>#REF!</v>
      </c>
      <c r="AF979" s="9"/>
      <c r="AG979" s="33" t="e">
        <f>#REF!-D979</f>
        <v>#REF!</v>
      </c>
      <c r="AH979" s="9"/>
      <c r="AI979" s="9"/>
      <c r="AJ979" s="9"/>
      <c r="AK979" s="9"/>
    </row>
    <row r="980" spans="1:37" s="12" customFormat="1" ht="10.199999999999999" outlineLevel="1" x14ac:dyDescent="0.2">
      <c r="A980" s="61" t="s">
        <v>1086</v>
      </c>
      <c r="B980" s="14" t="s">
        <v>447</v>
      </c>
      <c r="C980" s="9" t="s">
        <v>47</v>
      </c>
      <c r="D980" s="25">
        <f t="shared" si="230"/>
        <v>2</v>
      </c>
      <c r="E980" s="54"/>
      <c r="F980" s="78"/>
      <c r="G980" s="33">
        <v>0</v>
      </c>
      <c r="H980" s="33">
        <v>0</v>
      </c>
      <c r="I980" s="9">
        <v>2</v>
      </c>
      <c r="J980" s="9">
        <v>0</v>
      </c>
      <c r="K980" s="9">
        <v>0</v>
      </c>
      <c r="L980" s="9">
        <v>0</v>
      </c>
      <c r="M980" s="9">
        <v>0</v>
      </c>
      <c r="N980" s="9">
        <v>0</v>
      </c>
      <c r="O980" s="9">
        <v>0</v>
      </c>
      <c r="P980" s="9">
        <v>0</v>
      </c>
      <c r="Q980" s="9">
        <v>0</v>
      </c>
      <c r="R980" s="9">
        <v>0</v>
      </c>
      <c r="S980" s="9">
        <v>0</v>
      </c>
      <c r="T980" s="9">
        <v>0</v>
      </c>
      <c r="U980" s="33">
        <v>0</v>
      </c>
      <c r="V980" s="9">
        <v>0</v>
      </c>
      <c r="W980" s="9">
        <v>0</v>
      </c>
      <c r="X980" s="9">
        <v>0</v>
      </c>
      <c r="Y980" s="9">
        <v>0</v>
      </c>
      <c r="Z980" s="9">
        <v>0</v>
      </c>
      <c r="AA980" s="9">
        <v>0</v>
      </c>
      <c r="AB980" s="9">
        <v>0</v>
      </c>
      <c r="AC980" s="9">
        <v>0</v>
      </c>
      <c r="AD980" s="53" t="e">
        <f>#REF!*D980</f>
        <v>#REF!</v>
      </c>
      <c r="AE980" s="53" t="e">
        <f>AD980-#REF!</f>
        <v>#REF!</v>
      </c>
      <c r="AF980" s="9"/>
      <c r="AG980" s="33" t="e">
        <f>#REF!-D980</f>
        <v>#REF!</v>
      </c>
      <c r="AH980" s="9"/>
      <c r="AI980" s="9"/>
      <c r="AJ980" s="9"/>
      <c r="AK980" s="9"/>
    </row>
    <row r="981" spans="1:37" s="12" customFormat="1" ht="20.399999999999999" outlineLevel="1" x14ac:dyDescent="0.2">
      <c r="A981" s="61" t="s">
        <v>1087</v>
      </c>
      <c r="B981" s="14" t="s">
        <v>444</v>
      </c>
      <c r="C981" s="9" t="s">
        <v>47</v>
      </c>
      <c r="D981" s="25">
        <f t="shared" si="230"/>
        <v>2</v>
      </c>
      <c r="E981" s="54"/>
      <c r="F981" s="78"/>
      <c r="G981" s="33">
        <v>0</v>
      </c>
      <c r="H981" s="33">
        <v>0</v>
      </c>
      <c r="I981" s="9">
        <v>2</v>
      </c>
      <c r="J981" s="9">
        <v>0</v>
      </c>
      <c r="K981" s="9">
        <v>0</v>
      </c>
      <c r="L981" s="9">
        <v>0</v>
      </c>
      <c r="M981" s="9">
        <v>0</v>
      </c>
      <c r="N981" s="9">
        <v>0</v>
      </c>
      <c r="O981" s="9">
        <v>0</v>
      </c>
      <c r="P981" s="9">
        <v>0</v>
      </c>
      <c r="Q981" s="9">
        <v>0</v>
      </c>
      <c r="R981" s="9">
        <v>0</v>
      </c>
      <c r="S981" s="9">
        <v>0</v>
      </c>
      <c r="T981" s="9">
        <v>0</v>
      </c>
      <c r="U981" s="33">
        <v>0</v>
      </c>
      <c r="V981" s="9">
        <v>0</v>
      </c>
      <c r="W981" s="9">
        <v>0</v>
      </c>
      <c r="X981" s="9">
        <v>0</v>
      </c>
      <c r="Y981" s="9">
        <v>0</v>
      </c>
      <c r="Z981" s="9">
        <v>0</v>
      </c>
      <c r="AA981" s="9">
        <v>0</v>
      </c>
      <c r="AB981" s="9">
        <v>0</v>
      </c>
      <c r="AC981" s="9">
        <v>0</v>
      </c>
      <c r="AD981" s="53" t="e">
        <f>#REF!*D981</f>
        <v>#REF!</v>
      </c>
      <c r="AE981" s="53" t="e">
        <f>AD981-#REF!</f>
        <v>#REF!</v>
      </c>
      <c r="AF981" s="9"/>
      <c r="AG981" s="33" t="e">
        <f>#REF!-D981</f>
        <v>#REF!</v>
      </c>
      <c r="AH981" s="9"/>
      <c r="AI981" s="9"/>
      <c r="AJ981" s="9"/>
      <c r="AK981" s="9"/>
    </row>
    <row r="982" spans="1:37" s="12" customFormat="1" ht="20.399999999999999" outlineLevel="1" x14ac:dyDescent="0.2">
      <c r="A982" s="61" t="s">
        <v>1088</v>
      </c>
      <c r="B982" s="14" t="s">
        <v>2478</v>
      </c>
      <c r="C982" s="9" t="s">
        <v>47</v>
      </c>
      <c r="D982" s="25">
        <f t="shared" si="230"/>
        <v>1020</v>
      </c>
      <c r="E982" s="54"/>
      <c r="F982" s="78"/>
      <c r="G982" s="33">
        <v>0</v>
      </c>
      <c r="H982" s="33">
        <v>0</v>
      </c>
      <c r="I982" s="9">
        <v>0</v>
      </c>
      <c r="J982" s="9">
        <v>0</v>
      </c>
      <c r="K982" s="9">
        <v>0</v>
      </c>
      <c r="L982" s="9">
        <v>145</v>
      </c>
      <c r="M982" s="9">
        <v>125</v>
      </c>
      <c r="N982" s="9">
        <v>125</v>
      </c>
      <c r="O982" s="9">
        <v>120</v>
      </c>
      <c r="P982" s="9">
        <v>75</v>
      </c>
      <c r="Q982" s="9">
        <v>30</v>
      </c>
      <c r="R982" s="9">
        <v>0</v>
      </c>
      <c r="S982" s="9">
        <v>0</v>
      </c>
      <c r="T982" s="9">
        <v>0</v>
      </c>
      <c r="U982" s="33">
        <v>0</v>
      </c>
      <c r="V982" s="9">
        <v>0</v>
      </c>
      <c r="W982" s="9">
        <v>0</v>
      </c>
      <c r="X982" s="9">
        <v>115</v>
      </c>
      <c r="Y982" s="9">
        <v>115</v>
      </c>
      <c r="Z982" s="9">
        <v>55</v>
      </c>
      <c r="AA982" s="9">
        <v>115</v>
      </c>
      <c r="AB982" s="9">
        <v>0</v>
      </c>
      <c r="AC982" s="9">
        <v>0</v>
      </c>
      <c r="AD982" s="53" t="e">
        <f>#REF!*D982</f>
        <v>#REF!</v>
      </c>
      <c r="AE982" s="53" t="e">
        <f>AD982-#REF!</f>
        <v>#REF!</v>
      </c>
      <c r="AF982" s="9"/>
      <c r="AG982" s="33" t="e">
        <f>#REF!-D982</f>
        <v>#REF!</v>
      </c>
      <c r="AH982" s="9"/>
      <c r="AI982" s="9"/>
      <c r="AJ982" s="9"/>
      <c r="AK982" s="9"/>
    </row>
    <row r="983" spans="1:37" s="12" customFormat="1" ht="20.399999999999999" outlineLevel="1" x14ac:dyDescent="0.2">
      <c r="A983" s="61" t="s">
        <v>1089</v>
      </c>
      <c r="B983" s="14" t="s">
        <v>69</v>
      </c>
      <c r="C983" s="9" t="s">
        <v>47</v>
      </c>
      <c r="D983" s="25">
        <f t="shared" si="230"/>
        <v>1020</v>
      </c>
      <c r="E983" s="54"/>
      <c r="F983" s="78"/>
      <c r="G983" s="88">
        <f t="shared" ref="G983:P984" si="239">G982</f>
        <v>0</v>
      </c>
      <c r="H983" s="88">
        <f t="shared" si="239"/>
        <v>0</v>
      </c>
      <c r="I983" s="88">
        <f t="shared" si="239"/>
        <v>0</v>
      </c>
      <c r="J983" s="88">
        <f t="shared" si="239"/>
        <v>0</v>
      </c>
      <c r="K983" s="88">
        <f t="shared" si="239"/>
        <v>0</v>
      </c>
      <c r="L983" s="88">
        <f t="shared" si="239"/>
        <v>145</v>
      </c>
      <c r="M983" s="88">
        <f t="shared" si="239"/>
        <v>125</v>
      </c>
      <c r="N983" s="88">
        <f t="shared" si="239"/>
        <v>125</v>
      </c>
      <c r="O983" s="88">
        <f t="shared" si="239"/>
        <v>120</v>
      </c>
      <c r="P983" s="88">
        <f t="shared" si="239"/>
        <v>75</v>
      </c>
      <c r="Q983" s="88">
        <f t="shared" ref="Q983:Z984" si="240">Q982</f>
        <v>30</v>
      </c>
      <c r="R983" s="88">
        <f t="shared" si="240"/>
        <v>0</v>
      </c>
      <c r="S983" s="88">
        <f t="shared" si="240"/>
        <v>0</v>
      </c>
      <c r="T983" s="88">
        <f t="shared" si="240"/>
        <v>0</v>
      </c>
      <c r="U983" s="88">
        <f t="shared" si="240"/>
        <v>0</v>
      </c>
      <c r="V983" s="88">
        <f t="shared" si="240"/>
        <v>0</v>
      </c>
      <c r="W983" s="88">
        <f t="shared" si="240"/>
        <v>0</v>
      </c>
      <c r="X983" s="88">
        <f t="shared" si="240"/>
        <v>115</v>
      </c>
      <c r="Y983" s="88">
        <f t="shared" si="240"/>
        <v>115</v>
      </c>
      <c r="Z983" s="88">
        <f t="shared" si="240"/>
        <v>55</v>
      </c>
      <c r="AA983" s="88">
        <f t="shared" ref="AA983:AC984" si="241">AA982</f>
        <v>115</v>
      </c>
      <c r="AB983" s="88">
        <f t="shared" si="241"/>
        <v>0</v>
      </c>
      <c r="AC983" s="88">
        <f t="shared" si="241"/>
        <v>0</v>
      </c>
      <c r="AD983" s="53" t="e">
        <f>#REF!*D983</f>
        <v>#REF!</v>
      </c>
      <c r="AE983" s="53" t="e">
        <f>AD983-#REF!</f>
        <v>#REF!</v>
      </c>
      <c r="AF983" s="9"/>
      <c r="AG983" s="33" t="e">
        <f>#REF!-D983</f>
        <v>#REF!</v>
      </c>
      <c r="AH983" s="9"/>
      <c r="AI983" s="9"/>
      <c r="AJ983" s="9"/>
      <c r="AK983" s="9"/>
    </row>
    <row r="984" spans="1:37" s="12" customFormat="1" ht="20.399999999999999" outlineLevel="1" x14ac:dyDescent="0.2">
      <c r="A984" s="61" t="s">
        <v>1100</v>
      </c>
      <c r="B984" s="14" t="s">
        <v>1032</v>
      </c>
      <c r="C984" s="9" t="s">
        <v>47</v>
      </c>
      <c r="D984" s="25">
        <f t="shared" si="230"/>
        <v>1020</v>
      </c>
      <c r="E984" s="54"/>
      <c r="F984" s="78"/>
      <c r="G984" s="88">
        <f t="shared" si="239"/>
        <v>0</v>
      </c>
      <c r="H984" s="88">
        <f t="shared" si="239"/>
        <v>0</v>
      </c>
      <c r="I984" s="88">
        <f t="shared" si="239"/>
        <v>0</v>
      </c>
      <c r="J984" s="88">
        <f t="shared" si="239"/>
        <v>0</v>
      </c>
      <c r="K984" s="88">
        <f t="shared" si="239"/>
        <v>0</v>
      </c>
      <c r="L984" s="88">
        <f t="shared" si="239"/>
        <v>145</v>
      </c>
      <c r="M984" s="88">
        <f t="shared" si="239"/>
        <v>125</v>
      </c>
      <c r="N984" s="88">
        <f t="shared" si="239"/>
        <v>125</v>
      </c>
      <c r="O984" s="88">
        <f t="shared" si="239"/>
        <v>120</v>
      </c>
      <c r="P984" s="88">
        <f t="shared" si="239"/>
        <v>75</v>
      </c>
      <c r="Q984" s="88">
        <f t="shared" si="240"/>
        <v>30</v>
      </c>
      <c r="R984" s="88">
        <f t="shared" si="240"/>
        <v>0</v>
      </c>
      <c r="S984" s="88">
        <f t="shared" si="240"/>
        <v>0</v>
      </c>
      <c r="T984" s="88">
        <f t="shared" si="240"/>
        <v>0</v>
      </c>
      <c r="U984" s="88">
        <f t="shared" si="240"/>
        <v>0</v>
      </c>
      <c r="V984" s="88">
        <f t="shared" si="240"/>
        <v>0</v>
      </c>
      <c r="W984" s="88">
        <f t="shared" si="240"/>
        <v>0</v>
      </c>
      <c r="X984" s="88">
        <f t="shared" si="240"/>
        <v>115</v>
      </c>
      <c r="Y984" s="88">
        <f t="shared" si="240"/>
        <v>115</v>
      </c>
      <c r="Z984" s="88">
        <f t="shared" si="240"/>
        <v>55</v>
      </c>
      <c r="AA984" s="88">
        <f t="shared" si="241"/>
        <v>115</v>
      </c>
      <c r="AB984" s="88">
        <f t="shared" si="241"/>
        <v>0</v>
      </c>
      <c r="AC984" s="88">
        <f t="shared" si="241"/>
        <v>0</v>
      </c>
      <c r="AD984" s="53" t="e">
        <f>#REF!*D984</f>
        <v>#REF!</v>
      </c>
      <c r="AE984" s="53" t="e">
        <f>AD984-#REF!</f>
        <v>#REF!</v>
      </c>
      <c r="AF984" s="9"/>
      <c r="AG984" s="33" t="e">
        <f>#REF!-D984</f>
        <v>#REF!</v>
      </c>
      <c r="AH984" s="9"/>
      <c r="AI984" s="9"/>
      <c r="AJ984" s="9"/>
      <c r="AK984" s="9"/>
    </row>
    <row r="985" spans="1:37" s="12" customFormat="1" ht="10.199999999999999" outlineLevel="1" x14ac:dyDescent="0.2">
      <c r="A985" s="61" t="s">
        <v>1101</v>
      </c>
      <c r="B985" s="11" t="s">
        <v>56</v>
      </c>
      <c r="C985" s="9" t="s">
        <v>57</v>
      </c>
      <c r="D985" s="25">
        <f t="shared" si="230"/>
        <v>0</v>
      </c>
      <c r="E985" s="54"/>
      <c r="F985" s="9"/>
      <c r="G985" s="49">
        <f t="shared" ref="G985:AC985" si="242">MROUND(G963*3/100,1)</f>
        <v>0</v>
      </c>
      <c r="H985" s="49">
        <f t="shared" si="242"/>
        <v>0</v>
      </c>
      <c r="I985" s="49">
        <f t="shared" si="242"/>
        <v>0</v>
      </c>
      <c r="J985" s="49">
        <f t="shared" si="242"/>
        <v>0</v>
      </c>
      <c r="K985" s="49">
        <f t="shared" si="242"/>
        <v>0</v>
      </c>
      <c r="L985" s="49">
        <f t="shared" si="242"/>
        <v>0</v>
      </c>
      <c r="M985" s="49">
        <f t="shared" si="242"/>
        <v>0</v>
      </c>
      <c r="N985" s="49">
        <f t="shared" si="242"/>
        <v>0</v>
      </c>
      <c r="O985" s="49">
        <f t="shared" si="242"/>
        <v>0</v>
      </c>
      <c r="P985" s="49">
        <f t="shared" si="242"/>
        <v>0</v>
      </c>
      <c r="Q985" s="49">
        <f t="shared" si="242"/>
        <v>0</v>
      </c>
      <c r="R985" s="49">
        <f t="shared" si="242"/>
        <v>0</v>
      </c>
      <c r="S985" s="49">
        <f t="shared" si="242"/>
        <v>0</v>
      </c>
      <c r="T985" s="49">
        <f t="shared" si="242"/>
        <v>0</v>
      </c>
      <c r="U985" s="49">
        <f t="shared" si="242"/>
        <v>0</v>
      </c>
      <c r="V985" s="49">
        <f t="shared" si="242"/>
        <v>0</v>
      </c>
      <c r="W985" s="49">
        <f t="shared" si="242"/>
        <v>0</v>
      </c>
      <c r="X985" s="49">
        <f t="shared" si="242"/>
        <v>0</v>
      </c>
      <c r="Y985" s="49">
        <f t="shared" si="242"/>
        <v>0</v>
      </c>
      <c r="Z985" s="49">
        <f t="shared" si="242"/>
        <v>0</v>
      </c>
      <c r="AA985" s="49">
        <f t="shared" si="242"/>
        <v>0</v>
      </c>
      <c r="AB985" s="49">
        <f t="shared" si="242"/>
        <v>0</v>
      </c>
      <c r="AC985" s="49">
        <f t="shared" si="242"/>
        <v>0</v>
      </c>
      <c r="AD985" s="53" t="e">
        <f>#REF!*D985</f>
        <v>#REF!</v>
      </c>
      <c r="AE985" s="53" t="e">
        <f>AD985-#REF!</f>
        <v>#REF!</v>
      </c>
      <c r="AF985" s="9"/>
      <c r="AG985" s="33" t="e">
        <f>#REF!-D985</f>
        <v>#REF!</v>
      </c>
    </row>
    <row r="986" spans="1:37" s="12" customFormat="1" ht="20.399999999999999" outlineLevel="1" x14ac:dyDescent="0.2">
      <c r="A986" s="61" t="s">
        <v>1102</v>
      </c>
      <c r="B986" s="14" t="s">
        <v>70</v>
      </c>
      <c r="C986" s="9" t="s">
        <v>47</v>
      </c>
      <c r="D986" s="25">
        <f t="shared" si="230"/>
        <v>509</v>
      </c>
      <c r="E986" s="54"/>
      <c r="F986" s="78"/>
      <c r="G986" s="88">
        <f t="shared" ref="G986:AC986" si="243">G998+G1000+G1004+G999+G1001</f>
        <v>0</v>
      </c>
      <c r="H986" s="88">
        <f t="shared" si="243"/>
        <v>0</v>
      </c>
      <c r="I986" s="88">
        <f t="shared" si="243"/>
        <v>22</v>
      </c>
      <c r="J986" s="88">
        <f t="shared" si="243"/>
        <v>0</v>
      </c>
      <c r="K986" s="88">
        <f t="shared" si="243"/>
        <v>0</v>
      </c>
      <c r="L986" s="88">
        <f t="shared" si="243"/>
        <v>62</v>
      </c>
      <c r="M986" s="88">
        <f t="shared" si="243"/>
        <v>60</v>
      </c>
      <c r="N986" s="88">
        <f t="shared" si="243"/>
        <v>60</v>
      </c>
      <c r="O986" s="88">
        <f t="shared" si="243"/>
        <v>54</v>
      </c>
      <c r="P986" s="88">
        <f t="shared" si="243"/>
        <v>54</v>
      </c>
      <c r="Q986" s="88">
        <f t="shared" si="243"/>
        <v>20</v>
      </c>
      <c r="R986" s="88">
        <f t="shared" si="243"/>
        <v>0</v>
      </c>
      <c r="S986" s="88">
        <f t="shared" si="243"/>
        <v>0</v>
      </c>
      <c r="T986" s="88">
        <f t="shared" si="243"/>
        <v>0</v>
      </c>
      <c r="U986" s="88">
        <f t="shared" si="243"/>
        <v>0</v>
      </c>
      <c r="V986" s="88">
        <f t="shared" si="243"/>
        <v>0</v>
      </c>
      <c r="W986" s="88">
        <f t="shared" si="243"/>
        <v>0</v>
      </c>
      <c r="X986" s="88">
        <f t="shared" si="243"/>
        <v>52</v>
      </c>
      <c r="Y986" s="88">
        <f t="shared" si="243"/>
        <v>43</v>
      </c>
      <c r="Z986" s="88">
        <f t="shared" si="243"/>
        <v>30</v>
      </c>
      <c r="AA986" s="88">
        <f t="shared" si="243"/>
        <v>52</v>
      </c>
      <c r="AB986" s="88">
        <f t="shared" si="243"/>
        <v>0</v>
      </c>
      <c r="AC986" s="88">
        <f t="shared" si="243"/>
        <v>0</v>
      </c>
      <c r="AD986" s="53" t="e">
        <f>#REF!*D986</f>
        <v>#REF!</v>
      </c>
      <c r="AE986" s="53" t="e">
        <f>AD986-#REF!</f>
        <v>#REF!</v>
      </c>
      <c r="AF986" s="9"/>
      <c r="AG986" s="33" t="e">
        <f>#REF!-D986</f>
        <v>#REF!</v>
      </c>
      <c r="AH986" s="9"/>
      <c r="AI986" s="9"/>
      <c r="AJ986" s="9"/>
      <c r="AK986" s="9"/>
    </row>
    <row r="987" spans="1:37" s="17" customFormat="1" ht="22.5" customHeight="1" outlineLevel="1" x14ac:dyDescent="0.2">
      <c r="A987" s="61" t="s">
        <v>3152</v>
      </c>
      <c r="B987" s="14" t="s">
        <v>71</v>
      </c>
      <c r="C987" s="8" t="s">
        <v>47</v>
      </c>
      <c r="D987" s="25">
        <f t="shared" si="230"/>
        <v>11</v>
      </c>
      <c r="E987" s="54"/>
      <c r="F987" s="9"/>
      <c r="G987" s="33">
        <v>0</v>
      </c>
      <c r="H987" s="33">
        <v>0</v>
      </c>
      <c r="I987" s="33">
        <v>3</v>
      </c>
      <c r="J987" s="33">
        <v>0</v>
      </c>
      <c r="K987" s="33">
        <v>0</v>
      </c>
      <c r="L987" s="33">
        <v>0</v>
      </c>
      <c r="M987" s="33">
        <v>0</v>
      </c>
      <c r="N987" s="33">
        <v>0</v>
      </c>
      <c r="O987" s="33">
        <v>0</v>
      </c>
      <c r="P987" s="33">
        <v>0</v>
      </c>
      <c r="Q987" s="33">
        <v>0</v>
      </c>
      <c r="R987" s="33">
        <v>0</v>
      </c>
      <c r="S987" s="33">
        <v>0</v>
      </c>
      <c r="T987" s="33">
        <v>0</v>
      </c>
      <c r="U987" s="33">
        <v>0</v>
      </c>
      <c r="V987" s="33">
        <v>0</v>
      </c>
      <c r="W987" s="33">
        <v>0</v>
      </c>
      <c r="X987" s="33">
        <v>2</v>
      </c>
      <c r="Y987" s="33">
        <v>2</v>
      </c>
      <c r="Z987" s="33">
        <v>2</v>
      </c>
      <c r="AA987" s="33">
        <v>2</v>
      </c>
      <c r="AB987" s="33">
        <v>0</v>
      </c>
      <c r="AC987" s="33">
        <v>0</v>
      </c>
      <c r="AD987" s="53" t="e">
        <f>#REF!*D987</f>
        <v>#REF!</v>
      </c>
      <c r="AE987" s="53" t="e">
        <f>AD987-#REF!</f>
        <v>#REF!</v>
      </c>
      <c r="AF987" s="8"/>
      <c r="AG987" s="33" t="e">
        <f>#REF!-D987</f>
        <v>#REF!</v>
      </c>
      <c r="AH987" s="8"/>
      <c r="AI987" s="8"/>
      <c r="AJ987" s="8"/>
      <c r="AK987" s="8"/>
    </row>
    <row r="988" spans="1:37" s="17" customFormat="1" ht="30.6" outlineLevel="1" x14ac:dyDescent="0.2">
      <c r="A988" s="61" t="s">
        <v>3153</v>
      </c>
      <c r="B988" s="14" t="s">
        <v>218</v>
      </c>
      <c r="C988" s="8" t="s">
        <v>47</v>
      </c>
      <c r="D988" s="25">
        <f t="shared" si="230"/>
        <v>423</v>
      </c>
      <c r="E988" s="54"/>
      <c r="F988" s="78"/>
      <c r="G988" s="33">
        <v>0</v>
      </c>
      <c r="H988" s="33">
        <v>0</v>
      </c>
      <c r="I988" s="9">
        <v>2</v>
      </c>
      <c r="J988" s="9">
        <v>0</v>
      </c>
      <c r="K988" s="9">
        <v>0</v>
      </c>
      <c r="L988" s="9">
        <v>48</v>
      </c>
      <c r="M988" s="9">
        <v>38</v>
      </c>
      <c r="N988" s="9">
        <v>38</v>
      </c>
      <c r="O988" s="9">
        <v>43</v>
      </c>
      <c r="P988" s="9">
        <v>70</v>
      </c>
      <c r="Q988" s="9">
        <v>4</v>
      </c>
      <c r="R988" s="9">
        <v>0</v>
      </c>
      <c r="S988" s="9">
        <v>0</v>
      </c>
      <c r="T988" s="9">
        <v>0</v>
      </c>
      <c r="U988" s="33">
        <v>0</v>
      </c>
      <c r="V988" s="9">
        <v>0</v>
      </c>
      <c r="W988" s="9">
        <v>0</v>
      </c>
      <c r="X988" s="9">
        <v>54</v>
      </c>
      <c r="Y988" s="9">
        <v>44</v>
      </c>
      <c r="Z988" s="9">
        <v>28</v>
      </c>
      <c r="AA988" s="9">
        <v>54</v>
      </c>
      <c r="AB988" s="9">
        <v>0</v>
      </c>
      <c r="AC988" s="9">
        <v>0</v>
      </c>
      <c r="AD988" s="53" t="e">
        <f>#REF!*D988</f>
        <v>#REF!</v>
      </c>
      <c r="AE988" s="53" t="e">
        <f>AD988-#REF!</f>
        <v>#REF!</v>
      </c>
      <c r="AF988" s="8"/>
      <c r="AG988" s="33" t="e">
        <f>#REF!-D988</f>
        <v>#REF!</v>
      </c>
      <c r="AH988" s="8"/>
      <c r="AI988" s="8"/>
      <c r="AJ988" s="8"/>
      <c r="AK988" s="8"/>
    </row>
    <row r="989" spans="1:37" s="17" customFormat="1" ht="25.5" customHeight="1" outlineLevel="1" x14ac:dyDescent="0.2">
      <c r="A989" s="61" t="s">
        <v>3154</v>
      </c>
      <c r="B989" s="47" t="s">
        <v>219</v>
      </c>
      <c r="C989" s="8" t="s">
        <v>47</v>
      </c>
      <c r="D989" s="25">
        <f t="shared" si="230"/>
        <v>1269</v>
      </c>
      <c r="E989" s="54"/>
      <c r="F989" s="78"/>
      <c r="G989" s="33">
        <v>0</v>
      </c>
      <c r="H989" s="88">
        <f t="shared" ref="H989:AC989" si="244">H988*3</f>
        <v>0</v>
      </c>
      <c r="I989" s="88">
        <f t="shared" si="244"/>
        <v>6</v>
      </c>
      <c r="J989" s="88">
        <f t="shared" si="244"/>
        <v>0</v>
      </c>
      <c r="K989" s="88">
        <f t="shared" si="244"/>
        <v>0</v>
      </c>
      <c r="L989" s="88">
        <f t="shared" si="244"/>
        <v>144</v>
      </c>
      <c r="M989" s="88">
        <f t="shared" si="244"/>
        <v>114</v>
      </c>
      <c r="N989" s="88">
        <f t="shared" si="244"/>
        <v>114</v>
      </c>
      <c r="O989" s="88">
        <f t="shared" si="244"/>
        <v>129</v>
      </c>
      <c r="P989" s="88">
        <f t="shared" si="244"/>
        <v>210</v>
      </c>
      <c r="Q989" s="88">
        <f t="shared" si="244"/>
        <v>12</v>
      </c>
      <c r="R989" s="88">
        <f t="shared" si="244"/>
        <v>0</v>
      </c>
      <c r="S989" s="88">
        <f t="shared" si="244"/>
        <v>0</v>
      </c>
      <c r="T989" s="88">
        <f t="shared" si="244"/>
        <v>0</v>
      </c>
      <c r="U989" s="88">
        <f t="shared" si="244"/>
        <v>0</v>
      </c>
      <c r="V989" s="88">
        <f t="shared" si="244"/>
        <v>0</v>
      </c>
      <c r="W989" s="88">
        <f t="shared" si="244"/>
        <v>0</v>
      </c>
      <c r="X989" s="88">
        <f t="shared" si="244"/>
        <v>162</v>
      </c>
      <c r="Y989" s="88">
        <f t="shared" si="244"/>
        <v>132</v>
      </c>
      <c r="Z989" s="88">
        <f t="shared" si="244"/>
        <v>84</v>
      </c>
      <c r="AA989" s="88">
        <f t="shared" si="244"/>
        <v>162</v>
      </c>
      <c r="AB989" s="88">
        <f t="shared" si="244"/>
        <v>0</v>
      </c>
      <c r="AC989" s="88">
        <f t="shared" si="244"/>
        <v>0</v>
      </c>
      <c r="AD989" s="53" t="e">
        <f>#REF!*D989</f>
        <v>#REF!</v>
      </c>
      <c r="AE989" s="53" t="e">
        <f>AD989-#REF!</f>
        <v>#REF!</v>
      </c>
      <c r="AF989" s="8"/>
      <c r="AG989" s="33" t="e">
        <f>#REF!-D989</f>
        <v>#REF!</v>
      </c>
      <c r="AH989" s="8"/>
      <c r="AI989" s="8"/>
      <c r="AJ989" s="8"/>
      <c r="AK989" s="8"/>
    </row>
    <row r="990" spans="1:37" s="12" customFormat="1" ht="23.25" customHeight="1" outlineLevel="1" x14ac:dyDescent="0.2">
      <c r="A990" s="61" t="s">
        <v>3155</v>
      </c>
      <c r="B990" s="47" t="s">
        <v>3589</v>
      </c>
      <c r="C990" s="9" t="s">
        <v>48</v>
      </c>
      <c r="D990" s="25">
        <f t="shared" si="230"/>
        <v>6230</v>
      </c>
      <c r="E990" s="54"/>
      <c r="F990" s="9"/>
      <c r="G990" s="9">
        <v>0</v>
      </c>
      <c r="H990" s="9">
        <v>0</v>
      </c>
      <c r="I990" s="9">
        <v>290</v>
      </c>
      <c r="J990" s="9">
        <f>0</f>
        <v>0</v>
      </c>
      <c r="K990" s="9">
        <v>0</v>
      </c>
      <c r="L990" s="9">
        <v>925</v>
      </c>
      <c r="M990" s="9">
        <v>780</v>
      </c>
      <c r="N990" s="9">
        <v>780</v>
      </c>
      <c r="O990" s="9">
        <v>740</v>
      </c>
      <c r="P990" s="9">
        <v>490</v>
      </c>
      <c r="Q990" s="9">
        <v>190</v>
      </c>
      <c r="R990" s="9">
        <v>0</v>
      </c>
      <c r="S990" s="9">
        <v>0</v>
      </c>
      <c r="T990" s="9">
        <v>0</v>
      </c>
      <c r="U990" s="9">
        <v>0</v>
      </c>
      <c r="V990" s="9">
        <v>0</v>
      </c>
      <c r="W990" s="9">
        <f>0</f>
        <v>0</v>
      </c>
      <c r="X990" s="9">
        <v>610</v>
      </c>
      <c r="Y990" s="9">
        <v>455</v>
      </c>
      <c r="Z990" s="9">
        <v>360</v>
      </c>
      <c r="AA990" s="9">
        <v>610</v>
      </c>
      <c r="AB990" s="9">
        <v>0</v>
      </c>
      <c r="AC990" s="9">
        <v>0</v>
      </c>
      <c r="AD990" s="53" t="e">
        <f>#REF!*D990</f>
        <v>#REF!</v>
      </c>
      <c r="AE990" s="53" t="e">
        <f>AD990-#REF!</f>
        <v>#REF!</v>
      </c>
      <c r="AF990" s="9"/>
      <c r="AG990" s="33" t="e">
        <f>#REF!-D990</f>
        <v>#REF!</v>
      </c>
    </row>
    <row r="991" spans="1:37" s="17" customFormat="1" ht="20.399999999999999" outlineLevel="1" x14ac:dyDescent="0.2">
      <c r="A991" s="61" t="s">
        <v>3156</v>
      </c>
      <c r="B991" s="63" t="s">
        <v>1138</v>
      </c>
      <c r="C991" s="8"/>
      <c r="D991" s="25"/>
      <c r="E991" s="54"/>
      <c r="F991" s="9"/>
      <c r="G991" s="33"/>
      <c r="H991" s="33"/>
      <c r="I991" s="9"/>
      <c r="J991" s="9"/>
      <c r="K991" s="9"/>
      <c r="L991" s="9"/>
      <c r="M991" s="9"/>
      <c r="N991" s="9"/>
      <c r="O991" s="9"/>
      <c r="P991" s="9"/>
      <c r="Q991" s="9"/>
      <c r="R991" s="9"/>
      <c r="S991" s="9"/>
      <c r="T991" s="9"/>
      <c r="U991" s="33"/>
      <c r="V991" s="9"/>
      <c r="W991" s="9"/>
      <c r="X991" s="9"/>
      <c r="Y991" s="9"/>
      <c r="Z991" s="9"/>
      <c r="AA991" s="9"/>
      <c r="AB991" s="9"/>
      <c r="AC991" s="9"/>
      <c r="AD991" s="53" t="e">
        <f>#REF!*D991</f>
        <v>#REF!</v>
      </c>
      <c r="AE991" s="53" t="e">
        <f>AD991-#REF!</f>
        <v>#REF!</v>
      </c>
      <c r="AF991" s="8"/>
      <c r="AG991" s="33" t="e">
        <f>#REF!-D991</f>
        <v>#REF!</v>
      </c>
      <c r="AH991" s="8"/>
      <c r="AI991" s="8"/>
      <c r="AJ991" s="8"/>
      <c r="AK991" s="8"/>
    </row>
    <row r="992" spans="1:37" outlineLevel="1" x14ac:dyDescent="0.25">
      <c r="E992" s="54"/>
      <c r="G992" s="9"/>
      <c r="AD992" s="53" t="e">
        <f>#REF!*D992</f>
        <v>#REF!</v>
      </c>
      <c r="AE992" s="53" t="e">
        <f>AD992-#REF!</f>
        <v>#REF!</v>
      </c>
      <c r="AG992" s="33" t="e">
        <f>#REF!-D992</f>
        <v>#REF!</v>
      </c>
    </row>
    <row r="993" spans="1:37" x14ac:dyDescent="0.25">
      <c r="A993" s="18" t="s">
        <v>502</v>
      </c>
      <c r="B993" s="35" t="s">
        <v>1090</v>
      </c>
      <c r="C993" s="18" t="s">
        <v>41</v>
      </c>
      <c r="D993" s="52" t="e">
        <f>#REF!/#REF!*100</f>
        <v>#REF!</v>
      </c>
      <c r="G993" s="9"/>
      <c r="AD993" s="53" t="e">
        <f>#REF!*D993</f>
        <v>#REF!</v>
      </c>
      <c r="AE993" s="53" t="e">
        <f>AD993-#REF!</f>
        <v>#REF!</v>
      </c>
      <c r="AG993" s="33" t="e">
        <f>#REF!-D993</f>
        <v>#REF!</v>
      </c>
    </row>
    <row r="994" spans="1:37" s="12" customFormat="1" ht="26.25" customHeight="1" outlineLevel="1" x14ac:dyDescent="0.2">
      <c r="A994" s="61" t="s">
        <v>1093</v>
      </c>
      <c r="B994" s="47" t="s">
        <v>3513</v>
      </c>
      <c r="C994" s="8" t="s">
        <v>47</v>
      </c>
      <c r="D994" s="25">
        <f t="shared" ref="D994:D1005" si="245">SUM(G994:AC994)</f>
        <v>3</v>
      </c>
      <c r="E994" s="54"/>
      <c r="F994" s="9"/>
      <c r="G994" s="9">
        <v>0</v>
      </c>
      <c r="H994" s="9">
        <v>0</v>
      </c>
      <c r="I994" s="9">
        <v>2</v>
      </c>
      <c r="J994" s="9">
        <v>0</v>
      </c>
      <c r="K994" s="9">
        <v>0</v>
      </c>
      <c r="L994" s="9">
        <v>0</v>
      </c>
      <c r="M994" s="9">
        <v>0</v>
      </c>
      <c r="N994" s="9">
        <v>0</v>
      </c>
      <c r="O994" s="9">
        <v>0</v>
      </c>
      <c r="P994" s="9">
        <v>0</v>
      </c>
      <c r="Q994" s="9">
        <v>1</v>
      </c>
      <c r="R994" s="9">
        <v>0</v>
      </c>
      <c r="S994" s="9">
        <v>0</v>
      </c>
      <c r="T994" s="9">
        <v>0</v>
      </c>
      <c r="U994" s="9">
        <v>0</v>
      </c>
      <c r="V994" s="9">
        <v>0</v>
      </c>
      <c r="W994" s="9">
        <v>0</v>
      </c>
      <c r="X994" s="9">
        <v>0</v>
      </c>
      <c r="Y994" s="9">
        <v>0</v>
      </c>
      <c r="Z994" s="9">
        <v>0</v>
      </c>
      <c r="AA994" s="9">
        <v>0</v>
      </c>
      <c r="AB994" s="9">
        <v>0</v>
      </c>
      <c r="AC994" s="9">
        <v>0</v>
      </c>
      <c r="AD994" s="53" t="e">
        <f>#REF!*D994</f>
        <v>#REF!</v>
      </c>
      <c r="AE994" s="53" t="e">
        <f>AD994-#REF!</f>
        <v>#REF!</v>
      </c>
      <c r="AF994" s="9"/>
      <c r="AG994" s="33" t="e">
        <f>#REF!-D994</f>
        <v>#REF!</v>
      </c>
      <c r="AH994" s="9"/>
      <c r="AI994" s="9"/>
      <c r="AJ994" s="9"/>
      <c r="AK994" s="9"/>
    </row>
    <row r="995" spans="1:37" s="12" customFormat="1" ht="20.399999999999999" outlineLevel="1" x14ac:dyDescent="0.2">
      <c r="A995" s="61" t="s">
        <v>1094</v>
      </c>
      <c r="B995" s="47" t="s">
        <v>3514</v>
      </c>
      <c r="C995" s="8" t="s">
        <v>47</v>
      </c>
      <c r="D995" s="25">
        <f t="shared" si="245"/>
        <v>12</v>
      </c>
      <c r="E995" s="54"/>
      <c r="F995" s="9"/>
      <c r="G995" s="9">
        <v>0</v>
      </c>
      <c r="H995" s="9">
        <v>0</v>
      </c>
      <c r="I995" s="9">
        <v>0</v>
      </c>
      <c r="J995" s="9">
        <v>0</v>
      </c>
      <c r="K995" s="9">
        <v>0</v>
      </c>
      <c r="L995" s="9">
        <v>1</v>
      </c>
      <c r="M995" s="9">
        <v>1</v>
      </c>
      <c r="N995" s="9">
        <v>1</v>
      </c>
      <c r="O995" s="9">
        <v>2</v>
      </c>
      <c r="P995" s="9">
        <v>2</v>
      </c>
      <c r="Q995" s="9">
        <v>0</v>
      </c>
      <c r="R995" s="9">
        <v>0</v>
      </c>
      <c r="S995" s="9">
        <v>0</v>
      </c>
      <c r="T995" s="9">
        <v>0</v>
      </c>
      <c r="U995" s="9">
        <v>0</v>
      </c>
      <c r="V995" s="9">
        <v>0</v>
      </c>
      <c r="W995" s="9">
        <v>0</v>
      </c>
      <c r="X995" s="9">
        <v>1</v>
      </c>
      <c r="Y995" s="9">
        <v>2</v>
      </c>
      <c r="Z995" s="9">
        <v>1</v>
      </c>
      <c r="AA995" s="9">
        <v>1</v>
      </c>
      <c r="AB995" s="9">
        <v>0</v>
      </c>
      <c r="AC995" s="9">
        <v>0</v>
      </c>
      <c r="AD995" s="53" t="e">
        <f>#REF!*D995</f>
        <v>#REF!</v>
      </c>
      <c r="AE995" s="53" t="e">
        <f>AD995-#REF!</f>
        <v>#REF!</v>
      </c>
      <c r="AF995" s="9"/>
      <c r="AG995" s="33" t="e">
        <f>#REF!-D995</f>
        <v>#REF!</v>
      </c>
      <c r="AH995" s="9"/>
      <c r="AI995" s="9"/>
      <c r="AJ995" s="9"/>
      <c r="AK995" s="9"/>
    </row>
    <row r="996" spans="1:37" s="12" customFormat="1" ht="26.25" customHeight="1" outlineLevel="1" x14ac:dyDescent="0.2">
      <c r="A996" s="61" t="s">
        <v>1095</v>
      </c>
      <c r="B996" s="47" t="s">
        <v>3515</v>
      </c>
      <c r="C996" s="8" t="s">
        <v>47</v>
      </c>
      <c r="D996" s="25">
        <f t="shared" si="245"/>
        <v>18</v>
      </c>
      <c r="E996" s="54"/>
      <c r="F996" s="9"/>
      <c r="G996" s="9">
        <v>0</v>
      </c>
      <c r="H996" s="9">
        <v>0</v>
      </c>
      <c r="I996" s="9">
        <v>9</v>
      </c>
      <c r="J996" s="9">
        <v>0</v>
      </c>
      <c r="K996" s="9">
        <v>0</v>
      </c>
      <c r="L996" s="9">
        <v>0</v>
      </c>
      <c r="M996" s="9">
        <v>0</v>
      </c>
      <c r="N996" s="9">
        <v>0</v>
      </c>
      <c r="O996" s="9">
        <v>0</v>
      </c>
      <c r="P996" s="9">
        <v>0</v>
      </c>
      <c r="Q996" s="9">
        <v>9</v>
      </c>
      <c r="R996" s="9">
        <v>0</v>
      </c>
      <c r="S996" s="9">
        <v>0</v>
      </c>
      <c r="T996" s="9">
        <v>0</v>
      </c>
      <c r="U996" s="9">
        <v>0</v>
      </c>
      <c r="V996" s="9">
        <v>0</v>
      </c>
      <c r="W996" s="9">
        <v>0</v>
      </c>
      <c r="X996" s="9">
        <v>0</v>
      </c>
      <c r="Y996" s="9">
        <v>0</v>
      </c>
      <c r="Z996" s="9">
        <v>0</v>
      </c>
      <c r="AA996" s="9">
        <v>0</v>
      </c>
      <c r="AB996" s="9">
        <v>0</v>
      </c>
      <c r="AC996" s="9">
        <v>0</v>
      </c>
      <c r="AD996" s="53" t="e">
        <f>#REF!*D996</f>
        <v>#REF!</v>
      </c>
      <c r="AE996" s="53" t="e">
        <f>AD996-#REF!</f>
        <v>#REF!</v>
      </c>
      <c r="AF996" s="9"/>
      <c r="AG996" s="33" t="e">
        <f>#REF!-D996</f>
        <v>#REF!</v>
      </c>
      <c r="AH996" s="9"/>
      <c r="AI996" s="9"/>
      <c r="AJ996" s="9"/>
      <c r="AK996" s="9"/>
    </row>
    <row r="997" spans="1:37" s="12" customFormat="1" ht="20.399999999999999" outlineLevel="1" x14ac:dyDescent="0.2">
      <c r="A997" s="61" t="s">
        <v>1096</v>
      </c>
      <c r="B997" s="47" t="s">
        <v>3516</v>
      </c>
      <c r="C997" s="8" t="s">
        <v>47</v>
      </c>
      <c r="D997" s="25">
        <f t="shared" si="245"/>
        <v>221</v>
      </c>
      <c r="E997" s="54"/>
      <c r="F997" s="9"/>
      <c r="G997" s="9">
        <v>0</v>
      </c>
      <c r="H997" s="9">
        <v>0</v>
      </c>
      <c r="I997" s="9">
        <v>0</v>
      </c>
      <c r="J997" s="9">
        <v>0</v>
      </c>
      <c r="K997" s="9">
        <v>0</v>
      </c>
      <c r="L997" s="9">
        <v>30</v>
      </c>
      <c r="M997" s="9">
        <v>30</v>
      </c>
      <c r="N997" s="9">
        <v>30</v>
      </c>
      <c r="O997" s="9">
        <v>20</v>
      </c>
      <c r="P997" s="9">
        <v>20</v>
      </c>
      <c r="Q997" s="9">
        <v>0</v>
      </c>
      <c r="R997" s="9">
        <v>0</v>
      </c>
      <c r="S997" s="9">
        <v>0</v>
      </c>
      <c r="T997" s="9">
        <v>0</v>
      </c>
      <c r="U997" s="9">
        <v>0</v>
      </c>
      <c r="V997" s="9">
        <v>0</v>
      </c>
      <c r="W997" s="9">
        <v>0</v>
      </c>
      <c r="X997" s="9">
        <v>30</v>
      </c>
      <c r="Y997" s="9">
        <v>21</v>
      </c>
      <c r="Z997" s="9">
        <v>10</v>
      </c>
      <c r="AA997" s="9">
        <v>30</v>
      </c>
      <c r="AB997" s="9">
        <v>0</v>
      </c>
      <c r="AC997" s="9">
        <v>0</v>
      </c>
      <c r="AD997" s="53" t="e">
        <f>#REF!*D997</f>
        <v>#REF!</v>
      </c>
      <c r="AE997" s="53" t="e">
        <f>AD997-#REF!</f>
        <v>#REF!</v>
      </c>
      <c r="AF997" s="9"/>
      <c r="AG997" s="33" t="e">
        <f>#REF!-D997</f>
        <v>#REF!</v>
      </c>
      <c r="AH997" s="9"/>
      <c r="AI997" s="9"/>
      <c r="AJ997" s="9"/>
      <c r="AK997" s="9"/>
    </row>
    <row r="998" spans="1:37" s="12" customFormat="1" ht="20.399999999999999" outlineLevel="1" x14ac:dyDescent="0.2">
      <c r="A998" s="61" t="s">
        <v>1097</v>
      </c>
      <c r="B998" s="47" t="s">
        <v>3517</v>
      </c>
      <c r="C998" s="8" t="s">
        <v>47</v>
      </c>
      <c r="D998" s="25">
        <f t="shared" si="245"/>
        <v>239</v>
      </c>
      <c r="E998" s="54"/>
      <c r="F998" s="9"/>
      <c r="G998" s="9">
        <v>0</v>
      </c>
      <c r="H998" s="9">
        <v>0</v>
      </c>
      <c r="I998" s="9">
        <v>9</v>
      </c>
      <c r="J998" s="9">
        <v>0</v>
      </c>
      <c r="K998" s="9">
        <v>0</v>
      </c>
      <c r="L998" s="9">
        <v>30</v>
      </c>
      <c r="M998" s="9">
        <v>30</v>
      </c>
      <c r="N998" s="9">
        <v>30</v>
      </c>
      <c r="O998" s="9">
        <v>20</v>
      </c>
      <c r="P998" s="9">
        <v>20</v>
      </c>
      <c r="Q998" s="9">
        <v>9</v>
      </c>
      <c r="R998" s="9">
        <v>0</v>
      </c>
      <c r="S998" s="9">
        <v>0</v>
      </c>
      <c r="T998" s="9">
        <f>T997+T996</f>
        <v>0</v>
      </c>
      <c r="U998" s="9">
        <v>0</v>
      </c>
      <c r="V998" s="9">
        <v>0</v>
      </c>
      <c r="W998" s="9">
        <v>0</v>
      </c>
      <c r="X998" s="9">
        <v>30</v>
      </c>
      <c r="Y998" s="9">
        <v>21</v>
      </c>
      <c r="Z998" s="9">
        <v>10</v>
      </c>
      <c r="AA998" s="9">
        <v>30</v>
      </c>
      <c r="AB998" s="9">
        <v>0</v>
      </c>
      <c r="AC998" s="9">
        <v>0</v>
      </c>
      <c r="AD998" s="53" t="e">
        <f>#REF!*D998</f>
        <v>#REF!</v>
      </c>
      <c r="AE998" s="53" t="e">
        <f>AD998-#REF!</f>
        <v>#REF!</v>
      </c>
      <c r="AF998" s="9"/>
      <c r="AG998" s="33" t="e">
        <f>#REF!-D998</f>
        <v>#REF!</v>
      </c>
      <c r="AH998" s="9"/>
      <c r="AI998" s="9"/>
      <c r="AJ998" s="9"/>
      <c r="AK998" s="9"/>
    </row>
    <row r="999" spans="1:37" s="12" customFormat="1" ht="20.399999999999999" outlineLevel="1" x14ac:dyDescent="0.2">
      <c r="A999" s="61" t="s">
        <v>1098</v>
      </c>
      <c r="B999" s="47" t="s">
        <v>3518</v>
      </c>
      <c r="C999" s="8" t="s">
        <v>47</v>
      </c>
      <c r="D999" s="25">
        <f t="shared" si="245"/>
        <v>18</v>
      </c>
      <c r="E999" s="54"/>
      <c r="F999" s="9"/>
      <c r="G999" s="9">
        <v>0</v>
      </c>
      <c r="H999" s="9">
        <v>0</v>
      </c>
      <c r="I999" s="9">
        <v>9</v>
      </c>
      <c r="J999" s="9">
        <v>0</v>
      </c>
      <c r="K999" s="9">
        <v>0</v>
      </c>
      <c r="L999" s="9">
        <v>0</v>
      </c>
      <c r="M999" s="9">
        <v>0</v>
      </c>
      <c r="N999" s="9">
        <v>0</v>
      </c>
      <c r="O999" s="9">
        <v>0</v>
      </c>
      <c r="P999" s="9">
        <v>0</v>
      </c>
      <c r="Q999" s="9">
        <v>9</v>
      </c>
      <c r="R999" s="9">
        <v>0</v>
      </c>
      <c r="S999" s="9">
        <v>0</v>
      </c>
      <c r="T999" s="9">
        <v>0</v>
      </c>
      <c r="U999" s="9">
        <v>0</v>
      </c>
      <c r="V999" s="9">
        <v>0</v>
      </c>
      <c r="W999" s="9">
        <v>0</v>
      </c>
      <c r="X999" s="9">
        <v>0</v>
      </c>
      <c r="Y999" s="9">
        <v>0</v>
      </c>
      <c r="Z999" s="9">
        <v>0</v>
      </c>
      <c r="AA999" s="9">
        <v>0</v>
      </c>
      <c r="AB999" s="9">
        <v>0</v>
      </c>
      <c r="AC999" s="9">
        <v>0</v>
      </c>
      <c r="AD999" s="53" t="e">
        <f>#REF!*D999</f>
        <v>#REF!</v>
      </c>
      <c r="AE999" s="53" t="e">
        <f>AD999-#REF!</f>
        <v>#REF!</v>
      </c>
      <c r="AF999" s="9"/>
      <c r="AG999" s="33" t="e">
        <f>#REF!-D999</f>
        <v>#REF!</v>
      </c>
      <c r="AH999" s="9"/>
      <c r="AI999" s="9"/>
      <c r="AJ999" s="9"/>
      <c r="AK999" s="9"/>
    </row>
    <row r="1000" spans="1:37" s="12" customFormat="1" ht="20.399999999999999" outlineLevel="1" x14ac:dyDescent="0.2">
      <c r="A1000" s="61" t="s">
        <v>1099</v>
      </c>
      <c r="B1000" s="47" t="s">
        <v>3519</v>
      </c>
      <c r="C1000" s="8" t="s">
        <v>47</v>
      </c>
      <c r="D1000" s="25">
        <f t="shared" si="245"/>
        <v>135</v>
      </c>
      <c r="E1000" s="54"/>
      <c r="F1000" s="9"/>
      <c r="G1000" s="9">
        <v>0</v>
      </c>
      <c r="H1000" s="9">
        <v>0</v>
      </c>
      <c r="I1000" s="9">
        <v>2</v>
      </c>
      <c r="J1000" s="9">
        <v>0</v>
      </c>
      <c r="K1000" s="9">
        <v>0</v>
      </c>
      <c r="L1000" s="9">
        <v>16</v>
      </c>
      <c r="M1000" s="9">
        <v>15</v>
      </c>
      <c r="N1000" s="9">
        <v>15</v>
      </c>
      <c r="O1000" s="9">
        <v>22</v>
      </c>
      <c r="P1000" s="9">
        <v>22</v>
      </c>
      <c r="Q1000" s="9">
        <v>0</v>
      </c>
      <c r="R1000" s="9">
        <v>0</v>
      </c>
      <c r="S1000" s="9">
        <v>0</v>
      </c>
      <c r="T1000" s="9">
        <v>0</v>
      </c>
      <c r="U1000" s="9">
        <v>0</v>
      </c>
      <c r="V1000" s="9">
        <v>0</v>
      </c>
      <c r="W1000" s="9">
        <v>0</v>
      </c>
      <c r="X1000" s="9">
        <v>11</v>
      </c>
      <c r="Y1000" s="9">
        <v>11</v>
      </c>
      <c r="Z1000" s="9">
        <v>10</v>
      </c>
      <c r="AA1000" s="9">
        <v>11</v>
      </c>
      <c r="AB1000" s="9">
        <v>0</v>
      </c>
      <c r="AC1000" s="9">
        <v>0</v>
      </c>
      <c r="AD1000" s="53" t="e">
        <f>#REF!*D1000</f>
        <v>#REF!</v>
      </c>
      <c r="AE1000" s="53" t="e">
        <f>AD1000-#REF!</f>
        <v>#REF!</v>
      </c>
      <c r="AF1000" s="9"/>
      <c r="AG1000" s="33" t="e">
        <f>#REF!-D1000</f>
        <v>#REF!</v>
      </c>
      <c r="AH1000" s="9"/>
      <c r="AI1000" s="9"/>
      <c r="AJ1000" s="9"/>
      <c r="AK1000" s="9"/>
    </row>
    <row r="1001" spans="1:37" s="17" customFormat="1" ht="20.399999999999999" outlineLevel="1" x14ac:dyDescent="0.2">
      <c r="A1001" s="61" t="s">
        <v>3160</v>
      </c>
      <c r="B1001" s="47" t="s">
        <v>3520</v>
      </c>
      <c r="C1001" s="8" t="s">
        <v>47</v>
      </c>
      <c r="D1001" s="25">
        <f t="shared" si="245"/>
        <v>115</v>
      </c>
      <c r="E1001" s="54"/>
      <c r="F1001" s="9"/>
      <c r="G1001" s="33">
        <v>0</v>
      </c>
      <c r="H1001" s="33">
        <v>0</v>
      </c>
      <c r="I1001" s="9">
        <v>2</v>
      </c>
      <c r="J1001" s="9">
        <v>0</v>
      </c>
      <c r="K1001" s="9">
        <v>0</v>
      </c>
      <c r="L1001" s="9">
        <v>16</v>
      </c>
      <c r="M1001" s="9">
        <v>15</v>
      </c>
      <c r="N1001" s="9">
        <v>15</v>
      </c>
      <c r="O1001" s="9">
        <v>12</v>
      </c>
      <c r="P1001" s="9">
        <v>12</v>
      </c>
      <c r="Q1001" s="9">
        <v>0</v>
      </c>
      <c r="R1001" s="9">
        <v>0</v>
      </c>
      <c r="S1001" s="9">
        <v>0</v>
      </c>
      <c r="T1001" s="9">
        <v>0</v>
      </c>
      <c r="U1001" s="33">
        <v>0</v>
      </c>
      <c r="V1001" s="9">
        <v>0</v>
      </c>
      <c r="W1001" s="9">
        <v>0</v>
      </c>
      <c r="X1001" s="9">
        <v>11</v>
      </c>
      <c r="Y1001" s="9">
        <v>11</v>
      </c>
      <c r="Z1001" s="9">
        <v>10</v>
      </c>
      <c r="AA1001" s="9">
        <v>11</v>
      </c>
      <c r="AB1001" s="9">
        <v>0</v>
      </c>
      <c r="AC1001" s="9">
        <v>0</v>
      </c>
      <c r="AD1001" s="53" t="e">
        <f>#REF!*D1001</f>
        <v>#REF!</v>
      </c>
      <c r="AE1001" s="53" t="e">
        <f>AD1001-#REF!</f>
        <v>#REF!</v>
      </c>
      <c r="AF1001" s="8"/>
      <c r="AG1001" s="33" t="e">
        <f>#REF!-D1001</f>
        <v>#REF!</v>
      </c>
      <c r="AH1001" s="8"/>
      <c r="AI1001" s="8"/>
      <c r="AJ1001" s="8"/>
      <c r="AK1001" s="8"/>
    </row>
    <row r="1002" spans="1:37" s="12" customFormat="1" ht="30.6" outlineLevel="1" x14ac:dyDescent="0.2">
      <c r="A1002" s="61" t="s">
        <v>3521</v>
      </c>
      <c r="B1002" s="47" t="s">
        <v>3525</v>
      </c>
      <c r="C1002" s="8" t="s">
        <v>47</v>
      </c>
      <c r="D1002" s="25">
        <f t="shared" si="245"/>
        <v>1</v>
      </c>
      <c r="E1002" s="54"/>
      <c r="F1002" s="9"/>
      <c r="G1002" s="9">
        <v>0</v>
      </c>
      <c r="H1002" s="9">
        <v>0</v>
      </c>
      <c r="I1002" s="9">
        <v>1</v>
      </c>
      <c r="J1002" s="9">
        <v>0</v>
      </c>
      <c r="K1002" s="9">
        <v>0</v>
      </c>
      <c r="L1002" s="9">
        <v>0</v>
      </c>
      <c r="M1002" s="9">
        <v>0</v>
      </c>
      <c r="N1002" s="9">
        <v>0</v>
      </c>
      <c r="O1002" s="9">
        <v>0</v>
      </c>
      <c r="P1002" s="9">
        <v>0</v>
      </c>
      <c r="Q1002" s="9">
        <v>0</v>
      </c>
      <c r="R1002" s="9">
        <v>0</v>
      </c>
      <c r="S1002" s="9">
        <v>0</v>
      </c>
      <c r="T1002" s="9">
        <v>0</v>
      </c>
      <c r="U1002" s="9">
        <v>0</v>
      </c>
      <c r="V1002" s="9">
        <v>0</v>
      </c>
      <c r="W1002" s="9">
        <v>0</v>
      </c>
      <c r="X1002" s="9">
        <v>0</v>
      </c>
      <c r="Y1002" s="9">
        <v>0</v>
      </c>
      <c r="Z1002" s="9">
        <v>0</v>
      </c>
      <c r="AA1002" s="9">
        <v>0</v>
      </c>
      <c r="AB1002" s="9">
        <v>0</v>
      </c>
      <c r="AC1002" s="9">
        <v>0</v>
      </c>
      <c r="AD1002" s="53" t="e">
        <f>#REF!*D1002</f>
        <v>#REF!</v>
      </c>
      <c r="AE1002" s="53" t="e">
        <f>AD1002-#REF!</f>
        <v>#REF!</v>
      </c>
      <c r="AF1002" s="9"/>
      <c r="AG1002" s="33" t="e">
        <f>#REF!-D1002</f>
        <v>#REF!</v>
      </c>
      <c r="AH1002" s="9"/>
      <c r="AI1002" s="9"/>
      <c r="AJ1002" s="9"/>
      <c r="AK1002" s="9"/>
    </row>
    <row r="1003" spans="1:37" s="12" customFormat="1" ht="20.399999999999999" outlineLevel="1" x14ac:dyDescent="0.2">
      <c r="A1003" s="61" t="s">
        <v>3522</v>
      </c>
      <c r="B1003" s="14" t="s">
        <v>1092</v>
      </c>
      <c r="C1003" s="8" t="s">
        <v>47</v>
      </c>
      <c r="D1003" s="25">
        <f t="shared" si="245"/>
        <v>17</v>
      </c>
      <c r="E1003" s="54"/>
      <c r="F1003" s="9"/>
      <c r="G1003" s="9">
        <v>0</v>
      </c>
      <c r="H1003" s="9">
        <v>1</v>
      </c>
      <c r="I1003" s="9">
        <v>2</v>
      </c>
      <c r="J1003" s="9">
        <v>0</v>
      </c>
      <c r="K1003" s="9">
        <v>0</v>
      </c>
      <c r="L1003" s="9">
        <v>2</v>
      </c>
      <c r="M1003" s="9">
        <v>1</v>
      </c>
      <c r="N1003" s="9">
        <v>1</v>
      </c>
      <c r="O1003" s="9">
        <v>2</v>
      </c>
      <c r="P1003" s="9">
        <v>2</v>
      </c>
      <c r="Q1003" s="9">
        <v>1</v>
      </c>
      <c r="R1003" s="9">
        <v>0</v>
      </c>
      <c r="S1003" s="9">
        <v>0</v>
      </c>
      <c r="T1003" s="9">
        <v>0</v>
      </c>
      <c r="U1003" s="9">
        <v>0</v>
      </c>
      <c r="V1003" s="9">
        <v>0</v>
      </c>
      <c r="W1003" s="9">
        <v>0</v>
      </c>
      <c r="X1003" s="9">
        <v>1</v>
      </c>
      <c r="Y1003" s="9">
        <v>2</v>
      </c>
      <c r="Z1003" s="9">
        <v>1</v>
      </c>
      <c r="AA1003" s="9">
        <v>1</v>
      </c>
      <c r="AB1003" s="9">
        <v>0</v>
      </c>
      <c r="AC1003" s="9">
        <v>0</v>
      </c>
      <c r="AD1003" s="53" t="e">
        <f>#REF!*D1003</f>
        <v>#REF!</v>
      </c>
      <c r="AE1003" s="53" t="e">
        <f>AD1003-#REF!</f>
        <v>#REF!</v>
      </c>
      <c r="AF1003" s="9"/>
      <c r="AG1003" s="33" t="e">
        <f>#REF!-D1003</f>
        <v>#REF!</v>
      </c>
      <c r="AH1003" s="9"/>
      <c r="AI1003" s="9"/>
      <c r="AJ1003" s="9"/>
      <c r="AK1003" s="9"/>
    </row>
    <row r="1004" spans="1:37" s="17" customFormat="1" ht="13.5" customHeight="1" outlineLevel="1" x14ac:dyDescent="0.2">
      <c r="A1004" s="61" t="s">
        <v>3523</v>
      </c>
      <c r="B1004" s="47" t="s">
        <v>450</v>
      </c>
      <c r="C1004" s="8" t="s">
        <v>47</v>
      </c>
      <c r="D1004" s="25">
        <f t="shared" si="245"/>
        <v>2</v>
      </c>
      <c r="E1004" s="54"/>
      <c r="F1004" s="9"/>
      <c r="G1004" s="33">
        <v>0</v>
      </c>
      <c r="H1004" s="33">
        <v>0</v>
      </c>
      <c r="I1004" s="9">
        <v>0</v>
      </c>
      <c r="J1004" s="9">
        <v>0</v>
      </c>
      <c r="K1004" s="9">
        <v>0</v>
      </c>
      <c r="L1004" s="9">
        <v>0</v>
      </c>
      <c r="M1004" s="9">
        <v>0</v>
      </c>
      <c r="N1004" s="9">
        <v>0</v>
      </c>
      <c r="O1004" s="9">
        <v>0</v>
      </c>
      <c r="P1004" s="9">
        <v>0</v>
      </c>
      <c r="Q1004" s="9">
        <v>2</v>
      </c>
      <c r="R1004" s="9">
        <v>0</v>
      </c>
      <c r="S1004" s="9">
        <v>0</v>
      </c>
      <c r="T1004" s="9">
        <v>0</v>
      </c>
      <c r="U1004" s="33">
        <v>0</v>
      </c>
      <c r="V1004" s="9">
        <v>0</v>
      </c>
      <c r="W1004" s="9">
        <v>0</v>
      </c>
      <c r="X1004" s="9">
        <v>0</v>
      </c>
      <c r="Y1004" s="9">
        <v>0</v>
      </c>
      <c r="Z1004" s="9">
        <v>0</v>
      </c>
      <c r="AA1004" s="9">
        <v>0</v>
      </c>
      <c r="AB1004" s="9">
        <v>0</v>
      </c>
      <c r="AC1004" s="9">
        <v>0</v>
      </c>
      <c r="AD1004" s="53" t="e">
        <f>#REF!*D1004</f>
        <v>#REF!</v>
      </c>
      <c r="AE1004" s="53" t="e">
        <f>AD1004-#REF!</f>
        <v>#REF!</v>
      </c>
      <c r="AF1004" s="8"/>
      <c r="AG1004" s="33" t="e">
        <f>#REF!-D1004</f>
        <v>#REF!</v>
      </c>
      <c r="AH1004" s="8"/>
      <c r="AI1004" s="8"/>
      <c r="AJ1004" s="8"/>
      <c r="AK1004" s="8"/>
    </row>
    <row r="1005" spans="1:37" s="17" customFormat="1" ht="13.5" customHeight="1" outlineLevel="1" x14ac:dyDescent="0.2">
      <c r="A1005" s="61" t="s">
        <v>3524</v>
      </c>
      <c r="B1005" s="47" t="s">
        <v>1091</v>
      </c>
      <c r="C1005" s="8" t="s">
        <v>47</v>
      </c>
      <c r="D1005" s="25">
        <f t="shared" si="245"/>
        <v>4</v>
      </c>
      <c r="E1005" s="54"/>
      <c r="F1005" s="9"/>
      <c r="G1005" s="33">
        <v>0</v>
      </c>
      <c r="H1005" s="33">
        <v>1</v>
      </c>
      <c r="I1005" s="9">
        <v>3</v>
      </c>
      <c r="J1005" s="9">
        <v>0</v>
      </c>
      <c r="K1005" s="9">
        <v>0</v>
      </c>
      <c r="L1005" s="9">
        <v>0</v>
      </c>
      <c r="M1005" s="9">
        <v>0</v>
      </c>
      <c r="N1005" s="9">
        <v>0</v>
      </c>
      <c r="O1005" s="9">
        <v>0</v>
      </c>
      <c r="P1005" s="9">
        <v>0</v>
      </c>
      <c r="Q1005" s="9">
        <v>0</v>
      </c>
      <c r="R1005" s="9">
        <v>0</v>
      </c>
      <c r="S1005" s="9">
        <v>0</v>
      </c>
      <c r="T1005" s="9">
        <v>0</v>
      </c>
      <c r="U1005" s="33">
        <v>0</v>
      </c>
      <c r="V1005" s="9">
        <v>0</v>
      </c>
      <c r="W1005" s="9">
        <v>0</v>
      </c>
      <c r="X1005" s="9">
        <v>0</v>
      </c>
      <c r="Y1005" s="9">
        <v>0</v>
      </c>
      <c r="Z1005" s="9">
        <v>0</v>
      </c>
      <c r="AA1005" s="9">
        <v>0</v>
      </c>
      <c r="AB1005" s="9">
        <v>0</v>
      </c>
      <c r="AC1005" s="9">
        <v>0</v>
      </c>
      <c r="AD1005" s="53" t="e">
        <f>#REF!*D1005</f>
        <v>#REF!</v>
      </c>
      <c r="AE1005" s="53" t="e">
        <f>AD1005-#REF!</f>
        <v>#REF!</v>
      </c>
      <c r="AF1005" s="8"/>
      <c r="AG1005" s="33" t="e">
        <f>#REF!-D1005</f>
        <v>#REF!</v>
      </c>
      <c r="AH1005" s="8"/>
      <c r="AI1005" s="8"/>
      <c r="AJ1005" s="8"/>
      <c r="AK1005" s="8"/>
    </row>
    <row r="1006" spans="1:37" x14ac:dyDescent="0.25">
      <c r="E1006" s="54"/>
      <c r="G1006" s="9"/>
      <c r="AD1006" s="53" t="e">
        <f>#REF!*D1006</f>
        <v>#REF!</v>
      </c>
      <c r="AE1006" s="53" t="e">
        <f>AD1006-#REF!</f>
        <v>#REF!</v>
      </c>
      <c r="AG1006" s="33" t="e">
        <f>#REF!-D1006</f>
        <v>#REF!</v>
      </c>
    </row>
    <row r="1007" spans="1:37" x14ac:dyDescent="0.25">
      <c r="A1007" s="58">
        <v>5</v>
      </c>
      <c r="B1007" s="59" t="s">
        <v>2824</v>
      </c>
      <c r="C1007" s="58" t="s">
        <v>41</v>
      </c>
      <c r="D1007" s="60" t="e">
        <f>#REF!/#REF!*100</f>
        <v>#REF!</v>
      </c>
      <c r="E1007" s="200" t="s">
        <v>2806</v>
      </c>
      <c r="G1007" s="9"/>
      <c r="AB1007" s="214" t="s">
        <v>375</v>
      </c>
      <c r="AD1007" s="53" t="e">
        <f>#REF!*D1007</f>
        <v>#REF!</v>
      </c>
      <c r="AE1007" s="53" t="e">
        <f>AD1007-#REF!</f>
        <v>#REF!</v>
      </c>
      <c r="AG1007" s="33" t="e">
        <f>#REF!-D1007</f>
        <v>#REF!</v>
      </c>
    </row>
    <row r="1008" spans="1:37" s="12" customFormat="1" ht="12" customHeight="1" x14ac:dyDescent="0.25">
      <c r="A1008" s="18" t="s">
        <v>503</v>
      </c>
      <c r="B1008" s="35" t="s">
        <v>387</v>
      </c>
      <c r="C1008" s="18" t="s">
        <v>41</v>
      </c>
      <c r="D1008" s="52" t="e">
        <f>#REF!/#REF!*100</f>
        <v>#REF!</v>
      </c>
      <c r="E1008" s="54"/>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53" t="e">
        <f>#REF!*D1008</f>
        <v>#REF!</v>
      </c>
      <c r="AE1008" s="53" t="e">
        <f>AD1008-#REF!</f>
        <v>#REF!</v>
      </c>
      <c r="AF1008" s="9"/>
      <c r="AG1008" s="33" t="e">
        <f>#REF!-D1008</f>
        <v>#REF!</v>
      </c>
      <c r="AH1008" s="9"/>
      <c r="AI1008" s="9"/>
      <c r="AJ1008" s="9"/>
      <c r="AK1008" s="9"/>
    </row>
    <row r="1009" spans="1:37" s="12" customFormat="1" ht="20.399999999999999" outlineLevel="1" x14ac:dyDescent="0.2">
      <c r="A1009" s="61" t="s">
        <v>2551</v>
      </c>
      <c r="B1009" s="47" t="s">
        <v>407</v>
      </c>
      <c r="C1009" s="9" t="s">
        <v>48</v>
      </c>
      <c r="D1009" s="25">
        <f>SUM(G1009:AC1009)*3</f>
        <v>1245</v>
      </c>
      <c r="E1009" s="54"/>
      <c r="F1009" s="9"/>
      <c r="G1009" s="9">
        <v>0</v>
      </c>
      <c r="H1009" s="9">
        <f>39-5</f>
        <v>34</v>
      </c>
      <c r="I1009" s="9">
        <f>26-7</f>
        <v>19</v>
      </c>
      <c r="J1009" s="9">
        <f>27-4</f>
        <v>23</v>
      </c>
      <c r="K1009" s="9">
        <f>19-5</f>
        <v>14</v>
      </c>
      <c r="L1009" s="9">
        <f>71-15</f>
        <v>56</v>
      </c>
      <c r="M1009" s="9">
        <v>40</v>
      </c>
      <c r="N1009" s="9">
        <v>40</v>
      </c>
      <c r="O1009" s="9">
        <v>47</v>
      </c>
      <c r="P1009" s="9">
        <v>26</v>
      </c>
      <c r="Q1009" s="9">
        <f>12/3</f>
        <v>4</v>
      </c>
      <c r="R1009" s="9">
        <v>0</v>
      </c>
      <c r="S1009" s="9">
        <v>0</v>
      </c>
      <c r="T1009" s="9">
        <v>0</v>
      </c>
      <c r="U1009" s="9">
        <v>5</v>
      </c>
      <c r="V1009" s="9">
        <v>7</v>
      </c>
      <c r="W1009" s="9">
        <v>6</v>
      </c>
      <c r="X1009" s="9">
        <v>24</v>
      </c>
      <c r="Y1009" s="9">
        <v>22</v>
      </c>
      <c r="Z1009" s="9">
        <v>20</v>
      </c>
      <c r="AA1009" s="9">
        <v>25</v>
      </c>
      <c r="AB1009" s="9">
        <v>3</v>
      </c>
      <c r="AC1009" s="9">
        <v>0</v>
      </c>
      <c r="AD1009" s="53" t="e">
        <f>#REF!*D1009</f>
        <v>#REF!</v>
      </c>
      <c r="AE1009" s="53" t="e">
        <f>AD1009-#REF!</f>
        <v>#REF!</v>
      </c>
      <c r="AF1009" s="9"/>
      <c r="AG1009" s="33" t="e">
        <f>#REF!-D1009</f>
        <v>#REF!</v>
      </c>
      <c r="AH1009" s="9"/>
      <c r="AI1009" s="9"/>
      <c r="AJ1009" s="9"/>
      <c r="AK1009" s="9"/>
    </row>
    <row r="1010" spans="1:37" s="12" customFormat="1" ht="20.399999999999999" outlineLevel="1" x14ac:dyDescent="0.2">
      <c r="A1010" s="61" t="s">
        <v>2552</v>
      </c>
      <c r="B1010" s="47" t="s">
        <v>483</v>
      </c>
      <c r="C1010" s="9" t="s">
        <v>48</v>
      </c>
      <c r="D1010" s="25">
        <f>SUM(G1010:AC1010)*3</f>
        <v>108</v>
      </c>
      <c r="E1010" s="54"/>
      <c r="F1010" s="9"/>
      <c r="G1010" s="9">
        <v>0</v>
      </c>
      <c r="H1010" s="9">
        <v>0</v>
      </c>
      <c r="I1010" s="9">
        <v>0</v>
      </c>
      <c r="J1010" s="9">
        <v>0</v>
      </c>
      <c r="K1010" s="9">
        <v>0</v>
      </c>
      <c r="L1010" s="9">
        <v>0</v>
      </c>
      <c r="M1010" s="9">
        <v>0</v>
      </c>
      <c r="N1010" s="9">
        <v>0</v>
      </c>
      <c r="O1010" s="9">
        <v>0</v>
      </c>
      <c r="P1010" s="9">
        <v>0</v>
      </c>
      <c r="Q1010" s="9">
        <v>0</v>
      </c>
      <c r="R1010" s="9">
        <v>0</v>
      </c>
      <c r="S1010" s="9">
        <v>0</v>
      </c>
      <c r="T1010" s="9">
        <f>108/3</f>
        <v>36</v>
      </c>
      <c r="U1010" s="9">
        <v>0</v>
      </c>
      <c r="V1010" s="9">
        <v>0</v>
      </c>
      <c r="W1010" s="9">
        <v>0</v>
      </c>
      <c r="X1010" s="9">
        <v>0</v>
      </c>
      <c r="Y1010" s="9">
        <v>0</v>
      </c>
      <c r="Z1010" s="9">
        <v>0</v>
      </c>
      <c r="AA1010" s="9">
        <v>0</v>
      </c>
      <c r="AB1010" s="9">
        <v>0</v>
      </c>
      <c r="AC1010" s="9">
        <v>0</v>
      </c>
      <c r="AD1010" s="53" t="e">
        <f>#REF!*D1010</f>
        <v>#REF!</v>
      </c>
      <c r="AE1010" s="53" t="e">
        <f>AD1010-#REF!</f>
        <v>#REF!</v>
      </c>
      <c r="AF1010" s="9"/>
      <c r="AG1010" s="33" t="e">
        <f>#REF!-D1010</f>
        <v>#REF!</v>
      </c>
      <c r="AH1010" s="9"/>
      <c r="AI1010" s="9"/>
      <c r="AJ1010" s="9"/>
      <c r="AK1010" s="9"/>
    </row>
    <row r="1011" spans="1:37" s="12" customFormat="1" ht="20.399999999999999" outlineLevel="1" x14ac:dyDescent="0.2">
      <c r="A1011" s="61" t="s">
        <v>2553</v>
      </c>
      <c r="B1011" s="14" t="s">
        <v>61</v>
      </c>
      <c r="C1011" s="9" t="s">
        <v>47</v>
      </c>
      <c r="D1011" s="25">
        <f t="shared" ref="D1011:D1028" si="246">SUM(G1011:AC1011)</f>
        <v>376</v>
      </c>
      <c r="E1011" s="54"/>
      <c r="F1011" s="9"/>
      <c r="G1011" s="9">
        <v>0</v>
      </c>
      <c r="H1011" s="9">
        <f>25-3</f>
        <v>22</v>
      </c>
      <c r="I1011" s="9">
        <f>26-8</f>
        <v>18</v>
      </c>
      <c r="J1011" s="9">
        <v>26</v>
      </c>
      <c r="K1011" s="9">
        <f>22-5</f>
        <v>17</v>
      </c>
      <c r="L1011" s="9">
        <v>41</v>
      </c>
      <c r="M1011" s="9">
        <v>38</v>
      </c>
      <c r="N1011" s="9">
        <v>38</v>
      </c>
      <c r="O1011" s="9">
        <v>62</v>
      </c>
      <c r="P1011" s="9">
        <v>40</v>
      </c>
      <c r="Q1011" s="9">
        <v>5</v>
      </c>
      <c r="R1011" s="9">
        <v>0</v>
      </c>
      <c r="S1011" s="9">
        <v>0</v>
      </c>
      <c r="T1011" s="9">
        <v>0</v>
      </c>
      <c r="U1011" s="9">
        <v>3</v>
      </c>
      <c r="V1011" s="9">
        <v>8</v>
      </c>
      <c r="W1011" s="9">
        <v>6</v>
      </c>
      <c r="X1011" s="9">
        <v>14</v>
      </c>
      <c r="Y1011" s="9">
        <v>12</v>
      </c>
      <c r="Z1011" s="9">
        <v>10</v>
      </c>
      <c r="AA1011" s="9">
        <v>14</v>
      </c>
      <c r="AB1011" s="9">
        <v>2</v>
      </c>
      <c r="AC1011" s="9">
        <v>0</v>
      </c>
      <c r="AD1011" s="53" t="e">
        <f>#REF!*D1011</f>
        <v>#REF!</v>
      </c>
      <c r="AE1011" s="53" t="e">
        <f>AD1011-#REF!</f>
        <v>#REF!</v>
      </c>
      <c r="AF1011" s="9"/>
      <c r="AG1011" s="33" t="e">
        <f>#REF!-D1011</f>
        <v>#REF!</v>
      </c>
      <c r="AH1011" s="9"/>
      <c r="AI1011" s="9"/>
      <c r="AJ1011" s="9"/>
      <c r="AK1011" s="9"/>
    </row>
    <row r="1012" spans="1:37" s="12" customFormat="1" ht="20.399999999999999" outlineLevel="1" x14ac:dyDescent="0.2">
      <c r="A1012" s="61" t="s">
        <v>2554</v>
      </c>
      <c r="B1012" s="14" t="s">
        <v>216</v>
      </c>
      <c r="C1012" s="9" t="s">
        <v>47</v>
      </c>
      <c r="D1012" s="25">
        <f t="shared" si="246"/>
        <v>12</v>
      </c>
      <c r="E1012" s="54"/>
      <c r="F1012" s="9"/>
      <c r="G1012" s="9">
        <v>0</v>
      </c>
      <c r="H1012" s="9">
        <v>0</v>
      </c>
      <c r="I1012" s="9">
        <v>0</v>
      </c>
      <c r="J1012" s="9">
        <v>0</v>
      </c>
      <c r="K1012" s="9">
        <v>0</v>
      </c>
      <c r="L1012" s="9">
        <v>0</v>
      </c>
      <c r="M1012" s="9">
        <v>0</v>
      </c>
      <c r="N1012" s="9">
        <v>0</v>
      </c>
      <c r="O1012" s="9">
        <v>0</v>
      </c>
      <c r="P1012" s="9">
        <v>0</v>
      </c>
      <c r="Q1012" s="9">
        <v>0</v>
      </c>
      <c r="R1012" s="9">
        <v>0</v>
      </c>
      <c r="S1012" s="9">
        <v>0</v>
      </c>
      <c r="T1012" s="9">
        <v>12</v>
      </c>
      <c r="U1012" s="9">
        <v>0</v>
      </c>
      <c r="V1012" s="9">
        <v>0</v>
      </c>
      <c r="W1012" s="9">
        <v>0</v>
      </c>
      <c r="X1012" s="9">
        <v>0</v>
      </c>
      <c r="Y1012" s="9">
        <v>0</v>
      </c>
      <c r="Z1012" s="9">
        <v>0</v>
      </c>
      <c r="AA1012" s="9">
        <v>0</v>
      </c>
      <c r="AB1012" s="9">
        <v>0</v>
      </c>
      <c r="AC1012" s="9">
        <v>0</v>
      </c>
      <c r="AD1012" s="53" t="e">
        <f>#REF!*D1012</f>
        <v>#REF!</v>
      </c>
      <c r="AE1012" s="53" t="e">
        <f>AD1012-#REF!</f>
        <v>#REF!</v>
      </c>
      <c r="AF1012" s="9"/>
      <c r="AG1012" s="33" t="e">
        <f>#REF!-D1012</f>
        <v>#REF!</v>
      </c>
      <c r="AH1012" s="9"/>
      <c r="AI1012" s="9"/>
      <c r="AJ1012" s="9"/>
      <c r="AK1012" s="9"/>
    </row>
    <row r="1013" spans="1:37" s="12" customFormat="1" ht="20.399999999999999" outlineLevel="1" x14ac:dyDescent="0.2">
      <c r="A1013" s="61" t="s">
        <v>2555</v>
      </c>
      <c r="B1013" s="14" t="s">
        <v>65</v>
      </c>
      <c r="C1013" s="9" t="s">
        <v>47</v>
      </c>
      <c r="D1013" s="25">
        <f t="shared" si="246"/>
        <v>791</v>
      </c>
      <c r="E1013" s="54"/>
      <c r="F1013" s="9"/>
      <c r="G1013" s="49">
        <f t="shared" ref="G1013:AC1013" si="247">G1011+G1009</f>
        <v>0</v>
      </c>
      <c r="H1013" s="49">
        <f t="shared" si="247"/>
        <v>56</v>
      </c>
      <c r="I1013" s="49">
        <f t="shared" si="247"/>
        <v>37</v>
      </c>
      <c r="J1013" s="49">
        <f t="shared" si="247"/>
        <v>49</v>
      </c>
      <c r="K1013" s="49">
        <f t="shared" si="247"/>
        <v>31</v>
      </c>
      <c r="L1013" s="49">
        <f t="shared" si="247"/>
        <v>97</v>
      </c>
      <c r="M1013" s="49">
        <f t="shared" si="247"/>
        <v>78</v>
      </c>
      <c r="N1013" s="49">
        <f t="shared" si="247"/>
        <v>78</v>
      </c>
      <c r="O1013" s="49">
        <f t="shared" si="247"/>
        <v>109</v>
      </c>
      <c r="P1013" s="49">
        <f t="shared" si="247"/>
        <v>66</v>
      </c>
      <c r="Q1013" s="49">
        <f t="shared" si="247"/>
        <v>9</v>
      </c>
      <c r="R1013" s="49">
        <f t="shared" si="247"/>
        <v>0</v>
      </c>
      <c r="S1013" s="49">
        <f t="shared" si="247"/>
        <v>0</v>
      </c>
      <c r="T1013" s="49">
        <f t="shared" si="247"/>
        <v>0</v>
      </c>
      <c r="U1013" s="49">
        <f t="shared" si="247"/>
        <v>8</v>
      </c>
      <c r="V1013" s="49">
        <f t="shared" si="247"/>
        <v>15</v>
      </c>
      <c r="W1013" s="49">
        <f t="shared" si="247"/>
        <v>12</v>
      </c>
      <c r="X1013" s="49">
        <f t="shared" si="247"/>
        <v>38</v>
      </c>
      <c r="Y1013" s="49">
        <f t="shared" si="247"/>
        <v>34</v>
      </c>
      <c r="Z1013" s="49">
        <f t="shared" si="247"/>
        <v>30</v>
      </c>
      <c r="AA1013" s="49">
        <f t="shared" si="247"/>
        <v>39</v>
      </c>
      <c r="AB1013" s="49">
        <f t="shared" si="247"/>
        <v>5</v>
      </c>
      <c r="AC1013" s="49">
        <f t="shared" si="247"/>
        <v>0</v>
      </c>
      <c r="AD1013" s="53" t="e">
        <f>#REF!*D1013</f>
        <v>#REF!</v>
      </c>
      <c r="AE1013" s="53" t="e">
        <f>AD1013-#REF!</f>
        <v>#REF!</v>
      </c>
      <c r="AF1013" s="9"/>
      <c r="AG1013" s="33" t="e">
        <f>#REF!-D1013</f>
        <v>#REF!</v>
      </c>
      <c r="AH1013" s="9"/>
      <c r="AI1013" s="9"/>
      <c r="AJ1013" s="9"/>
      <c r="AK1013" s="9"/>
    </row>
    <row r="1014" spans="1:37" s="12" customFormat="1" ht="20.399999999999999" outlineLevel="1" x14ac:dyDescent="0.2">
      <c r="A1014" s="61" t="s">
        <v>2556</v>
      </c>
      <c r="B1014" s="14" t="s">
        <v>217</v>
      </c>
      <c r="C1014" s="9" t="s">
        <v>47</v>
      </c>
      <c r="D1014" s="25">
        <f t="shared" si="246"/>
        <v>48</v>
      </c>
      <c r="E1014" s="54"/>
      <c r="F1014" s="9"/>
      <c r="G1014" s="49">
        <f t="shared" ref="G1014:AC1014" si="248">G1012+G1010</f>
        <v>0</v>
      </c>
      <c r="H1014" s="49">
        <f t="shared" si="248"/>
        <v>0</v>
      </c>
      <c r="I1014" s="49">
        <f t="shared" si="248"/>
        <v>0</v>
      </c>
      <c r="J1014" s="49">
        <f t="shared" si="248"/>
        <v>0</v>
      </c>
      <c r="K1014" s="49">
        <f t="shared" si="248"/>
        <v>0</v>
      </c>
      <c r="L1014" s="49">
        <f t="shared" si="248"/>
        <v>0</v>
      </c>
      <c r="M1014" s="49">
        <f t="shared" si="248"/>
        <v>0</v>
      </c>
      <c r="N1014" s="49">
        <f t="shared" si="248"/>
        <v>0</v>
      </c>
      <c r="O1014" s="49">
        <f t="shared" si="248"/>
        <v>0</v>
      </c>
      <c r="P1014" s="49">
        <f t="shared" si="248"/>
        <v>0</v>
      </c>
      <c r="Q1014" s="49">
        <f t="shared" si="248"/>
        <v>0</v>
      </c>
      <c r="R1014" s="49">
        <f t="shared" si="248"/>
        <v>0</v>
      </c>
      <c r="S1014" s="49">
        <f t="shared" si="248"/>
        <v>0</v>
      </c>
      <c r="T1014" s="49">
        <f t="shared" si="248"/>
        <v>48</v>
      </c>
      <c r="U1014" s="49">
        <f t="shared" si="248"/>
        <v>0</v>
      </c>
      <c r="V1014" s="49">
        <f t="shared" si="248"/>
        <v>0</v>
      </c>
      <c r="W1014" s="49">
        <f t="shared" si="248"/>
        <v>0</v>
      </c>
      <c r="X1014" s="49">
        <f t="shared" si="248"/>
        <v>0</v>
      </c>
      <c r="Y1014" s="49">
        <f t="shared" si="248"/>
        <v>0</v>
      </c>
      <c r="Z1014" s="49">
        <f t="shared" si="248"/>
        <v>0</v>
      </c>
      <c r="AA1014" s="49">
        <f t="shared" si="248"/>
        <v>0</v>
      </c>
      <c r="AB1014" s="49">
        <f t="shared" si="248"/>
        <v>0</v>
      </c>
      <c r="AC1014" s="49">
        <f t="shared" si="248"/>
        <v>0</v>
      </c>
      <c r="AD1014" s="53" t="e">
        <f>#REF!*D1014</f>
        <v>#REF!</v>
      </c>
      <c r="AE1014" s="53" t="e">
        <f>AD1014-#REF!</f>
        <v>#REF!</v>
      </c>
      <c r="AF1014" s="9"/>
      <c r="AG1014" s="33" t="e">
        <f>#REF!-D1014</f>
        <v>#REF!</v>
      </c>
      <c r="AH1014" s="9"/>
      <c r="AI1014" s="9"/>
      <c r="AJ1014" s="9"/>
      <c r="AK1014" s="9"/>
    </row>
    <row r="1015" spans="1:37" s="12" customFormat="1" ht="20.399999999999999" outlineLevel="1" x14ac:dyDescent="0.2">
      <c r="A1015" s="61" t="s">
        <v>2557</v>
      </c>
      <c r="B1015" s="14" t="s">
        <v>226</v>
      </c>
      <c r="C1015" s="9" t="s">
        <v>36</v>
      </c>
      <c r="D1015" s="25">
        <f t="shared" si="246"/>
        <v>386</v>
      </c>
      <c r="E1015" s="54"/>
      <c r="F1015" s="9"/>
      <c r="G1015" s="49">
        <f t="shared" ref="G1015:AC1015" si="249">G1011+G1026*2</f>
        <v>0</v>
      </c>
      <c r="H1015" s="49">
        <f t="shared" si="249"/>
        <v>26</v>
      </c>
      <c r="I1015" s="49">
        <f t="shared" si="249"/>
        <v>20</v>
      </c>
      <c r="J1015" s="49">
        <f t="shared" si="249"/>
        <v>26</v>
      </c>
      <c r="K1015" s="49">
        <f t="shared" si="249"/>
        <v>17</v>
      </c>
      <c r="L1015" s="49">
        <f t="shared" si="249"/>
        <v>41</v>
      </c>
      <c r="M1015" s="49">
        <f t="shared" si="249"/>
        <v>38</v>
      </c>
      <c r="N1015" s="49">
        <f t="shared" si="249"/>
        <v>38</v>
      </c>
      <c r="O1015" s="49">
        <f t="shared" si="249"/>
        <v>62</v>
      </c>
      <c r="P1015" s="49">
        <f t="shared" si="249"/>
        <v>40</v>
      </c>
      <c r="Q1015" s="49">
        <f t="shared" si="249"/>
        <v>5</v>
      </c>
      <c r="R1015" s="49">
        <f t="shared" si="249"/>
        <v>0</v>
      </c>
      <c r="S1015" s="49">
        <f t="shared" si="249"/>
        <v>0</v>
      </c>
      <c r="T1015" s="49">
        <f t="shared" si="249"/>
        <v>0</v>
      </c>
      <c r="U1015" s="49">
        <f t="shared" si="249"/>
        <v>7</v>
      </c>
      <c r="V1015" s="49">
        <f t="shared" si="249"/>
        <v>8</v>
      </c>
      <c r="W1015" s="49">
        <f t="shared" si="249"/>
        <v>6</v>
      </c>
      <c r="X1015" s="49">
        <f t="shared" si="249"/>
        <v>14</v>
      </c>
      <c r="Y1015" s="49">
        <f t="shared" si="249"/>
        <v>12</v>
      </c>
      <c r="Z1015" s="49">
        <f t="shared" si="249"/>
        <v>10</v>
      </c>
      <c r="AA1015" s="49">
        <f t="shared" si="249"/>
        <v>14</v>
      </c>
      <c r="AB1015" s="49">
        <f t="shared" si="249"/>
        <v>2</v>
      </c>
      <c r="AC1015" s="49">
        <f t="shared" si="249"/>
        <v>0</v>
      </c>
      <c r="AD1015" s="53" t="e">
        <f>#REF!*D1015</f>
        <v>#REF!</v>
      </c>
      <c r="AE1015" s="53" t="e">
        <f>AD1015-#REF!</f>
        <v>#REF!</v>
      </c>
      <c r="AF1015" s="9"/>
      <c r="AG1015" s="33" t="e">
        <f>#REF!-D1015</f>
        <v>#REF!</v>
      </c>
      <c r="AH1015" s="9"/>
      <c r="AI1015" s="9"/>
      <c r="AJ1015" s="9"/>
      <c r="AK1015" s="9"/>
    </row>
    <row r="1016" spans="1:37" s="12" customFormat="1" ht="20.399999999999999" outlineLevel="1" x14ac:dyDescent="0.2">
      <c r="A1016" s="61" t="s">
        <v>2558</v>
      </c>
      <c r="B1016" s="14" t="s">
        <v>227</v>
      </c>
      <c r="C1016" s="9" t="s">
        <v>36</v>
      </c>
      <c r="D1016" s="25">
        <f t="shared" si="246"/>
        <v>8</v>
      </c>
      <c r="E1016" s="54"/>
      <c r="F1016" s="9"/>
      <c r="G1016" s="9">
        <v>0</v>
      </c>
      <c r="H1016" s="9">
        <v>0</v>
      </c>
      <c r="I1016" s="9">
        <v>0</v>
      </c>
      <c r="J1016" s="9">
        <v>0</v>
      </c>
      <c r="K1016" s="9">
        <v>0</v>
      </c>
      <c r="L1016" s="9">
        <v>0</v>
      </c>
      <c r="M1016" s="9">
        <v>0</v>
      </c>
      <c r="N1016" s="9">
        <v>0</v>
      </c>
      <c r="O1016" s="9">
        <v>0</v>
      </c>
      <c r="P1016" s="9">
        <v>0</v>
      </c>
      <c r="Q1016" s="9">
        <v>0</v>
      </c>
      <c r="R1016" s="9">
        <v>0</v>
      </c>
      <c r="S1016" s="9">
        <v>0</v>
      </c>
      <c r="T1016" s="9">
        <v>8</v>
      </c>
      <c r="U1016" s="9">
        <v>0</v>
      </c>
      <c r="V1016" s="9">
        <v>0</v>
      </c>
      <c r="W1016" s="9">
        <v>0</v>
      </c>
      <c r="X1016" s="9">
        <v>0</v>
      </c>
      <c r="Y1016" s="9">
        <v>0</v>
      </c>
      <c r="Z1016" s="9">
        <v>0</v>
      </c>
      <c r="AA1016" s="9">
        <v>0</v>
      </c>
      <c r="AB1016" s="9">
        <v>0</v>
      </c>
      <c r="AC1016" s="9">
        <v>0</v>
      </c>
      <c r="AD1016" s="53" t="e">
        <f>#REF!*D1016</f>
        <v>#REF!</v>
      </c>
      <c r="AE1016" s="53" t="e">
        <f>AD1016-#REF!</f>
        <v>#REF!</v>
      </c>
      <c r="AF1016" s="9"/>
      <c r="AG1016" s="33" t="e">
        <f>#REF!-D1016</f>
        <v>#REF!</v>
      </c>
      <c r="AH1016" s="9"/>
      <c r="AI1016" s="9"/>
      <c r="AJ1016" s="9"/>
      <c r="AK1016" s="9"/>
    </row>
    <row r="1017" spans="1:37" s="17" customFormat="1" ht="24.75" customHeight="1" outlineLevel="1" x14ac:dyDescent="0.2">
      <c r="A1017" s="61" t="s">
        <v>2559</v>
      </c>
      <c r="B1017" s="47" t="s">
        <v>2482</v>
      </c>
      <c r="C1017" s="9" t="s">
        <v>47</v>
      </c>
      <c r="D1017" s="25">
        <f t="shared" si="246"/>
        <v>376</v>
      </c>
      <c r="E1017" s="54"/>
      <c r="F1017" s="9"/>
      <c r="G1017" s="88">
        <f t="shared" ref="G1017:AC1017" si="250">G1011</f>
        <v>0</v>
      </c>
      <c r="H1017" s="88">
        <f t="shared" si="250"/>
        <v>22</v>
      </c>
      <c r="I1017" s="88">
        <f t="shared" si="250"/>
        <v>18</v>
      </c>
      <c r="J1017" s="88">
        <f t="shared" si="250"/>
        <v>26</v>
      </c>
      <c r="K1017" s="88">
        <f t="shared" si="250"/>
        <v>17</v>
      </c>
      <c r="L1017" s="88">
        <f t="shared" si="250"/>
        <v>41</v>
      </c>
      <c r="M1017" s="88">
        <f t="shared" si="250"/>
        <v>38</v>
      </c>
      <c r="N1017" s="88">
        <f t="shared" si="250"/>
        <v>38</v>
      </c>
      <c r="O1017" s="88">
        <f t="shared" si="250"/>
        <v>62</v>
      </c>
      <c r="P1017" s="88">
        <f t="shared" si="250"/>
        <v>40</v>
      </c>
      <c r="Q1017" s="88">
        <f t="shared" si="250"/>
        <v>5</v>
      </c>
      <c r="R1017" s="88">
        <f t="shared" si="250"/>
        <v>0</v>
      </c>
      <c r="S1017" s="88">
        <f t="shared" si="250"/>
        <v>0</v>
      </c>
      <c r="T1017" s="88">
        <f t="shared" si="250"/>
        <v>0</v>
      </c>
      <c r="U1017" s="88">
        <f t="shared" si="250"/>
        <v>3</v>
      </c>
      <c r="V1017" s="88">
        <f t="shared" si="250"/>
        <v>8</v>
      </c>
      <c r="W1017" s="88">
        <f t="shared" si="250"/>
        <v>6</v>
      </c>
      <c r="X1017" s="88">
        <f t="shared" si="250"/>
        <v>14</v>
      </c>
      <c r="Y1017" s="88">
        <f t="shared" si="250"/>
        <v>12</v>
      </c>
      <c r="Z1017" s="88">
        <f t="shared" si="250"/>
        <v>10</v>
      </c>
      <c r="AA1017" s="88">
        <f t="shared" si="250"/>
        <v>14</v>
      </c>
      <c r="AB1017" s="88">
        <f t="shared" si="250"/>
        <v>2</v>
      </c>
      <c r="AC1017" s="88">
        <f t="shared" si="250"/>
        <v>0</v>
      </c>
      <c r="AD1017" s="53" t="e">
        <f>#REF!*D1017</f>
        <v>#REF!</v>
      </c>
      <c r="AE1017" s="53" t="e">
        <f>AD1017-#REF!</f>
        <v>#REF!</v>
      </c>
      <c r="AF1017" s="8"/>
      <c r="AG1017" s="33" t="e">
        <f>#REF!-D1017</f>
        <v>#REF!</v>
      </c>
      <c r="AH1017" s="8"/>
      <c r="AI1017" s="8"/>
      <c r="AJ1017" s="8"/>
      <c r="AK1017" s="8"/>
    </row>
    <row r="1018" spans="1:37" s="17" customFormat="1" ht="26.25" customHeight="1" outlineLevel="1" x14ac:dyDescent="0.2">
      <c r="A1018" s="61" t="s">
        <v>2560</v>
      </c>
      <c r="B1018" s="47" t="s">
        <v>425</v>
      </c>
      <c r="C1018" s="8" t="s">
        <v>47</v>
      </c>
      <c r="D1018" s="25">
        <f t="shared" si="246"/>
        <v>752</v>
      </c>
      <c r="E1018" s="54"/>
      <c r="F1018" s="9"/>
      <c r="G1018" s="88">
        <f t="shared" ref="G1018:AC1018" si="251">G1017*2</f>
        <v>0</v>
      </c>
      <c r="H1018" s="88">
        <f t="shared" si="251"/>
        <v>44</v>
      </c>
      <c r="I1018" s="88">
        <f t="shared" si="251"/>
        <v>36</v>
      </c>
      <c r="J1018" s="88">
        <f t="shared" si="251"/>
        <v>52</v>
      </c>
      <c r="K1018" s="88">
        <f t="shared" si="251"/>
        <v>34</v>
      </c>
      <c r="L1018" s="88">
        <f t="shared" si="251"/>
        <v>82</v>
      </c>
      <c r="M1018" s="88">
        <f t="shared" si="251"/>
        <v>76</v>
      </c>
      <c r="N1018" s="88">
        <f t="shared" si="251"/>
        <v>76</v>
      </c>
      <c r="O1018" s="88">
        <f t="shared" si="251"/>
        <v>124</v>
      </c>
      <c r="P1018" s="88">
        <f t="shared" si="251"/>
        <v>80</v>
      </c>
      <c r="Q1018" s="88">
        <f t="shared" si="251"/>
        <v>10</v>
      </c>
      <c r="R1018" s="88">
        <f t="shared" si="251"/>
        <v>0</v>
      </c>
      <c r="S1018" s="88">
        <f t="shared" si="251"/>
        <v>0</v>
      </c>
      <c r="T1018" s="88">
        <f t="shared" si="251"/>
        <v>0</v>
      </c>
      <c r="U1018" s="88">
        <f t="shared" si="251"/>
        <v>6</v>
      </c>
      <c r="V1018" s="88">
        <f t="shared" si="251"/>
        <v>16</v>
      </c>
      <c r="W1018" s="88">
        <f t="shared" si="251"/>
        <v>12</v>
      </c>
      <c r="X1018" s="88">
        <f t="shared" si="251"/>
        <v>28</v>
      </c>
      <c r="Y1018" s="88">
        <f t="shared" si="251"/>
        <v>24</v>
      </c>
      <c r="Z1018" s="88">
        <f t="shared" si="251"/>
        <v>20</v>
      </c>
      <c r="AA1018" s="88">
        <f t="shared" si="251"/>
        <v>28</v>
      </c>
      <c r="AB1018" s="88">
        <f t="shared" si="251"/>
        <v>4</v>
      </c>
      <c r="AC1018" s="88">
        <f t="shared" si="251"/>
        <v>0</v>
      </c>
      <c r="AD1018" s="53" t="e">
        <f>#REF!*D1018</f>
        <v>#REF!</v>
      </c>
      <c r="AE1018" s="53" t="e">
        <f>AD1018-#REF!</f>
        <v>#REF!</v>
      </c>
      <c r="AF1018" s="8"/>
      <c r="AG1018" s="33" t="e">
        <f>#REF!-D1018</f>
        <v>#REF!</v>
      </c>
      <c r="AH1018" s="8"/>
      <c r="AI1018" s="8"/>
      <c r="AJ1018" s="8"/>
      <c r="AK1018" s="8"/>
    </row>
    <row r="1019" spans="1:37" s="12" customFormat="1" ht="20.399999999999999" outlineLevel="1" x14ac:dyDescent="0.2">
      <c r="A1019" s="61" t="s">
        <v>2561</v>
      </c>
      <c r="B1019" s="14" t="s">
        <v>2478</v>
      </c>
      <c r="C1019" s="9" t="s">
        <v>47</v>
      </c>
      <c r="D1019" s="25">
        <f t="shared" si="246"/>
        <v>719</v>
      </c>
      <c r="E1019" s="54"/>
      <c r="F1019" s="78"/>
      <c r="G1019" s="33">
        <v>0</v>
      </c>
      <c r="H1019" s="33">
        <v>30</v>
      </c>
      <c r="I1019" s="9">
        <f>26-8</f>
        <v>18</v>
      </c>
      <c r="J1019" s="9">
        <f>32-5</f>
        <v>27</v>
      </c>
      <c r="K1019" s="9">
        <v>12</v>
      </c>
      <c r="L1019" s="9">
        <f>106-23</f>
        <v>83</v>
      </c>
      <c r="M1019" s="9">
        <v>72</v>
      </c>
      <c r="N1019" s="9">
        <v>72</v>
      </c>
      <c r="O1019" s="9">
        <v>74</v>
      </c>
      <c r="P1019" s="9">
        <v>32</v>
      </c>
      <c r="Q1019" s="9">
        <v>5</v>
      </c>
      <c r="R1019" s="9">
        <v>0</v>
      </c>
      <c r="S1019" s="9">
        <v>0</v>
      </c>
      <c r="T1019" s="9">
        <f>108/1.5</f>
        <v>72</v>
      </c>
      <c r="U1019" s="33">
        <f t="shared" ref="U1019:AA1019" si="252">U1009*2</f>
        <v>10</v>
      </c>
      <c r="V1019" s="33">
        <f t="shared" si="252"/>
        <v>14</v>
      </c>
      <c r="W1019" s="33">
        <f t="shared" si="252"/>
        <v>12</v>
      </c>
      <c r="X1019" s="33">
        <f t="shared" si="252"/>
        <v>48</v>
      </c>
      <c r="Y1019" s="33">
        <f t="shared" si="252"/>
        <v>44</v>
      </c>
      <c r="Z1019" s="33">
        <f t="shared" si="252"/>
        <v>40</v>
      </c>
      <c r="AA1019" s="33">
        <f t="shared" si="252"/>
        <v>50</v>
      </c>
      <c r="AB1019" s="9">
        <v>4</v>
      </c>
      <c r="AC1019" s="9">
        <v>0</v>
      </c>
      <c r="AD1019" s="53" t="e">
        <f>#REF!*D1019</f>
        <v>#REF!</v>
      </c>
      <c r="AE1019" s="53" t="e">
        <f>AD1019-#REF!</f>
        <v>#REF!</v>
      </c>
      <c r="AF1019" s="9"/>
      <c r="AG1019" s="33" t="e">
        <f>#REF!-D1019</f>
        <v>#REF!</v>
      </c>
      <c r="AH1019" s="9"/>
      <c r="AI1019" s="9"/>
      <c r="AJ1019" s="9"/>
      <c r="AK1019" s="9"/>
    </row>
    <row r="1020" spans="1:37" s="17" customFormat="1" ht="20.399999999999999" outlineLevel="1" x14ac:dyDescent="0.2">
      <c r="A1020" s="61" t="s">
        <v>2562</v>
      </c>
      <c r="B1020" s="14" t="s">
        <v>424</v>
      </c>
      <c r="C1020" s="8" t="s">
        <v>47</v>
      </c>
      <c r="D1020" s="25">
        <f t="shared" si="246"/>
        <v>719</v>
      </c>
      <c r="E1020" s="54"/>
      <c r="F1020" s="9"/>
      <c r="G1020" s="88">
        <f t="shared" ref="G1020:AC1020" si="253">G1019</f>
        <v>0</v>
      </c>
      <c r="H1020" s="88">
        <f t="shared" si="253"/>
        <v>30</v>
      </c>
      <c r="I1020" s="88">
        <f t="shared" si="253"/>
        <v>18</v>
      </c>
      <c r="J1020" s="88">
        <f t="shared" si="253"/>
        <v>27</v>
      </c>
      <c r="K1020" s="88">
        <f t="shared" si="253"/>
        <v>12</v>
      </c>
      <c r="L1020" s="88">
        <f t="shared" si="253"/>
        <v>83</v>
      </c>
      <c r="M1020" s="88">
        <f t="shared" si="253"/>
        <v>72</v>
      </c>
      <c r="N1020" s="88">
        <f t="shared" si="253"/>
        <v>72</v>
      </c>
      <c r="O1020" s="88">
        <f t="shared" si="253"/>
        <v>74</v>
      </c>
      <c r="P1020" s="88">
        <f t="shared" si="253"/>
        <v>32</v>
      </c>
      <c r="Q1020" s="88">
        <f t="shared" si="253"/>
        <v>5</v>
      </c>
      <c r="R1020" s="88">
        <f t="shared" si="253"/>
        <v>0</v>
      </c>
      <c r="S1020" s="88">
        <f t="shared" si="253"/>
        <v>0</v>
      </c>
      <c r="T1020" s="88">
        <f t="shared" si="253"/>
        <v>72</v>
      </c>
      <c r="U1020" s="88">
        <f t="shared" si="253"/>
        <v>10</v>
      </c>
      <c r="V1020" s="88">
        <f t="shared" si="253"/>
        <v>14</v>
      </c>
      <c r="W1020" s="88">
        <f t="shared" si="253"/>
        <v>12</v>
      </c>
      <c r="X1020" s="88">
        <f t="shared" si="253"/>
        <v>48</v>
      </c>
      <c r="Y1020" s="88">
        <f t="shared" si="253"/>
        <v>44</v>
      </c>
      <c r="Z1020" s="88">
        <f t="shared" si="253"/>
        <v>40</v>
      </c>
      <c r="AA1020" s="88">
        <f t="shared" si="253"/>
        <v>50</v>
      </c>
      <c r="AB1020" s="88">
        <f t="shared" si="253"/>
        <v>4</v>
      </c>
      <c r="AC1020" s="88">
        <f t="shared" si="253"/>
        <v>0</v>
      </c>
      <c r="AD1020" s="53" t="e">
        <f>#REF!*D1020</f>
        <v>#REF!</v>
      </c>
      <c r="AE1020" s="53" t="e">
        <f>AD1020-#REF!</f>
        <v>#REF!</v>
      </c>
      <c r="AF1020" s="8"/>
      <c r="AG1020" s="33" t="e">
        <f>#REF!-D1020</f>
        <v>#REF!</v>
      </c>
      <c r="AH1020" s="8"/>
      <c r="AI1020" s="8"/>
      <c r="AJ1020" s="8"/>
      <c r="AK1020" s="8"/>
    </row>
    <row r="1021" spans="1:37" s="12" customFormat="1" ht="20.399999999999999" outlineLevel="1" x14ac:dyDescent="0.2">
      <c r="A1021" s="61" t="s">
        <v>2563</v>
      </c>
      <c r="B1021" s="14" t="s">
        <v>69</v>
      </c>
      <c r="C1021" s="9" t="s">
        <v>47</v>
      </c>
      <c r="D1021" s="25">
        <f t="shared" si="246"/>
        <v>1438</v>
      </c>
      <c r="E1021" s="54"/>
      <c r="F1021" s="9"/>
      <c r="G1021" s="49">
        <f t="shared" ref="G1021:AC1021" si="254">G1020*2</f>
        <v>0</v>
      </c>
      <c r="H1021" s="49">
        <f t="shared" si="254"/>
        <v>60</v>
      </c>
      <c r="I1021" s="49">
        <f t="shared" si="254"/>
        <v>36</v>
      </c>
      <c r="J1021" s="49">
        <f t="shared" si="254"/>
        <v>54</v>
      </c>
      <c r="K1021" s="49">
        <f t="shared" si="254"/>
        <v>24</v>
      </c>
      <c r="L1021" s="49">
        <f t="shared" si="254"/>
        <v>166</v>
      </c>
      <c r="M1021" s="49">
        <f t="shared" si="254"/>
        <v>144</v>
      </c>
      <c r="N1021" s="49">
        <f t="shared" si="254"/>
        <v>144</v>
      </c>
      <c r="O1021" s="49">
        <f t="shared" si="254"/>
        <v>148</v>
      </c>
      <c r="P1021" s="49">
        <f t="shared" si="254"/>
        <v>64</v>
      </c>
      <c r="Q1021" s="49">
        <f t="shared" si="254"/>
        <v>10</v>
      </c>
      <c r="R1021" s="49">
        <f t="shared" si="254"/>
        <v>0</v>
      </c>
      <c r="S1021" s="49">
        <f t="shared" si="254"/>
        <v>0</v>
      </c>
      <c r="T1021" s="49">
        <f t="shared" si="254"/>
        <v>144</v>
      </c>
      <c r="U1021" s="49">
        <f t="shared" si="254"/>
        <v>20</v>
      </c>
      <c r="V1021" s="49">
        <f t="shared" si="254"/>
        <v>28</v>
      </c>
      <c r="W1021" s="49">
        <f t="shared" si="254"/>
        <v>24</v>
      </c>
      <c r="X1021" s="49">
        <f t="shared" si="254"/>
        <v>96</v>
      </c>
      <c r="Y1021" s="49">
        <f t="shared" si="254"/>
        <v>88</v>
      </c>
      <c r="Z1021" s="49">
        <f t="shared" si="254"/>
        <v>80</v>
      </c>
      <c r="AA1021" s="49">
        <f t="shared" si="254"/>
        <v>100</v>
      </c>
      <c r="AB1021" s="49">
        <f t="shared" si="254"/>
        <v>8</v>
      </c>
      <c r="AC1021" s="49">
        <f t="shared" si="254"/>
        <v>0</v>
      </c>
      <c r="AD1021" s="53" t="e">
        <f>#REF!*D1021</f>
        <v>#REF!</v>
      </c>
      <c r="AE1021" s="53" t="e">
        <f>AD1021-#REF!</f>
        <v>#REF!</v>
      </c>
      <c r="AF1021" s="9"/>
      <c r="AG1021" s="33" t="e">
        <f>#REF!-D1021</f>
        <v>#REF!</v>
      </c>
      <c r="AH1021" s="9"/>
      <c r="AI1021" s="9"/>
      <c r="AJ1021" s="9"/>
      <c r="AK1021" s="9"/>
    </row>
    <row r="1022" spans="1:37" s="12" customFormat="1" ht="20.399999999999999" outlineLevel="1" x14ac:dyDescent="0.2">
      <c r="A1022" s="61" t="s">
        <v>2564</v>
      </c>
      <c r="B1022" s="14" t="s">
        <v>1032</v>
      </c>
      <c r="C1022" s="9" t="s">
        <v>47</v>
      </c>
      <c r="D1022" s="25">
        <f t="shared" si="246"/>
        <v>4314</v>
      </c>
      <c r="E1022" s="54"/>
      <c r="F1022" s="9"/>
      <c r="G1022" s="49">
        <f t="shared" ref="G1022:AC1022" si="255">G1020*6</f>
        <v>0</v>
      </c>
      <c r="H1022" s="49">
        <f t="shared" si="255"/>
        <v>180</v>
      </c>
      <c r="I1022" s="49">
        <f t="shared" si="255"/>
        <v>108</v>
      </c>
      <c r="J1022" s="49">
        <f t="shared" si="255"/>
        <v>162</v>
      </c>
      <c r="K1022" s="49">
        <f t="shared" si="255"/>
        <v>72</v>
      </c>
      <c r="L1022" s="49">
        <f t="shared" si="255"/>
        <v>498</v>
      </c>
      <c r="M1022" s="49">
        <f t="shared" si="255"/>
        <v>432</v>
      </c>
      <c r="N1022" s="49">
        <f t="shared" si="255"/>
        <v>432</v>
      </c>
      <c r="O1022" s="49">
        <f t="shared" si="255"/>
        <v>444</v>
      </c>
      <c r="P1022" s="49">
        <f t="shared" si="255"/>
        <v>192</v>
      </c>
      <c r="Q1022" s="49">
        <f t="shared" si="255"/>
        <v>30</v>
      </c>
      <c r="R1022" s="49">
        <f t="shared" si="255"/>
        <v>0</v>
      </c>
      <c r="S1022" s="49">
        <f t="shared" si="255"/>
        <v>0</v>
      </c>
      <c r="T1022" s="49">
        <f t="shared" si="255"/>
        <v>432</v>
      </c>
      <c r="U1022" s="49">
        <f t="shared" si="255"/>
        <v>60</v>
      </c>
      <c r="V1022" s="49">
        <f t="shared" si="255"/>
        <v>84</v>
      </c>
      <c r="W1022" s="49">
        <f t="shared" si="255"/>
        <v>72</v>
      </c>
      <c r="X1022" s="49">
        <f t="shared" si="255"/>
        <v>288</v>
      </c>
      <c r="Y1022" s="49">
        <f t="shared" si="255"/>
        <v>264</v>
      </c>
      <c r="Z1022" s="49">
        <f t="shared" si="255"/>
        <v>240</v>
      </c>
      <c r="AA1022" s="49">
        <f t="shared" si="255"/>
        <v>300</v>
      </c>
      <c r="AB1022" s="49">
        <f t="shared" si="255"/>
        <v>24</v>
      </c>
      <c r="AC1022" s="49">
        <f t="shared" si="255"/>
        <v>0</v>
      </c>
      <c r="AD1022" s="53" t="e">
        <f>#REF!*D1022</f>
        <v>#REF!</v>
      </c>
      <c r="AE1022" s="53" t="e">
        <f>AD1022-#REF!</f>
        <v>#REF!</v>
      </c>
      <c r="AF1022" s="9"/>
      <c r="AG1022" s="33" t="e">
        <f>#REF!-D1022</f>
        <v>#REF!</v>
      </c>
      <c r="AH1022" s="9"/>
      <c r="AI1022" s="9"/>
      <c r="AJ1022" s="9"/>
      <c r="AK1022" s="9"/>
    </row>
    <row r="1023" spans="1:37" s="17" customFormat="1" ht="20.399999999999999" outlineLevel="1" x14ac:dyDescent="0.2">
      <c r="A1023" s="61" t="s">
        <v>2565</v>
      </c>
      <c r="B1023" s="14" t="s">
        <v>1033</v>
      </c>
      <c r="C1023" s="8" t="s">
        <v>48</v>
      </c>
      <c r="D1023" s="25">
        <f t="shared" si="246"/>
        <v>396</v>
      </c>
      <c r="E1023" s="54"/>
      <c r="F1023" s="9"/>
      <c r="G1023" s="49">
        <f t="shared" ref="G1023:AC1023" si="256">MROUND(G1020*0.55,3)</f>
        <v>0</v>
      </c>
      <c r="H1023" s="49">
        <f t="shared" si="256"/>
        <v>18</v>
      </c>
      <c r="I1023" s="49">
        <f t="shared" si="256"/>
        <v>9</v>
      </c>
      <c r="J1023" s="49">
        <f t="shared" si="256"/>
        <v>15</v>
      </c>
      <c r="K1023" s="49">
        <f t="shared" si="256"/>
        <v>6</v>
      </c>
      <c r="L1023" s="49">
        <f t="shared" si="256"/>
        <v>45</v>
      </c>
      <c r="M1023" s="49">
        <f t="shared" si="256"/>
        <v>39</v>
      </c>
      <c r="N1023" s="49">
        <f t="shared" si="256"/>
        <v>39</v>
      </c>
      <c r="O1023" s="49">
        <f t="shared" si="256"/>
        <v>42</v>
      </c>
      <c r="P1023" s="49">
        <f t="shared" si="256"/>
        <v>18</v>
      </c>
      <c r="Q1023" s="49">
        <f t="shared" si="256"/>
        <v>3</v>
      </c>
      <c r="R1023" s="49">
        <f t="shared" si="256"/>
        <v>0</v>
      </c>
      <c r="S1023" s="49">
        <f t="shared" si="256"/>
        <v>0</v>
      </c>
      <c r="T1023" s="49">
        <f t="shared" si="256"/>
        <v>39</v>
      </c>
      <c r="U1023" s="49">
        <f t="shared" si="256"/>
        <v>6</v>
      </c>
      <c r="V1023" s="49">
        <f t="shared" si="256"/>
        <v>9</v>
      </c>
      <c r="W1023" s="49">
        <f t="shared" si="256"/>
        <v>6</v>
      </c>
      <c r="X1023" s="49">
        <f t="shared" si="256"/>
        <v>27</v>
      </c>
      <c r="Y1023" s="49">
        <f t="shared" si="256"/>
        <v>24</v>
      </c>
      <c r="Z1023" s="49">
        <f t="shared" si="256"/>
        <v>21</v>
      </c>
      <c r="AA1023" s="49">
        <f t="shared" si="256"/>
        <v>27</v>
      </c>
      <c r="AB1023" s="49">
        <f t="shared" si="256"/>
        <v>3</v>
      </c>
      <c r="AC1023" s="49">
        <f t="shared" si="256"/>
        <v>0</v>
      </c>
      <c r="AD1023" s="53" t="e">
        <f>#REF!*D1023</f>
        <v>#REF!</v>
      </c>
      <c r="AE1023" s="53" t="e">
        <f>AD1023-#REF!</f>
        <v>#REF!</v>
      </c>
      <c r="AF1023" s="8"/>
      <c r="AG1023" s="33" t="e">
        <f>#REF!-D1023</f>
        <v>#REF!</v>
      </c>
      <c r="AH1023" s="8"/>
      <c r="AI1023" s="8"/>
      <c r="AJ1023" s="8"/>
      <c r="AK1023" s="8"/>
    </row>
    <row r="1024" spans="1:37" s="12" customFormat="1" ht="10.199999999999999" outlineLevel="1" x14ac:dyDescent="0.2">
      <c r="A1024" s="61" t="s">
        <v>2566</v>
      </c>
      <c r="B1024" s="11" t="s">
        <v>56</v>
      </c>
      <c r="C1024" s="9" t="s">
        <v>57</v>
      </c>
      <c r="D1024" s="25">
        <f t="shared" si="246"/>
        <v>14</v>
      </c>
      <c r="E1024" s="54"/>
      <c r="F1024" s="9"/>
      <c r="G1024" s="49">
        <f t="shared" ref="G1024:AC1024" si="257">MROUND(SUM(G1009:G1010)*3/100,1)</f>
        <v>0</v>
      </c>
      <c r="H1024" s="49">
        <f t="shared" si="257"/>
        <v>1</v>
      </c>
      <c r="I1024" s="49">
        <f t="shared" si="257"/>
        <v>1</v>
      </c>
      <c r="J1024" s="49">
        <f t="shared" si="257"/>
        <v>1</v>
      </c>
      <c r="K1024" s="49">
        <f t="shared" si="257"/>
        <v>0</v>
      </c>
      <c r="L1024" s="49">
        <f t="shared" si="257"/>
        <v>2</v>
      </c>
      <c r="M1024" s="49">
        <f t="shared" si="257"/>
        <v>1</v>
      </c>
      <c r="N1024" s="49">
        <f t="shared" si="257"/>
        <v>1</v>
      </c>
      <c r="O1024" s="49">
        <f t="shared" si="257"/>
        <v>1</v>
      </c>
      <c r="P1024" s="49">
        <f t="shared" si="257"/>
        <v>1</v>
      </c>
      <c r="Q1024" s="49">
        <f t="shared" si="257"/>
        <v>0</v>
      </c>
      <c r="R1024" s="49">
        <f t="shared" si="257"/>
        <v>0</v>
      </c>
      <c r="S1024" s="49">
        <f t="shared" si="257"/>
        <v>0</v>
      </c>
      <c r="T1024" s="49">
        <f t="shared" si="257"/>
        <v>1</v>
      </c>
      <c r="U1024" s="49">
        <f t="shared" si="257"/>
        <v>0</v>
      </c>
      <c r="V1024" s="49">
        <f t="shared" si="257"/>
        <v>0</v>
      </c>
      <c r="W1024" s="49">
        <f t="shared" si="257"/>
        <v>0</v>
      </c>
      <c r="X1024" s="49">
        <f t="shared" si="257"/>
        <v>1</v>
      </c>
      <c r="Y1024" s="49">
        <f t="shared" si="257"/>
        <v>1</v>
      </c>
      <c r="Z1024" s="49">
        <f t="shared" si="257"/>
        <v>1</v>
      </c>
      <c r="AA1024" s="49">
        <f t="shared" si="257"/>
        <v>1</v>
      </c>
      <c r="AB1024" s="49">
        <f t="shared" si="257"/>
        <v>0</v>
      </c>
      <c r="AC1024" s="49">
        <f t="shared" si="257"/>
        <v>0</v>
      </c>
      <c r="AD1024" s="53" t="e">
        <f>#REF!*D1024</f>
        <v>#REF!</v>
      </c>
      <c r="AE1024" s="53" t="e">
        <f>AD1024-#REF!</f>
        <v>#REF!</v>
      </c>
      <c r="AF1024" s="9"/>
      <c r="AG1024" s="33" t="e">
        <f>#REF!-D1024</f>
        <v>#REF!</v>
      </c>
      <c r="AH1024" s="9"/>
      <c r="AI1024" s="9"/>
      <c r="AJ1024" s="9"/>
      <c r="AK1024" s="9"/>
    </row>
    <row r="1025" spans="1:37" s="12" customFormat="1" ht="20.399999999999999" outlineLevel="1" x14ac:dyDescent="0.2">
      <c r="A1025" s="61" t="s">
        <v>2567</v>
      </c>
      <c r="B1025" s="14" t="s">
        <v>70</v>
      </c>
      <c r="C1025" s="9" t="s">
        <v>47</v>
      </c>
      <c r="D1025" s="25">
        <f t="shared" si="246"/>
        <v>277</v>
      </c>
      <c r="E1025" s="54"/>
      <c r="F1025" s="9"/>
      <c r="G1025" s="49">
        <f t="shared" ref="G1025:AB1025" si="258">SUM(G1037:G1040)</f>
        <v>0</v>
      </c>
      <c r="H1025" s="49">
        <f t="shared" si="258"/>
        <v>26</v>
      </c>
      <c r="I1025" s="49">
        <f t="shared" si="258"/>
        <v>21</v>
      </c>
      <c r="J1025" s="49">
        <f t="shared" si="258"/>
        <v>19</v>
      </c>
      <c r="K1025" s="49">
        <f t="shared" si="258"/>
        <v>14</v>
      </c>
      <c r="L1025" s="49">
        <f t="shared" si="258"/>
        <v>24</v>
      </c>
      <c r="M1025" s="49">
        <f t="shared" si="258"/>
        <v>21</v>
      </c>
      <c r="N1025" s="49">
        <f t="shared" si="258"/>
        <v>21</v>
      </c>
      <c r="O1025" s="49">
        <f t="shared" si="258"/>
        <v>23</v>
      </c>
      <c r="P1025" s="49">
        <f t="shared" si="258"/>
        <v>30</v>
      </c>
      <c r="Q1025" s="49">
        <f t="shared" si="258"/>
        <v>5</v>
      </c>
      <c r="R1025" s="49">
        <f t="shared" si="258"/>
        <v>0</v>
      </c>
      <c r="S1025" s="49">
        <f t="shared" si="258"/>
        <v>0</v>
      </c>
      <c r="T1025" s="49">
        <f t="shared" si="258"/>
        <v>0</v>
      </c>
      <c r="U1025" s="49">
        <f t="shared" si="258"/>
        <v>2</v>
      </c>
      <c r="V1025" s="49">
        <f t="shared" si="258"/>
        <v>10</v>
      </c>
      <c r="W1025" s="49">
        <f t="shared" si="258"/>
        <v>3</v>
      </c>
      <c r="X1025" s="49">
        <f t="shared" si="258"/>
        <v>16</v>
      </c>
      <c r="Y1025" s="49">
        <f t="shared" si="258"/>
        <v>15</v>
      </c>
      <c r="Z1025" s="49">
        <f t="shared" si="258"/>
        <v>11</v>
      </c>
      <c r="AA1025" s="49">
        <f t="shared" si="258"/>
        <v>14</v>
      </c>
      <c r="AB1025" s="49">
        <f t="shared" si="258"/>
        <v>2</v>
      </c>
      <c r="AC1025" s="9">
        <v>0</v>
      </c>
      <c r="AD1025" s="53" t="e">
        <f>#REF!*D1025</f>
        <v>#REF!</v>
      </c>
      <c r="AE1025" s="53" t="e">
        <f>AD1025-#REF!</f>
        <v>#REF!</v>
      </c>
      <c r="AF1025" s="9"/>
      <c r="AG1025" s="33" t="e">
        <f>#REF!-D1025</f>
        <v>#REF!</v>
      </c>
      <c r="AH1025" s="9"/>
      <c r="AI1025" s="9"/>
      <c r="AJ1025" s="9"/>
      <c r="AK1025" s="9"/>
    </row>
    <row r="1026" spans="1:37" s="17" customFormat="1" ht="22.5" customHeight="1" outlineLevel="1" x14ac:dyDescent="0.2">
      <c r="A1026" s="61" t="s">
        <v>2568</v>
      </c>
      <c r="B1026" s="14" t="s">
        <v>71</v>
      </c>
      <c r="C1026" s="8" t="s">
        <v>47</v>
      </c>
      <c r="D1026" s="25">
        <f t="shared" si="246"/>
        <v>5</v>
      </c>
      <c r="E1026" s="54"/>
      <c r="F1026" s="9"/>
      <c r="G1026" s="9">
        <v>0</v>
      </c>
      <c r="H1026" s="9">
        <v>2</v>
      </c>
      <c r="I1026" s="9">
        <v>1</v>
      </c>
      <c r="J1026" s="9">
        <v>0</v>
      </c>
      <c r="K1026" s="9">
        <v>0</v>
      </c>
      <c r="L1026" s="9">
        <v>0</v>
      </c>
      <c r="M1026" s="9">
        <v>0</v>
      </c>
      <c r="N1026" s="9">
        <v>0</v>
      </c>
      <c r="O1026" s="9">
        <v>0</v>
      </c>
      <c r="P1026" s="9">
        <v>0</v>
      </c>
      <c r="Q1026" s="9">
        <v>0</v>
      </c>
      <c r="R1026" s="9">
        <v>0</v>
      </c>
      <c r="S1026" s="9">
        <v>0</v>
      </c>
      <c r="T1026" s="9">
        <v>0</v>
      </c>
      <c r="U1026" s="9">
        <v>2</v>
      </c>
      <c r="V1026" s="9">
        <v>0</v>
      </c>
      <c r="W1026" s="9">
        <v>0</v>
      </c>
      <c r="X1026" s="9">
        <v>0</v>
      </c>
      <c r="Y1026" s="9">
        <v>0</v>
      </c>
      <c r="Z1026" s="9">
        <v>0</v>
      </c>
      <c r="AA1026" s="9">
        <v>0</v>
      </c>
      <c r="AB1026" s="9">
        <v>0</v>
      </c>
      <c r="AC1026" s="9">
        <v>0</v>
      </c>
      <c r="AD1026" s="53" t="e">
        <f>#REF!*D1026</f>
        <v>#REF!</v>
      </c>
      <c r="AE1026" s="53" t="e">
        <f>AD1026-#REF!</f>
        <v>#REF!</v>
      </c>
      <c r="AF1026" s="8"/>
      <c r="AG1026" s="33" t="e">
        <f>#REF!-D1026</f>
        <v>#REF!</v>
      </c>
      <c r="AH1026" s="8"/>
      <c r="AI1026" s="8"/>
      <c r="AJ1026" s="8"/>
      <c r="AK1026" s="8"/>
    </row>
    <row r="1027" spans="1:37" s="12" customFormat="1" ht="30.6" outlineLevel="1" x14ac:dyDescent="0.2">
      <c r="A1027" s="61" t="s">
        <v>2569</v>
      </c>
      <c r="B1027" s="14" t="s">
        <v>330</v>
      </c>
      <c r="C1027" s="9" t="s">
        <v>47</v>
      </c>
      <c r="D1027" s="25">
        <f t="shared" si="246"/>
        <v>2</v>
      </c>
      <c r="E1027" s="54"/>
      <c r="F1027" s="9"/>
      <c r="G1027" s="9">
        <v>0</v>
      </c>
      <c r="H1027" s="9">
        <v>0</v>
      </c>
      <c r="I1027" s="9">
        <v>0</v>
      </c>
      <c r="J1027" s="9">
        <v>0</v>
      </c>
      <c r="K1027" s="9">
        <v>0</v>
      </c>
      <c r="L1027" s="9">
        <v>0</v>
      </c>
      <c r="M1027" s="9">
        <v>0</v>
      </c>
      <c r="N1027" s="9">
        <v>0</v>
      </c>
      <c r="O1027" s="9">
        <v>0</v>
      </c>
      <c r="P1027" s="9">
        <v>0</v>
      </c>
      <c r="Q1027" s="9">
        <v>0</v>
      </c>
      <c r="R1027" s="9">
        <v>0</v>
      </c>
      <c r="S1027" s="9">
        <v>0</v>
      </c>
      <c r="T1027" s="9">
        <v>2</v>
      </c>
      <c r="U1027" s="9">
        <v>0</v>
      </c>
      <c r="V1027" s="9">
        <v>0</v>
      </c>
      <c r="W1027" s="9">
        <v>0</v>
      </c>
      <c r="X1027" s="9">
        <v>0</v>
      </c>
      <c r="Y1027" s="9">
        <v>0</v>
      </c>
      <c r="Z1027" s="9">
        <v>0</v>
      </c>
      <c r="AA1027" s="9">
        <v>0</v>
      </c>
      <c r="AB1027" s="9">
        <v>0</v>
      </c>
      <c r="AC1027" s="9">
        <v>0</v>
      </c>
      <c r="AD1027" s="53" t="e">
        <f>#REF!*D1027</f>
        <v>#REF!</v>
      </c>
      <c r="AE1027" s="53" t="e">
        <f>AD1027-#REF!</f>
        <v>#REF!</v>
      </c>
      <c r="AF1027" s="9"/>
      <c r="AG1027" s="33" t="e">
        <f>#REF!-D1027</f>
        <v>#REF!</v>
      </c>
      <c r="AH1027" s="9"/>
      <c r="AI1027" s="9"/>
      <c r="AJ1027" s="9"/>
      <c r="AK1027" s="9"/>
    </row>
    <row r="1028" spans="1:37" s="12" customFormat="1" ht="33.75" customHeight="1" outlineLevel="1" x14ac:dyDescent="0.2">
      <c r="A1028" s="61" t="s">
        <v>2570</v>
      </c>
      <c r="B1028" s="47" t="s">
        <v>2592</v>
      </c>
      <c r="C1028" s="8" t="s">
        <v>47</v>
      </c>
      <c r="D1028" s="25">
        <f t="shared" si="246"/>
        <v>20</v>
      </c>
      <c r="E1028" s="54"/>
      <c r="F1028" s="9"/>
      <c r="G1028" s="9">
        <v>0</v>
      </c>
      <c r="H1028" s="9">
        <v>0</v>
      </c>
      <c r="I1028" s="9">
        <v>0</v>
      </c>
      <c r="J1028" s="9">
        <v>0</v>
      </c>
      <c r="K1028" s="9">
        <v>0</v>
      </c>
      <c r="L1028" s="9">
        <v>0</v>
      </c>
      <c r="M1028" s="9">
        <v>0</v>
      </c>
      <c r="N1028" s="9">
        <v>0</v>
      </c>
      <c r="O1028" s="9">
        <v>0</v>
      </c>
      <c r="P1028" s="9">
        <v>0</v>
      </c>
      <c r="Q1028" s="9">
        <v>0</v>
      </c>
      <c r="R1028" s="9">
        <v>0</v>
      </c>
      <c r="S1028" s="9">
        <v>0</v>
      </c>
      <c r="T1028" s="9">
        <v>20</v>
      </c>
      <c r="U1028" s="9">
        <v>0</v>
      </c>
      <c r="V1028" s="9">
        <v>0</v>
      </c>
      <c r="W1028" s="9">
        <v>0</v>
      </c>
      <c r="X1028" s="9">
        <v>0</v>
      </c>
      <c r="Y1028" s="9">
        <v>0</v>
      </c>
      <c r="Z1028" s="9">
        <v>0</v>
      </c>
      <c r="AA1028" s="9">
        <v>0</v>
      </c>
      <c r="AB1028" s="9">
        <v>0</v>
      </c>
      <c r="AC1028" s="9">
        <v>0</v>
      </c>
      <c r="AD1028" s="53" t="e">
        <f>#REF!*D1028</f>
        <v>#REF!</v>
      </c>
      <c r="AE1028" s="53" t="e">
        <f>AD1028-#REF!</f>
        <v>#REF!</v>
      </c>
      <c r="AF1028" s="9"/>
      <c r="AG1028" s="33" t="e">
        <f>#REF!-D1028</f>
        <v>#REF!</v>
      </c>
      <c r="AH1028" s="9"/>
      <c r="AI1028" s="9"/>
      <c r="AJ1028" s="9"/>
      <c r="AK1028" s="9"/>
    </row>
    <row r="1029" spans="1:37" s="17" customFormat="1" ht="20.399999999999999" outlineLevel="1" x14ac:dyDescent="0.2">
      <c r="A1029" s="117" t="s">
        <v>1103</v>
      </c>
      <c r="B1029" s="63" t="s">
        <v>1138</v>
      </c>
      <c r="C1029" s="8"/>
      <c r="D1029" s="25"/>
      <c r="E1029" s="54"/>
      <c r="F1029" s="9"/>
      <c r="G1029" s="33"/>
      <c r="H1029" s="33"/>
      <c r="I1029" s="9"/>
      <c r="J1029" s="9"/>
      <c r="K1029" s="9"/>
      <c r="L1029" s="9"/>
      <c r="M1029" s="9"/>
      <c r="N1029" s="9"/>
      <c r="O1029" s="9"/>
      <c r="P1029" s="9"/>
      <c r="Q1029" s="9"/>
      <c r="R1029" s="9"/>
      <c r="S1029" s="9"/>
      <c r="T1029" s="9"/>
      <c r="U1029" s="33"/>
      <c r="V1029" s="9"/>
      <c r="W1029" s="9"/>
      <c r="X1029" s="9"/>
      <c r="Y1029" s="9"/>
      <c r="Z1029" s="9"/>
      <c r="AA1029" s="9"/>
      <c r="AB1029" s="9"/>
      <c r="AC1029" s="9"/>
      <c r="AD1029" s="53" t="e">
        <f>#REF!*D1029</f>
        <v>#REF!</v>
      </c>
      <c r="AE1029" s="53" t="e">
        <f>AD1029-#REF!</f>
        <v>#REF!</v>
      </c>
      <c r="AF1029" s="8"/>
      <c r="AG1029" s="33" t="e">
        <f>#REF!-D1029</f>
        <v>#REF!</v>
      </c>
      <c r="AH1029" s="8"/>
      <c r="AI1029" s="8"/>
      <c r="AJ1029" s="8"/>
      <c r="AK1029" s="8"/>
    </row>
    <row r="1030" spans="1:37" s="12" customFormat="1" ht="10.199999999999999" outlineLevel="1" x14ac:dyDescent="0.2">
      <c r="A1030" s="61"/>
      <c r="B1030" s="11"/>
      <c r="C1030" s="9"/>
      <c r="D1030" s="25"/>
      <c r="E1030" s="54"/>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53" t="e">
        <f>#REF!*D1030</f>
        <v>#REF!</v>
      </c>
      <c r="AE1030" s="53" t="e">
        <f>AD1030-#REF!</f>
        <v>#REF!</v>
      </c>
      <c r="AF1030" s="9"/>
      <c r="AG1030" s="33" t="e">
        <f>#REF!-D1030</f>
        <v>#REF!</v>
      </c>
    </row>
    <row r="1031" spans="1:37" x14ac:dyDescent="0.25">
      <c r="A1031" s="18" t="s">
        <v>504</v>
      </c>
      <c r="B1031" s="35" t="s">
        <v>386</v>
      </c>
      <c r="C1031" s="18" t="s">
        <v>41</v>
      </c>
      <c r="D1031" s="52" t="e">
        <f>#REF!/#REF!*100</f>
        <v>#REF!</v>
      </c>
      <c r="G1031" s="9"/>
      <c r="AD1031" s="53" t="e">
        <f>#REF!*D1031</f>
        <v>#REF!</v>
      </c>
      <c r="AE1031" s="53" t="e">
        <f>AD1031-#REF!</f>
        <v>#REF!</v>
      </c>
      <c r="AG1031" s="33" t="e">
        <f>#REF!-D1031</f>
        <v>#REF!</v>
      </c>
    </row>
    <row r="1032" spans="1:37" s="12" customFormat="1" ht="21.75" customHeight="1" outlineLevel="1" x14ac:dyDescent="0.2">
      <c r="A1032" s="61" t="s">
        <v>2571</v>
      </c>
      <c r="B1032" s="14" t="s">
        <v>1170</v>
      </c>
      <c r="C1032" s="9" t="s">
        <v>48</v>
      </c>
      <c r="D1032" s="25">
        <f>SUM(G1032:AC1032)</f>
        <v>4260</v>
      </c>
      <c r="E1032" s="54"/>
      <c r="F1032" s="9"/>
      <c r="G1032" s="9">
        <v>0</v>
      </c>
      <c r="H1032" s="9">
        <f>310-40</f>
        <v>270</v>
      </c>
      <c r="I1032" s="9">
        <f>320-80</f>
        <v>240</v>
      </c>
      <c r="J1032" s="9">
        <f>500-75</f>
        <v>425</v>
      </c>
      <c r="K1032" s="9">
        <f>220-55</f>
        <v>165</v>
      </c>
      <c r="L1032" s="9">
        <f>560-120</f>
        <v>440</v>
      </c>
      <c r="M1032" s="9">
        <v>285</v>
      </c>
      <c r="N1032" s="9">
        <v>285</v>
      </c>
      <c r="O1032" s="9">
        <v>300</v>
      </c>
      <c r="P1032" s="9">
        <v>270</v>
      </c>
      <c r="Q1032" s="9">
        <v>160</v>
      </c>
      <c r="R1032" s="9">
        <v>0</v>
      </c>
      <c r="S1032" s="9">
        <v>0</v>
      </c>
      <c r="T1032" s="9">
        <v>200</v>
      </c>
      <c r="U1032" s="9">
        <v>40</v>
      </c>
      <c r="V1032" s="9">
        <v>80</v>
      </c>
      <c r="W1032" s="9">
        <v>75</v>
      </c>
      <c r="X1032" s="9">
        <v>280</v>
      </c>
      <c r="Y1032" s="9">
        <v>220</v>
      </c>
      <c r="Z1032" s="9">
        <v>200</v>
      </c>
      <c r="AA1032" s="9">
        <v>260</v>
      </c>
      <c r="AB1032" s="9">
        <v>65</v>
      </c>
      <c r="AC1032" s="9">
        <v>0</v>
      </c>
      <c r="AD1032" s="53" t="e">
        <f>#REF!*D1032</f>
        <v>#REF!</v>
      </c>
      <c r="AE1032" s="53" t="e">
        <f>AD1032-#REF!</f>
        <v>#REF!</v>
      </c>
      <c r="AF1032" s="9"/>
      <c r="AG1032" s="33" t="e">
        <f>#REF!-D1032</f>
        <v>#REF!</v>
      </c>
      <c r="AH1032" s="9"/>
      <c r="AI1032" s="9"/>
      <c r="AJ1032" s="9"/>
      <c r="AK1032" s="9"/>
    </row>
    <row r="1033" spans="1:37" s="12" customFormat="1" ht="25.5" customHeight="1" outlineLevel="1" x14ac:dyDescent="0.2">
      <c r="A1033" s="61" t="s">
        <v>2572</v>
      </c>
      <c r="B1033" s="47" t="s">
        <v>2591</v>
      </c>
      <c r="C1033" s="9" t="s">
        <v>48</v>
      </c>
      <c r="D1033" s="25">
        <f>SUM(G1033:AC1033)</f>
        <v>940</v>
      </c>
      <c r="E1033" s="54"/>
      <c r="F1033" s="9"/>
      <c r="G1033" s="9">
        <v>0</v>
      </c>
      <c r="H1033" s="9">
        <v>100</v>
      </c>
      <c r="I1033" s="9">
        <f>310-75</f>
        <v>235</v>
      </c>
      <c r="J1033" s="9">
        <v>150</v>
      </c>
      <c r="K1033" s="9">
        <f>250-60</f>
        <v>190</v>
      </c>
      <c r="L1033" s="9">
        <v>55</v>
      </c>
      <c r="M1033" s="9">
        <v>0</v>
      </c>
      <c r="N1033" s="9">
        <v>0</v>
      </c>
      <c r="O1033" s="9">
        <v>0</v>
      </c>
      <c r="P1033" s="9">
        <v>0</v>
      </c>
      <c r="Q1033" s="9">
        <v>0</v>
      </c>
      <c r="R1033" s="9">
        <v>0</v>
      </c>
      <c r="S1033" s="9">
        <v>0</v>
      </c>
      <c r="T1033" s="9">
        <v>0</v>
      </c>
      <c r="U1033" s="9">
        <v>0</v>
      </c>
      <c r="V1033" s="9">
        <v>75</v>
      </c>
      <c r="W1033" s="9">
        <v>30</v>
      </c>
      <c r="X1033" s="9">
        <v>60</v>
      </c>
      <c r="Y1033" s="9">
        <v>15</v>
      </c>
      <c r="Z1033" s="9">
        <v>15</v>
      </c>
      <c r="AA1033" s="9">
        <v>15</v>
      </c>
      <c r="AB1033" s="9">
        <v>0</v>
      </c>
      <c r="AC1033" s="9">
        <v>0</v>
      </c>
      <c r="AD1033" s="53" t="e">
        <f>#REF!*D1033</f>
        <v>#REF!</v>
      </c>
      <c r="AE1033" s="53" t="e">
        <f>AD1033-#REF!</f>
        <v>#REF!</v>
      </c>
      <c r="AF1033" s="9"/>
      <c r="AG1033" s="33" t="e">
        <f>#REF!-D1033</f>
        <v>#REF!</v>
      </c>
      <c r="AH1033" s="9"/>
      <c r="AI1033" s="9"/>
      <c r="AJ1033" s="9"/>
      <c r="AK1033" s="9"/>
    </row>
    <row r="1034" spans="1:37" s="12" customFormat="1" ht="10.199999999999999" outlineLevel="1" x14ac:dyDescent="0.2">
      <c r="A1034" s="61" t="s">
        <v>2573</v>
      </c>
      <c r="B1034" s="63" t="s">
        <v>1171</v>
      </c>
      <c r="C1034" s="9" t="s">
        <v>48</v>
      </c>
      <c r="D1034" s="25">
        <f>SUM(G1034:AC1034)</f>
        <v>275</v>
      </c>
      <c r="E1034" s="54"/>
      <c r="F1034" s="9"/>
      <c r="G1034" s="9">
        <v>0</v>
      </c>
      <c r="H1034" s="9">
        <v>15</v>
      </c>
      <c r="I1034" s="9">
        <v>75</v>
      </c>
      <c r="J1034" s="9">
        <v>50</v>
      </c>
      <c r="K1034" s="9">
        <f>70-15</f>
        <v>55</v>
      </c>
      <c r="L1034" s="9">
        <v>50</v>
      </c>
      <c r="M1034" s="9">
        <v>0</v>
      </c>
      <c r="N1034" s="9">
        <v>0</v>
      </c>
      <c r="O1034" s="9">
        <v>0</v>
      </c>
      <c r="P1034" s="9">
        <v>0</v>
      </c>
      <c r="Q1034" s="9">
        <v>0</v>
      </c>
      <c r="R1034" s="9">
        <v>0</v>
      </c>
      <c r="S1034" s="9">
        <v>0</v>
      </c>
      <c r="T1034" s="9">
        <v>0</v>
      </c>
      <c r="U1034" s="9">
        <v>0</v>
      </c>
      <c r="V1034" s="9">
        <v>0</v>
      </c>
      <c r="W1034" s="9">
        <v>15</v>
      </c>
      <c r="X1034" s="9">
        <v>15</v>
      </c>
      <c r="Y1034" s="9">
        <v>0</v>
      </c>
      <c r="Z1034" s="9">
        <v>0</v>
      </c>
      <c r="AA1034" s="9">
        <v>0</v>
      </c>
      <c r="AB1034" s="9">
        <v>0</v>
      </c>
      <c r="AC1034" s="9">
        <v>0</v>
      </c>
      <c r="AD1034" s="53" t="e">
        <f>#REF!*D1034</f>
        <v>#REF!</v>
      </c>
      <c r="AE1034" s="53" t="e">
        <f>AD1034-#REF!</f>
        <v>#REF!</v>
      </c>
      <c r="AF1034" s="9"/>
      <c r="AG1034" s="33" t="e">
        <f>#REF!-D1034</f>
        <v>#REF!</v>
      </c>
      <c r="AH1034" s="9"/>
      <c r="AI1034" s="9"/>
      <c r="AJ1034" s="9"/>
      <c r="AK1034" s="9"/>
    </row>
    <row r="1035" spans="1:37" s="12" customFormat="1" ht="10.5" customHeight="1" outlineLevel="1" x14ac:dyDescent="0.2">
      <c r="A1035" s="61"/>
      <c r="B1035" s="14"/>
      <c r="C1035" s="9"/>
      <c r="D1035" s="25"/>
      <c r="E1035" s="54"/>
      <c r="F1035" s="9"/>
      <c r="G1035" s="9"/>
      <c r="H1035" s="9"/>
      <c r="I1035" s="9"/>
      <c r="J1035" s="9"/>
      <c r="K1035" s="9"/>
      <c r="L1035" s="9"/>
      <c r="M1035" s="9"/>
      <c r="N1035" s="9"/>
      <c r="O1035" s="9"/>
      <c r="P1035" s="9"/>
      <c r="Q1035" s="9"/>
      <c r="R1035" s="9"/>
      <c r="S1035" s="9"/>
      <c r="T1035" s="9"/>
      <c r="U1035" s="9"/>
      <c r="V1035" s="9"/>
      <c r="W1035" s="9"/>
      <c r="X1035" s="9"/>
      <c r="Y1035" s="9"/>
      <c r="Z1035" s="9"/>
      <c r="AA1035" s="9"/>
      <c r="AB1035" s="9"/>
      <c r="AC1035" s="9"/>
      <c r="AD1035" s="53" t="e">
        <f>#REF!*D1035</f>
        <v>#REF!</v>
      </c>
      <c r="AE1035" s="53" t="e">
        <f>AD1035-#REF!</f>
        <v>#REF!</v>
      </c>
      <c r="AF1035" s="9"/>
      <c r="AG1035" s="33" t="e">
        <f>#REF!-D1035</f>
        <v>#REF!</v>
      </c>
      <c r="AH1035" s="9"/>
      <c r="AI1035" s="9"/>
      <c r="AJ1035" s="9"/>
      <c r="AK1035" s="9"/>
    </row>
    <row r="1036" spans="1:37" x14ac:dyDescent="0.25">
      <c r="A1036" s="18" t="s">
        <v>505</v>
      </c>
      <c r="B1036" s="35" t="s">
        <v>1161</v>
      </c>
      <c r="C1036" s="18" t="s">
        <v>41</v>
      </c>
      <c r="D1036" s="52" t="e">
        <f>#REF!/#REF!*100</f>
        <v>#REF!</v>
      </c>
      <c r="G1036" s="9"/>
      <c r="AD1036" s="53" t="e">
        <f>#REF!*D1036</f>
        <v>#REF!</v>
      </c>
      <c r="AE1036" s="53" t="e">
        <f>AD1036-#REF!</f>
        <v>#REF!</v>
      </c>
      <c r="AG1036" s="33" t="e">
        <f>#REF!-D1036</f>
        <v>#REF!</v>
      </c>
    </row>
    <row r="1037" spans="1:37" s="12" customFormat="1" ht="21.75" customHeight="1" outlineLevel="1" x14ac:dyDescent="0.2">
      <c r="A1037" s="61" t="s">
        <v>2574</v>
      </c>
      <c r="B1037" s="36" t="s">
        <v>1165</v>
      </c>
      <c r="C1037" s="9" t="s">
        <v>47</v>
      </c>
      <c r="D1037" s="25">
        <f t="shared" ref="D1037:D1048" si="259">SUM(G1037:AC1037)</f>
        <v>50</v>
      </c>
      <c r="E1037" s="54"/>
      <c r="F1037" s="9"/>
      <c r="G1037" s="103">
        <v>0</v>
      </c>
      <c r="H1037" s="9">
        <v>11</v>
      </c>
      <c r="I1037" s="9">
        <v>12</v>
      </c>
      <c r="J1037" s="9">
        <v>4</v>
      </c>
      <c r="K1037" s="9">
        <v>4</v>
      </c>
      <c r="L1037" s="9">
        <v>4</v>
      </c>
      <c r="M1037" s="9">
        <v>3</v>
      </c>
      <c r="N1037" s="9">
        <v>3</v>
      </c>
      <c r="O1037" s="9">
        <v>3</v>
      </c>
      <c r="P1037" s="9">
        <v>3</v>
      </c>
      <c r="Q1037" s="9">
        <v>3</v>
      </c>
      <c r="R1037" s="9">
        <v>0</v>
      </c>
      <c r="S1037" s="9">
        <v>0</v>
      </c>
      <c r="T1037" s="9">
        <v>0</v>
      </c>
      <c r="U1037" s="9">
        <v>0</v>
      </c>
      <c r="V1037" s="9">
        <v>0</v>
      </c>
      <c r="W1037" s="9">
        <v>0</v>
      </c>
      <c r="X1037" s="9">
        <v>0</v>
      </c>
      <c r="Y1037" s="9">
        <v>0</v>
      </c>
      <c r="Z1037" s="9">
        <v>0</v>
      </c>
      <c r="AA1037" s="9">
        <v>0</v>
      </c>
      <c r="AB1037" s="9">
        <v>0</v>
      </c>
      <c r="AC1037" s="9">
        <v>0</v>
      </c>
      <c r="AD1037" s="53" t="e">
        <f>#REF!*D1037</f>
        <v>#REF!</v>
      </c>
      <c r="AE1037" s="53" t="e">
        <f>AD1037-#REF!</f>
        <v>#REF!</v>
      </c>
      <c r="AF1037" s="9"/>
      <c r="AG1037" s="33" t="e">
        <f>#REF!-D1037</f>
        <v>#REF!</v>
      </c>
      <c r="AH1037" s="9"/>
      <c r="AI1037" s="9"/>
      <c r="AJ1037" s="9"/>
      <c r="AK1037" s="9"/>
    </row>
    <row r="1038" spans="1:37" s="12" customFormat="1" ht="21.75" customHeight="1" outlineLevel="1" x14ac:dyDescent="0.2">
      <c r="A1038" s="61" t="s">
        <v>2575</v>
      </c>
      <c r="B1038" s="36" t="s">
        <v>1166</v>
      </c>
      <c r="C1038" s="9" t="s">
        <v>47</v>
      </c>
      <c r="D1038" s="25">
        <f t="shared" si="259"/>
        <v>159</v>
      </c>
      <c r="E1038" s="54"/>
      <c r="F1038" s="9"/>
      <c r="G1038" s="104">
        <v>0</v>
      </c>
      <c r="H1038" s="9">
        <v>0</v>
      </c>
      <c r="I1038" s="9">
        <v>0</v>
      </c>
      <c r="J1038" s="9">
        <v>7</v>
      </c>
      <c r="K1038" s="9">
        <v>0</v>
      </c>
      <c r="L1038" s="9">
        <v>18</v>
      </c>
      <c r="M1038" s="9">
        <v>18</v>
      </c>
      <c r="N1038" s="9">
        <v>18</v>
      </c>
      <c r="O1038" s="9">
        <v>16</v>
      </c>
      <c r="P1038" s="9">
        <v>23</v>
      </c>
      <c r="Q1038" s="9">
        <v>2</v>
      </c>
      <c r="R1038" s="9">
        <v>0</v>
      </c>
      <c r="S1038" s="9">
        <v>0</v>
      </c>
      <c r="T1038" s="9">
        <v>0</v>
      </c>
      <c r="U1038" s="9">
        <v>2</v>
      </c>
      <c r="V1038" s="9">
        <v>4</v>
      </c>
      <c r="W1038" s="9">
        <v>3</v>
      </c>
      <c r="X1038" s="9">
        <v>14</v>
      </c>
      <c r="Y1038" s="9">
        <v>11</v>
      </c>
      <c r="Z1038" s="9">
        <v>10</v>
      </c>
      <c r="AA1038" s="9">
        <v>13</v>
      </c>
      <c r="AB1038" s="9">
        <v>0</v>
      </c>
      <c r="AC1038" s="9">
        <v>0</v>
      </c>
      <c r="AD1038" s="53" t="e">
        <f>#REF!*D1038</f>
        <v>#REF!</v>
      </c>
      <c r="AE1038" s="53" t="e">
        <f>AD1038-#REF!</f>
        <v>#REF!</v>
      </c>
      <c r="AF1038" s="9"/>
      <c r="AG1038" s="33" t="e">
        <f>#REF!-D1038</f>
        <v>#REF!</v>
      </c>
      <c r="AH1038" s="9"/>
      <c r="AI1038" s="9"/>
      <c r="AJ1038" s="9"/>
      <c r="AK1038" s="9"/>
    </row>
    <row r="1039" spans="1:37" s="12" customFormat="1" ht="21.75" customHeight="1" outlineLevel="1" x14ac:dyDescent="0.2">
      <c r="A1039" s="61" t="s">
        <v>2576</v>
      </c>
      <c r="B1039" s="36" t="s">
        <v>1167</v>
      </c>
      <c r="C1039" s="9" t="s">
        <v>47</v>
      </c>
      <c r="D1039" s="25">
        <f t="shared" si="259"/>
        <v>32</v>
      </c>
      <c r="E1039" s="54"/>
      <c r="F1039" s="9"/>
      <c r="G1039" s="105">
        <v>0</v>
      </c>
      <c r="H1039" s="9">
        <v>12</v>
      </c>
      <c r="I1039" s="9">
        <v>3</v>
      </c>
      <c r="J1039" s="9">
        <v>2</v>
      </c>
      <c r="K1039" s="9">
        <v>1</v>
      </c>
      <c r="L1039" s="9">
        <v>0</v>
      </c>
      <c r="M1039" s="9">
        <v>0</v>
      </c>
      <c r="N1039" s="9">
        <v>0</v>
      </c>
      <c r="O1039" s="9">
        <v>4</v>
      </c>
      <c r="P1039" s="9">
        <v>4</v>
      </c>
      <c r="Q1039" s="9">
        <v>0</v>
      </c>
      <c r="R1039" s="9">
        <v>0</v>
      </c>
      <c r="S1039" s="9">
        <v>0</v>
      </c>
      <c r="T1039" s="9">
        <v>0</v>
      </c>
      <c r="U1039" s="9">
        <v>0</v>
      </c>
      <c r="V1039" s="9">
        <v>0</v>
      </c>
      <c r="W1039" s="9">
        <v>0</v>
      </c>
      <c r="X1039" s="9">
        <v>1</v>
      </c>
      <c r="Y1039" s="9">
        <v>1</v>
      </c>
      <c r="Z1039" s="9">
        <v>1</v>
      </c>
      <c r="AA1039" s="9">
        <v>1</v>
      </c>
      <c r="AB1039" s="9">
        <v>2</v>
      </c>
      <c r="AC1039" s="9">
        <v>0</v>
      </c>
      <c r="AD1039" s="53" t="e">
        <f>#REF!*D1039</f>
        <v>#REF!</v>
      </c>
      <c r="AE1039" s="53" t="e">
        <f>AD1039-#REF!</f>
        <v>#REF!</v>
      </c>
      <c r="AF1039" s="9"/>
      <c r="AG1039" s="33" t="e">
        <f>#REF!-D1039</f>
        <v>#REF!</v>
      </c>
      <c r="AH1039" s="9"/>
      <c r="AI1039" s="9"/>
      <c r="AJ1039" s="9"/>
      <c r="AK1039" s="9"/>
    </row>
    <row r="1040" spans="1:37" s="12" customFormat="1" ht="21.75" customHeight="1" outlineLevel="1" x14ac:dyDescent="0.2">
      <c r="A1040" s="61" t="s">
        <v>2577</v>
      </c>
      <c r="B1040" s="36" t="s">
        <v>1168</v>
      </c>
      <c r="C1040" s="9" t="s">
        <v>47</v>
      </c>
      <c r="D1040" s="25">
        <f t="shared" si="259"/>
        <v>36</v>
      </c>
      <c r="E1040" s="54"/>
      <c r="F1040" s="9"/>
      <c r="G1040" s="106">
        <v>0</v>
      </c>
      <c r="H1040" s="9">
        <v>3</v>
      </c>
      <c r="I1040" s="9">
        <f>12-6</f>
        <v>6</v>
      </c>
      <c r="J1040" s="9">
        <v>6</v>
      </c>
      <c r="K1040" s="9">
        <v>9</v>
      </c>
      <c r="L1040" s="9">
        <v>2</v>
      </c>
      <c r="M1040" s="9">
        <v>0</v>
      </c>
      <c r="N1040" s="9">
        <v>0</v>
      </c>
      <c r="O1040" s="9">
        <v>0</v>
      </c>
      <c r="P1040" s="9">
        <v>0</v>
      </c>
      <c r="Q1040" s="9">
        <v>0</v>
      </c>
      <c r="R1040" s="9">
        <v>0</v>
      </c>
      <c r="S1040" s="9">
        <v>0</v>
      </c>
      <c r="T1040" s="9">
        <v>0</v>
      </c>
      <c r="U1040" s="9">
        <v>0</v>
      </c>
      <c r="V1040" s="9">
        <v>6</v>
      </c>
      <c r="W1040" s="9">
        <v>0</v>
      </c>
      <c r="X1040" s="9">
        <v>1</v>
      </c>
      <c r="Y1040" s="9">
        <v>3</v>
      </c>
      <c r="Z1040" s="9">
        <v>0</v>
      </c>
      <c r="AA1040" s="9">
        <v>0</v>
      </c>
      <c r="AB1040" s="9">
        <v>0</v>
      </c>
      <c r="AC1040" s="9">
        <v>0</v>
      </c>
      <c r="AD1040" s="53" t="e">
        <f>#REF!*D1040</f>
        <v>#REF!</v>
      </c>
      <c r="AE1040" s="53" t="e">
        <f>AD1040-#REF!</f>
        <v>#REF!</v>
      </c>
      <c r="AF1040" s="9"/>
      <c r="AG1040" s="33" t="e">
        <f>#REF!-D1040</f>
        <v>#REF!</v>
      </c>
      <c r="AH1040" s="9"/>
      <c r="AI1040" s="9"/>
      <c r="AJ1040" s="9"/>
      <c r="AK1040" s="9"/>
    </row>
    <row r="1041" spans="1:37" s="12" customFormat="1" ht="30.6" outlineLevel="1" x14ac:dyDescent="0.2">
      <c r="A1041" s="61" t="s">
        <v>2578</v>
      </c>
      <c r="B1041" s="36" t="s">
        <v>1169</v>
      </c>
      <c r="C1041" s="9" t="s">
        <v>47</v>
      </c>
      <c r="D1041" s="25">
        <f t="shared" si="259"/>
        <v>11</v>
      </c>
      <c r="E1041" s="54"/>
      <c r="F1041" s="9"/>
      <c r="G1041" s="106">
        <v>0</v>
      </c>
      <c r="H1041" s="9">
        <v>1</v>
      </c>
      <c r="I1041" s="9">
        <v>3</v>
      </c>
      <c r="J1041" s="9">
        <v>2</v>
      </c>
      <c r="K1041" s="9">
        <v>3</v>
      </c>
      <c r="L1041" s="9">
        <v>2</v>
      </c>
      <c r="M1041" s="9">
        <v>0</v>
      </c>
      <c r="N1041" s="9">
        <v>0</v>
      </c>
      <c r="O1041" s="9">
        <v>0</v>
      </c>
      <c r="P1041" s="9">
        <v>0</v>
      </c>
      <c r="Q1041" s="9">
        <v>0</v>
      </c>
      <c r="R1041" s="9">
        <v>0</v>
      </c>
      <c r="S1041" s="9">
        <v>0</v>
      </c>
      <c r="T1041" s="9">
        <v>0</v>
      </c>
      <c r="U1041" s="9">
        <v>0</v>
      </c>
      <c r="V1041" s="9">
        <v>0</v>
      </c>
      <c r="W1041" s="9">
        <v>0</v>
      </c>
      <c r="X1041" s="9">
        <v>0</v>
      </c>
      <c r="Y1041" s="9">
        <v>0</v>
      </c>
      <c r="Z1041" s="9">
        <v>0</v>
      </c>
      <c r="AA1041" s="9">
        <v>0</v>
      </c>
      <c r="AB1041" s="9">
        <v>0</v>
      </c>
      <c r="AC1041" s="9">
        <v>0</v>
      </c>
      <c r="AD1041" s="53" t="e">
        <f>#REF!*D1041</f>
        <v>#REF!</v>
      </c>
      <c r="AE1041" s="53" t="e">
        <f>AD1041-#REF!</f>
        <v>#REF!</v>
      </c>
      <c r="AF1041" s="9"/>
      <c r="AG1041" s="33" t="e">
        <f>#REF!-D1041</f>
        <v>#REF!</v>
      </c>
      <c r="AH1041" s="9"/>
      <c r="AI1041" s="9"/>
      <c r="AJ1041" s="9"/>
      <c r="AK1041" s="9"/>
    </row>
    <row r="1042" spans="1:37" s="12" customFormat="1" ht="21.75" customHeight="1" outlineLevel="1" x14ac:dyDescent="0.2">
      <c r="A1042" s="61" t="s">
        <v>2579</v>
      </c>
      <c r="B1042" s="47" t="s">
        <v>1162</v>
      </c>
      <c r="C1042" s="9" t="s">
        <v>47</v>
      </c>
      <c r="D1042" s="25">
        <f t="shared" si="259"/>
        <v>88</v>
      </c>
      <c r="E1042" s="54"/>
      <c r="F1042" s="9"/>
      <c r="G1042" s="9">
        <v>0</v>
      </c>
      <c r="H1042" s="9">
        <v>0</v>
      </c>
      <c r="I1042" s="9">
        <v>0</v>
      </c>
      <c r="J1042" s="9">
        <v>0</v>
      </c>
      <c r="K1042" s="9">
        <v>0</v>
      </c>
      <c r="L1042" s="9">
        <v>0</v>
      </c>
      <c r="M1042" s="9">
        <v>0</v>
      </c>
      <c r="N1042" s="9">
        <v>0</v>
      </c>
      <c r="O1042" s="9">
        <v>0</v>
      </c>
      <c r="P1042" s="9">
        <v>0</v>
      </c>
      <c r="Q1042" s="9">
        <v>0</v>
      </c>
      <c r="R1042" s="9">
        <v>0</v>
      </c>
      <c r="S1042" s="9">
        <v>0</v>
      </c>
      <c r="T1042" s="9">
        <f>18+27</f>
        <v>45</v>
      </c>
      <c r="U1042" s="9">
        <v>1</v>
      </c>
      <c r="V1042" s="9">
        <v>3</v>
      </c>
      <c r="W1042" s="9">
        <v>3</v>
      </c>
      <c r="X1042" s="9">
        <v>3</v>
      </c>
      <c r="Y1042" s="9">
        <v>11</v>
      </c>
      <c r="Z1042" s="9">
        <v>10</v>
      </c>
      <c r="AA1042" s="9">
        <v>12</v>
      </c>
      <c r="AB1042" s="9">
        <v>0</v>
      </c>
      <c r="AC1042" s="9">
        <v>0</v>
      </c>
      <c r="AD1042" s="53" t="e">
        <f>#REF!*D1042</f>
        <v>#REF!</v>
      </c>
      <c r="AE1042" s="53" t="e">
        <f>AD1042-#REF!</f>
        <v>#REF!</v>
      </c>
      <c r="AF1042" s="9"/>
      <c r="AG1042" s="33" t="e">
        <f>#REF!-D1042</f>
        <v>#REF!</v>
      </c>
      <c r="AH1042" s="9"/>
      <c r="AI1042" s="9"/>
      <c r="AJ1042" s="9"/>
      <c r="AK1042" s="9"/>
    </row>
    <row r="1043" spans="1:37" s="12" customFormat="1" ht="21.75" customHeight="1" outlineLevel="1" x14ac:dyDescent="0.2">
      <c r="A1043" s="61" t="s">
        <v>2580</v>
      </c>
      <c r="B1043" s="47" t="s">
        <v>1163</v>
      </c>
      <c r="C1043" s="9" t="s">
        <v>47</v>
      </c>
      <c r="D1043" s="25">
        <f t="shared" si="259"/>
        <v>10</v>
      </c>
      <c r="E1043" s="54"/>
      <c r="F1043" s="9"/>
      <c r="G1043" s="9">
        <v>0</v>
      </c>
      <c r="H1043" s="9">
        <v>0</v>
      </c>
      <c r="I1043" s="9">
        <v>0</v>
      </c>
      <c r="J1043" s="9">
        <v>0</v>
      </c>
      <c r="K1043" s="9">
        <v>0</v>
      </c>
      <c r="L1043" s="9">
        <v>0</v>
      </c>
      <c r="M1043" s="9">
        <v>0</v>
      </c>
      <c r="N1043" s="9">
        <v>0</v>
      </c>
      <c r="O1043" s="9">
        <v>0</v>
      </c>
      <c r="P1043" s="9">
        <v>0</v>
      </c>
      <c r="Q1043" s="9">
        <v>0</v>
      </c>
      <c r="R1043" s="9">
        <v>0</v>
      </c>
      <c r="S1043" s="9">
        <v>0</v>
      </c>
      <c r="T1043" s="9">
        <v>10</v>
      </c>
      <c r="U1043" s="9">
        <v>0</v>
      </c>
      <c r="V1043" s="9">
        <v>0</v>
      </c>
      <c r="W1043" s="9">
        <v>0</v>
      </c>
      <c r="X1043" s="9">
        <v>0</v>
      </c>
      <c r="Y1043" s="9">
        <v>0</v>
      </c>
      <c r="Z1043" s="9">
        <v>0</v>
      </c>
      <c r="AA1043" s="9">
        <v>0</v>
      </c>
      <c r="AB1043" s="9">
        <v>0</v>
      </c>
      <c r="AC1043" s="9">
        <v>0</v>
      </c>
      <c r="AD1043" s="53" t="e">
        <f>#REF!*D1043</f>
        <v>#REF!</v>
      </c>
      <c r="AE1043" s="53" t="e">
        <f>AD1043-#REF!</f>
        <v>#REF!</v>
      </c>
      <c r="AF1043" s="9"/>
      <c r="AG1043" s="33" t="e">
        <f>#REF!-D1043</f>
        <v>#REF!</v>
      </c>
      <c r="AH1043" s="9"/>
      <c r="AI1043" s="9"/>
      <c r="AJ1043" s="9"/>
      <c r="AK1043" s="9"/>
    </row>
    <row r="1044" spans="1:37" s="12" customFormat="1" ht="21.75" customHeight="1" outlineLevel="1" x14ac:dyDescent="0.2">
      <c r="A1044" s="61" t="s">
        <v>2581</v>
      </c>
      <c r="B1044" s="47" t="s">
        <v>1164</v>
      </c>
      <c r="C1044" s="9" t="s">
        <v>47</v>
      </c>
      <c r="D1044" s="25">
        <f t="shared" si="259"/>
        <v>10</v>
      </c>
      <c r="E1044" s="54"/>
      <c r="F1044" s="9"/>
      <c r="G1044" s="9">
        <v>0</v>
      </c>
      <c r="H1044" s="9">
        <v>0</v>
      </c>
      <c r="I1044" s="9">
        <v>0</v>
      </c>
      <c r="J1044" s="9">
        <v>0</v>
      </c>
      <c r="K1044" s="9">
        <v>0</v>
      </c>
      <c r="L1044" s="9">
        <v>0</v>
      </c>
      <c r="M1044" s="9">
        <v>0</v>
      </c>
      <c r="N1044" s="9">
        <v>0</v>
      </c>
      <c r="O1044" s="9">
        <v>0</v>
      </c>
      <c r="P1044" s="9">
        <v>0</v>
      </c>
      <c r="Q1044" s="9">
        <v>0</v>
      </c>
      <c r="R1044" s="9">
        <v>0</v>
      </c>
      <c r="S1044" s="9">
        <v>0</v>
      </c>
      <c r="T1044" s="9">
        <v>10</v>
      </c>
      <c r="U1044" s="9">
        <v>0</v>
      </c>
      <c r="V1044" s="9">
        <v>0</v>
      </c>
      <c r="W1044" s="9">
        <v>0</v>
      </c>
      <c r="X1044" s="9">
        <v>0</v>
      </c>
      <c r="Y1044" s="9">
        <v>0</v>
      </c>
      <c r="Z1044" s="9">
        <v>0</v>
      </c>
      <c r="AA1044" s="9">
        <v>0</v>
      </c>
      <c r="AB1044" s="9">
        <v>0</v>
      </c>
      <c r="AC1044" s="9">
        <v>0</v>
      </c>
      <c r="AD1044" s="53" t="e">
        <f>#REF!*D1044</f>
        <v>#REF!</v>
      </c>
      <c r="AE1044" s="53" t="e">
        <f>AD1044-#REF!</f>
        <v>#REF!</v>
      </c>
      <c r="AF1044" s="9"/>
      <c r="AG1044" s="33" t="e">
        <f>#REF!-D1044</f>
        <v>#REF!</v>
      </c>
      <c r="AH1044" s="9"/>
      <c r="AI1044" s="9"/>
      <c r="AJ1044" s="9"/>
      <c r="AK1044" s="9"/>
    </row>
    <row r="1045" spans="1:37" s="12" customFormat="1" ht="21.75" customHeight="1" outlineLevel="1" x14ac:dyDescent="0.2">
      <c r="A1045" s="61" t="s">
        <v>2582</v>
      </c>
      <c r="B1045" s="47" t="s">
        <v>1173</v>
      </c>
      <c r="C1045" s="9" t="s">
        <v>47</v>
      </c>
      <c r="D1045" s="25">
        <f t="shared" si="259"/>
        <v>37</v>
      </c>
      <c r="E1045" s="54"/>
      <c r="F1045" s="9"/>
      <c r="G1045" s="9">
        <v>0</v>
      </c>
      <c r="H1045" s="9">
        <v>0</v>
      </c>
      <c r="I1045" s="9">
        <v>0</v>
      </c>
      <c r="J1045" s="9">
        <v>0</v>
      </c>
      <c r="K1045" s="9">
        <v>0</v>
      </c>
      <c r="L1045" s="9">
        <v>0</v>
      </c>
      <c r="M1045" s="9">
        <v>0</v>
      </c>
      <c r="N1045" s="9">
        <v>0</v>
      </c>
      <c r="O1045" s="9">
        <v>0</v>
      </c>
      <c r="P1045" s="9">
        <v>0</v>
      </c>
      <c r="Q1045" s="9">
        <v>0</v>
      </c>
      <c r="R1045" s="9">
        <v>0</v>
      </c>
      <c r="S1045" s="9">
        <v>0</v>
      </c>
      <c r="T1045" s="9">
        <f>37</f>
        <v>37</v>
      </c>
      <c r="U1045" s="9">
        <v>0</v>
      </c>
      <c r="V1045" s="9">
        <v>0</v>
      </c>
      <c r="W1045" s="9">
        <v>0</v>
      </c>
      <c r="X1045" s="9">
        <v>0</v>
      </c>
      <c r="Y1045" s="9">
        <v>0</v>
      </c>
      <c r="Z1045" s="9">
        <v>0</v>
      </c>
      <c r="AA1045" s="9">
        <v>0</v>
      </c>
      <c r="AB1045" s="9">
        <v>0</v>
      </c>
      <c r="AC1045" s="9">
        <v>0</v>
      </c>
      <c r="AD1045" s="53" t="e">
        <f>#REF!*D1045</f>
        <v>#REF!</v>
      </c>
      <c r="AE1045" s="53" t="e">
        <f>AD1045-#REF!</f>
        <v>#REF!</v>
      </c>
      <c r="AF1045" s="9"/>
      <c r="AG1045" s="33" t="e">
        <f>#REF!-D1045</f>
        <v>#REF!</v>
      </c>
      <c r="AH1045" s="9"/>
      <c r="AI1045" s="9"/>
      <c r="AJ1045" s="9"/>
      <c r="AK1045" s="9"/>
    </row>
    <row r="1046" spans="1:37" s="12" customFormat="1" ht="10.199999999999999" outlineLevel="1" x14ac:dyDescent="0.2">
      <c r="A1046" s="61" t="s">
        <v>2583</v>
      </c>
      <c r="B1046" s="47" t="s">
        <v>1172</v>
      </c>
      <c r="C1046" s="9" t="s">
        <v>47</v>
      </c>
      <c r="D1046" s="25">
        <f t="shared" si="259"/>
        <v>11</v>
      </c>
      <c r="E1046" s="54"/>
      <c r="F1046" s="9"/>
      <c r="G1046" s="49">
        <f t="shared" ref="G1046:AC1046" si="260">G1041</f>
        <v>0</v>
      </c>
      <c r="H1046" s="49">
        <f t="shared" si="260"/>
        <v>1</v>
      </c>
      <c r="I1046" s="49">
        <f t="shared" si="260"/>
        <v>3</v>
      </c>
      <c r="J1046" s="49">
        <f t="shared" si="260"/>
        <v>2</v>
      </c>
      <c r="K1046" s="49">
        <f t="shared" si="260"/>
        <v>3</v>
      </c>
      <c r="L1046" s="49">
        <f t="shared" si="260"/>
        <v>2</v>
      </c>
      <c r="M1046" s="49">
        <f t="shared" si="260"/>
        <v>0</v>
      </c>
      <c r="N1046" s="49">
        <f t="shared" si="260"/>
        <v>0</v>
      </c>
      <c r="O1046" s="49">
        <f t="shared" si="260"/>
        <v>0</v>
      </c>
      <c r="P1046" s="49">
        <f t="shared" si="260"/>
        <v>0</v>
      </c>
      <c r="Q1046" s="49">
        <f t="shared" si="260"/>
        <v>0</v>
      </c>
      <c r="R1046" s="49">
        <f t="shared" si="260"/>
        <v>0</v>
      </c>
      <c r="S1046" s="49">
        <f t="shared" si="260"/>
        <v>0</v>
      </c>
      <c r="T1046" s="49">
        <f t="shared" si="260"/>
        <v>0</v>
      </c>
      <c r="U1046" s="49">
        <f t="shared" si="260"/>
        <v>0</v>
      </c>
      <c r="V1046" s="49">
        <f t="shared" si="260"/>
        <v>0</v>
      </c>
      <c r="W1046" s="49">
        <f t="shared" si="260"/>
        <v>0</v>
      </c>
      <c r="X1046" s="49">
        <f t="shared" si="260"/>
        <v>0</v>
      </c>
      <c r="Y1046" s="49">
        <f t="shared" si="260"/>
        <v>0</v>
      </c>
      <c r="Z1046" s="49">
        <f t="shared" si="260"/>
        <v>0</v>
      </c>
      <c r="AA1046" s="49">
        <f t="shared" si="260"/>
        <v>0</v>
      </c>
      <c r="AB1046" s="49">
        <f t="shared" si="260"/>
        <v>0</v>
      </c>
      <c r="AC1046" s="49">
        <f t="shared" si="260"/>
        <v>0</v>
      </c>
      <c r="AD1046" s="53" t="e">
        <f>#REF!*D1046</f>
        <v>#REF!</v>
      </c>
      <c r="AE1046" s="53" t="e">
        <f>AD1046-#REF!</f>
        <v>#REF!</v>
      </c>
      <c r="AF1046" s="9"/>
      <c r="AG1046" s="33" t="e">
        <f>#REF!-D1046</f>
        <v>#REF!</v>
      </c>
      <c r="AH1046" s="9"/>
      <c r="AI1046" s="9"/>
      <c r="AJ1046" s="9"/>
      <c r="AK1046" s="9"/>
    </row>
    <row r="1047" spans="1:37" s="17" customFormat="1" ht="12.75" customHeight="1" outlineLevel="1" x14ac:dyDescent="0.2">
      <c r="A1047" s="61" t="s">
        <v>2584</v>
      </c>
      <c r="B1047" s="14" t="s">
        <v>1091</v>
      </c>
      <c r="C1047" s="8" t="s">
        <v>47</v>
      </c>
      <c r="D1047" s="25">
        <f t="shared" si="259"/>
        <v>5</v>
      </c>
      <c r="E1047" s="54"/>
      <c r="F1047" s="9"/>
      <c r="G1047" s="49">
        <f t="shared" ref="G1047:AC1047" si="261">G1026</f>
        <v>0</v>
      </c>
      <c r="H1047" s="49">
        <f t="shared" si="261"/>
        <v>2</v>
      </c>
      <c r="I1047" s="49">
        <f t="shared" si="261"/>
        <v>1</v>
      </c>
      <c r="J1047" s="49">
        <f t="shared" si="261"/>
        <v>0</v>
      </c>
      <c r="K1047" s="49">
        <f t="shared" si="261"/>
        <v>0</v>
      </c>
      <c r="L1047" s="49">
        <f t="shared" si="261"/>
        <v>0</v>
      </c>
      <c r="M1047" s="49">
        <f t="shared" si="261"/>
        <v>0</v>
      </c>
      <c r="N1047" s="49">
        <f t="shared" si="261"/>
        <v>0</v>
      </c>
      <c r="O1047" s="49">
        <f t="shared" si="261"/>
        <v>0</v>
      </c>
      <c r="P1047" s="49">
        <f t="shared" si="261"/>
        <v>0</v>
      </c>
      <c r="Q1047" s="49">
        <f t="shared" si="261"/>
        <v>0</v>
      </c>
      <c r="R1047" s="49">
        <f t="shared" si="261"/>
        <v>0</v>
      </c>
      <c r="S1047" s="49">
        <f t="shared" si="261"/>
        <v>0</v>
      </c>
      <c r="T1047" s="49">
        <f t="shared" si="261"/>
        <v>0</v>
      </c>
      <c r="U1047" s="49">
        <f t="shared" si="261"/>
        <v>2</v>
      </c>
      <c r="V1047" s="49">
        <f t="shared" si="261"/>
        <v>0</v>
      </c>
      <c r="W1047" s="49">
        <f t="shared" si="261"/>
        <v>0</v>
      </c>
      <c r="X1047" s="49">
        <f t="shared" si="261"/>
        <v>0</v>
      </c>
      <c r="Y1047" s="49">
        <f t="shared" si="261"/>
        <v>0</v>
      </c>
      <c r="Z1047" s="49">
        <f t="shared" si="261"/>
        <v>0</v>
      </c>
      <c r="AA1047" s="49">
        <f t="shared" si="261"/>
        <v>0</v>
      </c>
      <c r="AB1047" s="49">
        <f t="shared" si="261"/>
        <v>0</v>
      </c>
      <c r="AC1047" s="49">
        <f t="shared" si="261"/>
        <v>0</v>
      </c>
      <c r="AD1047" s="53" t="e">
        <f>#REF!*D1047</f>
        <v>#REF!</v>
      </c>
      <c r="AE1047" s="53" t="e">
        <f>AD1047-#REF!</f>
        <v>#REF!</v>
      </c>
      <c r="AF1047" s="8"/>
      <c r="AG1047" s="33" t="e">
        <f>#REF!-D1047</f>
        <v>#REF!</v>
      </c>
      <c r="AH1047" s="8"/>
      <c r="AI1047" s="8"/>
      <c r="AJ1047" s="8"/>
      <c r="AK1047" s="8"/>
    </row>
    <row r="1048" spans="1:37" s="12" customFormat="1" ht="21.75" customHeight="1" outlineLevel="1" x14ac:dyDescent="0.2">
      <c r="A1048" s="61" t="s">
        <v>2585</v>
      </c>
      <c r="B1048" s="14" t="s">
        <v>2595</v>
      </c>
      <c r="C1048" s="9" t="s">
        <v>47</v>
      </c>
      <c r="D1048" s="25">
        <f t="shared" si="259"/>
        <v>2</v>
      </c>
      <c r="E1048" s="54"/>
      <c r="F1048" s="9"/>
      <c r="G1048" s="9">
        <v>0</v>
      </c>
      <c r="H1048" s="9">
        <v>0</v>
      </c>
      <c r="I1048" s="9">
        <v>0</v>
      </c>
      <c r="J1048" s="9">
        <v>0</v>
      </c>
      <c r="K1048" s="9">
        <v>0</v>
      </c>
      <c r="L1048" s="9">
        <v>0</v>
      </c>
      <c r="M1048" s="9">
        <v>0</v>
      </c>
      <c r="N1048" s="9">
        <v>0</v>
      </c>
      <c r="O1048" s="9">
        <v>0</v>
      </c>
      <c r="P1048" s="9">
        <v>0</v>
      </c>
      <c r="Q1048" s="9">
        <v>0</v>
      </c>
      <c r="R1048" s="9">
        <v>0</v>
      </c>
      <c r="S1048" s="9">
        <v>0</v>
      </c>
      <c r="T1048" s="9">
        <v>2</v>
      </c>
      <c r="U1048" s="9">
        <v>0</v>
      </c>
      <c r="V1048" s="9">
        <v>0</v>
      </c>
      <c r="W1048" s="9">
        <v>0</v>
      </c>
      <c r="X1048" s="9">
        <v>0</v>
      </c>
      <c r="Y1048" s="9">
        <v>0</v>
      </c>
      <c r="Z1048" s="9">
        <v>0</v>
      </c>
      <c r="AA1048" s="9">
        <v>0</v>
      </c>
      <c r="AB1048" s="9">
        <v>0</v>
      </c>
      <c r="AC1048" s="9">
        <v>0</v>
      </c>
      <c r="AD1048" s="53" t="e">
        <f>#REF!*D1048</f>
        <v>#REF!</v>
      </c>
      <c r="AE1048" s="53" t="e">
        <f>AD1048-#REF!</f>
        <v>#REF!</v>
      </c>
      <c r="AF1048" s="9"/>
      <c r="AG1048" s="33" t="e">
        <f>#REF!-D1048</f>
        <v>#REF!</v>
      </c>
      <c r="AH1048" s="9"/>
      <c r="AI1048" s="9"/>
      <c r="AJ1048" s="9"/>
      <c r="AK1048" s="9"/>
    </row>
    <row r="1049" spans="1:37" s="12" customFormat="1" ht="10.199999999999999" x14ac:dyDescent="0.2">
      <c r="A1049" s="61"/>
      <c r="B1049" s="47"/>
      <c r="C1049" s="8"/>
      <c r="D1049" s="25"/>
      <c r="E1049" s="54"/>
      <c r="F1049" s="9"/>
      <c r="G1049" s="9"/>
      <c r="H1049" s="9"/>
      <c r="I1049" s="9"/>
      <c r="J1049" s="9"/>
      <c r="K1049" s="9"/>
      <c r="L1049" s="9"/>
      <c r="M1049" s="9"/>
      <c r="N1049" s="9"/>
      <c r="O1049" s="9"/>
      <c r="P1049" s="9"/>
      <c r="Q1049" s="9"/>
      <c r="R1049" s="9"/>
      <c r="S1049" s="9"/>
      <c r="T1049" s="9"/>
      <c r="U1049" s="9"/>
      <c r="V1049" s="9"/>
      <c r="W1049" s="9"/>
      <c r="X1049" s="9"/>
      <c r="Y1049" s="9"/>
      <c r="Z1049" s="9"/>
      <c r="AA1049" s="9"/>
      <c r="AB1049" s="9"/>
      <c r="AC1049" s="9"/>
      <c r="AD1049" s="53" t="e">
        <f>#REF!*D1049</f>
        <v>#REF!</v>
      </c>
      <c r="AE1049" s="53" t="e">
        <f>AD1049-#REF!</f>
        <v>#REF!</v>
      </c>
      <c r="AF1049" s="9"/>
      <c r="AG1049" s="33" t="e">
        <f>#REF!-D1049</f>
        <v>#REF!</v>
      </c>
      <c r="AH1049" s="9"/>
      <c r="AI1049" s="9"/>
      <c r="AJ1049" s="9"/>
      <c r="AK1049" s="9"/>
    </row>
    <row r="1050" spans="1:37" x14ac:dyDescent="0.25">
      <c r="A1050" s="58">
        <v>6</v>
      </c>
      <c r="B1050" s="59" t="s">
        <v>1106</v>
      </c>
      <c r="C1050" s="58" t="s">
        <v>41</v>
      </c>
      <c r="D1050" s="60" t="e">
        <f>#REF!/#REF!*100</f>
        <v>#REF!</v>
      </c>
      <c r="E1050" s="200" t="s">
        <v>2806</v>
      </c>
      <c r="G1050" s="9"/>
      <c r="AB1050" s="214" t="s">
        <v>375</v>
      </c>
      <c r="AD1050" s="53" t="e">
        <f>#REF!*D1050</f>
        <v>#REF!</v>
      </c>
      <c r="AE1050" s="53" t="e">
        <f>AD1050-#REF!</f>
        <v>#REF!</v>
      </c>
      <c r="AG1050" s="33" t="e">
        <f>#REF!-D1050</f>
        <v>#REF!</v>
      </c>
    </row>
    <row r="1051" spans="1:37" x14ac:dyDescent="0.25">
      <c r="A1051" s="18" t="s">
        <v>506</v>
      </c>
      <c r="B1051" s="35" t="s">
        <v>3641</v>
      </c>
      <c r="C1051" s="18" t="s">
        <v>41</v>
      </c>
      <c r="D1051" s="52" t="e">
        <f>#REF!/#REF!*100</f>
        <v>#REF!</v>
      </c>
      <c r="G1051" s="9"/>
      <c r="AD1051" s="53" t="e">
        <f>#REF!*D1051</f>
        <v>#REF!</v>
      </c>
      <c r="AE1051" s="53" t="e">
        <f>AD1051-#REF!</f>
        <v>#REF!</v>
      </c>
      <c r="AG1051" s="33" t="e">
        <f>#REF!-D1051</f>
        <v>#REF!</v>
      </c>
    </row>
    <row r="1052" spans="1:37" s="12" customFormat="1" ht="102" outlineLevel="1" x14ac:dyDescent="0.2">
      <c r="A1052" s="61" t="s">
        <v>1174</v>
      </c>
      <c r="B1052" s="80" t="s">
        <v>3645</v>
      </c>
      <c r="C1052" s="9" t="s">
        <v>47</v>
      </c>
      <c r="D1052" s="25">
        <f t="shared" ref="D1052:D1057" si="262">SUM(G1052:AC1052)</f>
        <v>389</v>
      </c>
      <c r="E1052" s="54"/>
      <c r="F1052" s="9"/>
      <c r="G1052" s="9">
        <v>0</v>
      </c>
      <c r="H1052" s="9">
        <v>48</v>
      </c>
      <c r="I1052" s="9">
        <v>33</v>
      </c>
      <c r="J1052" s="9">
        <v>17</v>
      </c>
      <c r="K1052" s="9">
        <v>18</v>
      </c>
      <c r="L1052" s="9">
        <v>17</v>
      </c>
      <c r="M1052" s="9">
        <v>13</v>
      </c>
      <c r="N1052" s="9">
        <v>13</v>
      </c>
      <c r="O1052" s="9">
        <v>15</v>
      </c>
      <c r="P1052" s="9">
        <v>37</v>
      </c>
      <c r="Q1052" s="9">
        <v>21</v>
      </c>
      <c r="R1052" s="9">
        <v>0</v>
      </c>
      <c r="S1052" s="9">
        <v>0</v>
      </c>
      <c r="T1052" s="49">
        <v>16</v>
      </c>
      <c r="U1052" s="9">
        <v>27</v>
      </c>
      <c r="V1052" s="9">
        <v>25</v>
      </c>
      <c r="W1052" s="9">
        <v>15</v>
      </c>
      <c r="X1052" s="9">
        <v>14</v>
      </c>
      <c r="Y1052" s="9">
        <v>15</v>
      </c>
      <c r="Z1052" s="9">
        <v>28</v>
      </c>
      <c r="AA1052" s="9">
        <v>11</v>
      </c>
      <c r="AB1052" s="9">
        <v>6</v>
      </c>
      <c r="AC1052" s="9">
        <v>0</v>
      </c>
      <c r="AD1052" s="53" t="e">
        <f>#REF!*D1052</f>
        <v>#REF!</v>
      </c>
      <c r="AE1052" s="53" t="e">
        <f>AD1052-#REF!</f>
        <v>#REF!</v>
      </c>
      <c r="AF1052" s="9"/>
      <c r="AG1052" s="33" t="e">
        <f>#REF!-D1052</f>
        <v>#REF!</v>
      </c>
      <c r="AH1052" s="9"/>
      <c r="AI1052" s="9"/>
      <c r="AJ1052" s="9"/>
      <c r="AK1052" s="9"/>
    </row>
    <row r="1053" spans="1:37" s="12" customFormat="1" ht="118.5" customHeight="1" outlineLevel="1" x14ac:dyDescent="0.2">
      <c r="A1053" s="61" t="s">
        <v>1175</v>
      </c>
      <c r="B1053" s="80" t="s">
        <v>3643</v>
      </c>
      <c r="C1053" s="9" t="s">
        <v>47</v>
      </c>
      <c r="D1053" s="25">
        <f t="shared" si="262"/>
        <v>10</v>
      </c>
      <c r="E1053" s="54"/>
      <c r="F1053" s="9"/>
      <c r="G1053" s="9">
        <v>0</v>
      </c>
      <c r="H1053" s="9">
        <v>8</v>
      </c>
      <c r="I1053" s="9">
        <v>0</v>
      </c>
      <c r="J1053" s="9">
        <v>0</v>
      </c>
      <c r="K1053" s="9">
        <v>0</v>
      </c>
      <c r="L1053" s="9">
        <v>0</v>
      </c>
      <c r="M1053" s="9">
        <v>0</v>
      </c>
      <c r="N1053" s="9">
        <v>0</v>
      </c>
      <c r="O1053" s="9">
        <v>0</v>
      </c>
      <c r="P1053" s="9">
        <v>0</v>
      </c>
      <c r="Q1053" s="9">
        <v>0</v>
      </c>
      <c r="R1053" s="9">
        <v>0</v>
      </c>
      <c r="S1053" s="9">
        <v>0</v>
      </c>
      <c r="T1053" s="9">
        <v>0</v>
      </c>
      <c r="U1053" s="9">
        <v>2</v>
      </c>
      <c r="V1053" s="9">
        <v>0</v>
      </c>
      <c r="W1053" s="9">
        <v>0</v>
      </c>
      <c r="X1053" s="9">
        <v>0</v>
      </c>
      <c r="Y1053" s="9">
        <v>0</v>
      </c>
      <c r="Z1053" s="9">
        <v>0</v>
      </c>
      <c r="AA1053" s="9">
        <v>0</v>
      </c>
      <c r="AB1053" s="9">
        <v>0</v>
      </c>
      <c r="AC1053" s="9">
        <v>0</v>
      </c>
      <c r="AD1053" s="53" t="e">
        <f>#REF!*D1053</f>
        <v>#REF!</v>
      </c>
      <c r="AE1053" s="53" t="e">
        <f>AD1053-#REF!</f>
        <v>#REF!</v>
      </c>
      <c r="AF1053" s="9"/>
      <c r="AG1053" s="33" t="e">
        <f>#REF!-D1053</f>
        <v>#REF!</v>
      </c>
      <c r="AH1053" s="9"/>
      <c r="AI1053" s="9"/>
      <c r="AJ1053" s="9"/>
      <c r="AK1053" s="9"/>
    </row>
    <row r="1054" spans="1:37" s="12" customFormat="1" ht="209.25" customHeight="1" outlineLevel="1" x14ac:dyDescent="0.2">
      <c r="A1054" s="61" t="s">
        <v>1176</v>
      </c>
      <c r="B1054" s="80" t="s">
        <v>3644</v>
      </c>
      <c r="C1054" s="9" t="s">
        <v>47</v>
      </c>
      <c r="D1054" s="25">
        <f t="shared" si="262"/>
        <v>3</v>
      </c>
      <c r="E1054" s="54"/>
      <c r="F1054" s="9"/>
      <c r="G1054" s="9">
        <v>0</v>
      </c>
      <c r="H1054" s="9">
        <v>1</v>
      </c>
      <c r="I1054" s="9">
        <v>1</v>
      </c>
      <c r="J1054" s="9">
        <v>0</v>
      </c>
      <c r="K1054" s="9">
        <v>0</v>
      </c>
      <c r="L1054" s="9">
        <v>0</v>
      </c>
      <c r="M1054" s="9">
        <v>0</v>
      </c>
      <c r="N1054" s="9">
        <v>0</v>
      </c>
      <c r="O1054" s="9">
        <v>0</v>
      </c>
      <c r="P1054" s="9">
        <v>0</v>
      </c>
      <c r="Q1054" s="9">
        <v>0</v>
      </c>
      <c r="R1054" s="9">
        <v>0</v>
      </c>
      <c r="S1054" s="9">
        <v>0</v>
      </c>
      <c r="T1054" s="9">
        <v>0</v>
      </c>
      <c r="U1054" s="9">
        <v>1</v>
      </c>
      <c r="V1054" s="9">
        <v>0</v>
      </c>
      <c r="W1054" s="9">
        <v>0</v>
      </c>
      <c r="X1054" s="9">
        <v>0</v>
      </c>
      <c r="Y1054" s="9">
        <v>0</v>
      </c>
      <c r="Z1054" s="9">
        <v>0</v>
      </c>
      <c r="AA1054" s="9">
        <v>0</v>
      </c>
      <c r="AB1054" s="9">
        <v>0</v>
      </c>
      <c r="AC1054" s="9">
        <v>0</v>
      </c>
      <c r="AD1054" s="53" t="e">
        <f>#REF!*D1054</f>
        <v>#REF!</v>
      </c>
      <c r="AE1054" s="53" t="e">
        <f>AD1054-#REF!</f>
        <v>#REF!</v>
      </c>
      <c r="AF1054" s="9"/>
      <c r="AG1054" s="33" t="e">
        <f>#REF!-D1054</f>
        <v>#REF!</v>
      </c>
      <c r="AH1054" s="9"/>
      <c r="AI1054" s="9"/>
      <c r="AJ1054" s="9"/>
      <c r="AK1054" s="9"/>
    </row>
    <row r="1055" spans="1:37" s="12" customFormat="1" ht="112.2" outlineLevel="1" x14ac:dyDescent="0.2">
      <c r="A1055" s="61" t="s">
        <v>1177</v>
      </c>
      <c r="B1055" s="36" t="s">
        <v>3642</v>
      </c>
      <c r="C1055" s="9" t="s">
        <v>47</v>
      </c>
      <c r="D1055" s="25">
        <f t="shared" si="262"/>
        <v>26</v>
      </c>
      <c r="E1055" s="54"/>
      <c r="F1055" s="9"/>
      <c r="G1055" s="9">
        <v>0</v>
      </c>
      <c r="H1055" s="9">
        <v>0</v>
      </c>
      <c r="I1055" s="9">
        <v>5</v>
      </c>
      <c r="J1055" s="9">
        <v>1</v>
      </c>
      <c r="K1055" s="9">
        <v>0</v>
      </c>
      <c r="L1055" s="9">
        <v>0</v>
      </c>
      <c r="M1055" s="9">
        <v>1</v>
      </c>
      <c r="N1055" s="9">
        <v>0</v>
      </c>
      <c r="O1055" s="9">
        <v>0</v>
      </c>
      <c r="P1055" s="9">
        <v>0</v>
      </c>
      <c r="Q1055" s="9">
        <v>0</v>
      </c>
      <c r="R1055" s="9">
        <v>6</v>
      </c>
      <c r="S1055" s="9">
        <v>0</v>
      </c>
      <c r="T1055" s="9">
        <v>0</v>
      </c>
      <c r="U1055" s="9">
        <v>8</v>
      </c>
      <c r="V1055" s="9">
        <v>0</v>
      </c>
      <c r="W1055" s="9">
        <v>0</v>
      </c>
      <c r="X1055" s="9">
        <v>4</v>
      </c>
      <c r="Y1055" s="9">
        <v>0</v>
      </c>
      <c r="Z1055" s="9">
        <v>0</v>
      </c>
      <c r="AA1055" s="9">
        <v>0</v>
      </c>
      <c r="AB1055" s="9">
        <v>1</v>
      </c>
      <c r="AC1055" s="9">
        <v>0</v>
      </c>
      <c r="AD1055" s="53" t="e">
        <f>#REF!*D1055</f>
        <v>#REF!</v>
      </c>
      <c r="AE1055" s="53" t="e">
        <f>AD1055-#REF!</f>
        <v>#REF!</v>
      </c>
      <c r="AF1055" s="9"/>
      <c r="AG1055" s="33" t="e">
        <f>#REF!-D1055</f>
        <v>#REF!</v>
      </c>
      <c r="AH1055" s="9"/>
      <c r="AI1055" s="9"/>
      <c r="AJ1055" s="9"/>
      <c r="AK1055" s="9"/>
    </row>
    <row r="1056" spans="1:37" s="12" customFormat="1" ht="71.400000000000006" outlineLevel="1" x14ac:dyDescent="0.2">
      <c r="A1056" s="61" t="s">
        <v>1178</v>
      </c>
      <c r="B1056" s="47" t="s">
        <v>3646</v>
      </c>
      <c r="C1056" s="9" t="s">
        <v>47</v>
      </c>
      <c r="D1056" s="25">
        <f t="shared" si="262"/>
        <v>2</v>
      </c>
      <c r="E1056" s="54"/>
      <c r="F1056" s="9"/>
      <c r="G1056" s="9">
        <v>0</v>
      </c>
      <c r="H1056" s="9">
        <v>2</v>
      </c>
      <c r="I1056" s="9">
        <v>0</v>
      </c>
      <c r="J1056" s="9">
        <v>0</v>
      </c>
      <c r="K1056" s="9">
        <v>0</v>
      </c>
      <c r="L1056" s="9">
        <v>0</v>
      </c>
      <c r="M1056" s="9">
        <v>0</v>
      </c>
      <c r="N1056" s="9">
        <v>0</v>
      </c>
      <c r="O1056" s="9">
        <v>0</v>
      </c>
      <c r="P1056" s="9">
        <v>0</v>
      </c>
      <c r="Q1056" s="9">
        <v>0</v>
      </c>
      <c r="R1056" s="9">
        <v>0</v>
      </c>
      <c r="S1056" s="9">
        <v>0</v>
      </c>
      <c r="T1056" s="9">
        <v>0</v>
      </c>
      <c r="U1056" s="9">
        <v>0</v>
      </c>
      <c r="V1056" s="9">
        <v>0</v>
      </c>
      <c r="W1056" s="9">
        <v>0</v>
      </c>
      <c r="X1056" s="9">
        <v>0</v>
      </c>
      <c r="Y1056" s="9">
        <v>0</v>
      </c>
      <c r="Z1056" s="9">
        <v>0</v>
      </c>
      <c r="AA1056" s="9">
        <v>0</v>
      </c>
      <c r="AB1056" s="9">
        <v>0</v>
      </c>
      <c r="AC1056" s="9">
        <v>0</v>
      </c>
      <c r="AD1056" s="53" t="e">
        <f>#REF!*D1056</f>
        <v>#REF!</v>
      </c>
      <c r="AE1056" s="53" t="e">
        <f>AD1056-#REF!</f>
        <v>#REF!</v>
      </c>
      <c r="AF1056" s="9"/>
      <c r="AG1056" s="33" t="e">
        <f>#REF!-D1056</f>
        <v>#REF!</v>
      </c>
      <c r="AH1056" s="9"/>
      <c r="AI1056" s="9"/>
      <c r="AJ1056" s="9"/>
      <c r="AK1056" s="9"/>
    </row>
    <row r="1057" spans="1:37" s="12" customFormat="1" ht="20.399999999999999" outlineLevel="1" x14ac:dyDescent="0.2">
      <c r="A1057" s="61" t="s">
        <v>1179</v>
      </c>
      <c r="B1057" s="47" t="s">
        <v>3647</v>
      </c>
      <c r="C1057" s="9" t="s">
        <v>47</v>
      </c>
      <c r="D1057" s="25">
        <f t="shared" si="262"/>
        <v>32</v>
      </c>
      <c r="E1057" s="54"/>
      <c r="F1057" s="9"/>
      <c r="G1057" s="9">
        <v>0</v>
      </c>
      <c r="H1057" s="9">
        <v>32</v>
      </c>
      <c r="I1057" s="9">
        <v>0</v>
      </c>
      <c r="J1057" s="9">
        <v>0</v>
      </c>
      <c r="K1057" s="9">
        <v>0</v>
      </c>
      <c r="L1057" s="9">
        <v>0</v>
      </c>
      <c r="M1057" s="9">
        <v>0</v>
      </c>
      <c r="N1057" s="9">
        <v>0</v>
      </c>
      <c r="O1057" s="9">
        <v>0</v>
      </c>
      <c r="P1057" s="9">
        <v>0</v>
      </c>
      <c r="Q1057" s="9">
        <v>0</v>
      </c>
      <c r="R1057" s="9">
        <v>0</v>
      </c>
      <c r="S1057" s="9">
        <v>0</v>
      </c>
      <c r="T1057" s="9">
        <v>0</v>
      </c>
      <c r="U1057" s="9">
        <v>0</v>
      </c>
      <c r="V1057" s="9">
        <v>0</v>
      </c>
      <c r="W1057" s="9">
        <v>0</v>
      </c>
      <c r="X1057" s="9">
        <v>0</v>
      </c>
      <c r="Y1057" s="9">
        <v>0</v>
      </c>
      <c r="Z1057" s="9">
        <v>0</v>
      </c>
      <c r="AA1057" s="9">
        <v>0</v>
      </c>
      <c r="AB1057" s="9">
        <v>0</v>
      </c>
      <c r="AC1057" s="9">
        <v>0</v>
      </c>
      <c r="AD1057" s="53" t="e">
        <f>#REF!*D1057</f>
        <v>#REF!</v>
      </c>
      <c r="AE1057" s="53" t="e">
        <f>AD1057-#REF!</f>
        <v>#REF!</v>
      </c>
      <c r="AF1057" s="9"/>
      <c r="AG1057" s="33" t="e">
        <f>#REF!-D1057</f>
        <v>#REF!</v>
      </c>
      <c r="AH1057" s="9"/>
      <c r="AI1057" s="9"/>
      <c r="AJ1057" s="9"/>
      <c r="AK1057" s="9"/>
    </row>
    <row r="1058" spans="1:37" s="12" customFormat="1" ht="10.199999999999999" outlineLevel="1" x14ac:dyDescent="0.2">
      <c r="A1058" s="61"/>
      <c r="B1058" s="47"/>
      <c r="C1058" s="9"/>
      <c r="D1058" s="25"/>
      <c r="E1058" s="54"/>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53"/>
      <c r="AE1058" s="53"/>
      <c r="AF1058" s="9"/>
      <c r="AG1058" s="33"/>
      <c r="AH1058" s="9"/>
      <c r="AI1058" s="9"/>
      <c r="AJ1058" s="9"/>
      <c r="AK1058" s="9"/>
    </row>
    <row r="1059" spans="1:37" x14ac:dyDescent="0.25">
      <c r="A1059" s="18" t="s">
        <v>3648</v>
      </c>
      <c r="B1059" s="35" t="s">
        <v>3649</v>
      </c>
      <c r="C1059" s="18" t="s">
        <v>41</v>
      </c>
      <c r="D1059" s="52" t="e">
        <f>#REF!/#REF!*100</f>
        <v>#REF!</v>
      </c>
      <c r="G1059" s="9"/>
      <c r="AD1059" s="53" t="e">
        <f>#REF!*D1059</f>
        <v>#REF!</v>
      </c>
      <c r="AE1059" s="53" t="e">
        <f>AD1059-#REF!</f>
        <v>#REF!</v>
      </c>
      <c r="AG1059" s="33" t="e">
        <f>#REF!-D1059</f>
        <v>#REF!</v>
      </c>
    </row>
    <row r="1060" spans="1:37" s="12" customFormat="1" ht="61.2" outlineLevel="1" x14ac:dyDescent="0.2">
      <c r="A1060" s="61" t="s">
        <v>3650</v>
      </c>
      <c r="B1060" s="47" t="s">
        <v>3651</v>
      </c>
      <c r="C1060" s="9" t="s">
        <v>47</v>
      </c>
      <c r="D1060" s="25">
        <f>SUM(G1060:AC1060)</f>
        <v>1</v>
      </c>
      <c r="E1060" s="54"/>
      <c r="F1060" s="9"/>
      <c r="G1060" s="9">
        <v>0</v>
      </c>
      <c r="H1060" s="9">
        <v>1</v>
      </c>
      <c r="I1060" s="9">
        <v>0</v>
      </c>
      <c r="J1060" s="9">
        <v>0</v>
      </c>
      <c r="K1060" s="9">
        <v>0</v>
      </c>
      <c r="L1060" s="9">
        <v>0</v>
      </c>
      <c r="M1060" s="9">
        <v>0</v>
      </c>
      <c r="N1060" s="9">
        <v>0</v>
      </c>
      <c r="O1060" s="9">
        <v>0</v>
      </c>
      <c r="P1060" s="9">
        <v>0</v>
      </c>
      <c r="Q1060" s="9">
        <v>0</v>
      </c>
      <c r="R1060" s="9">
        <v>0</v>
      </c>
      <c r="S1060" s="9">
        <v>0</v>
      </c>
      <c r="T1060" s="9">
        <v>0</v>
      </c>
      <c r="U1060" s="9">
        <v>0</v>
      </c>
      <c r="V1060" s="9">
        <v>0</v>
      </c>
      <c r="W1060" s="9">
        <v>0</v>
      </c>
      <c r="X1060" s="9">
        <v>0</v>
      </c>
      <c r="Y1060" s="9">
        <v>0</v>
      </c>
      <c r="Z1060" s="9">
        <v>0</v>
      </c>
      <c r="AA1060" s="9">
        <v>0</v>
      </c>
      <c r="AB1060" s="9">
        <v>0</v>
      </c>
      <c r="AC1060" s="9">
        <v>0</v>
      </c>
      <c r="AD1060" s="53" t="e">
        <f>#REF!*D1060</f>
        <v>#REF!</v>
      </c>
      <c r="AE1060" s="53" t="e">
        <f>AD1060-#REF!</f>
        <v>#REF!</v>
      </c>
      <c r="AF1060" s="9"/>
      <c r="AG1060" s="33" t="e">
        <f>#REF!-D1060</f>
        <v>#REF!</v>
      </c>
      <c r="AH1060" s="9"/>
      <c r="AI1060" s="9"/>
      <c r="AJ1060" s="9"/>
      <c r="AK1060" s="9"/>
    </row>
    <row r="1061" spans="1:37" s="12" customFormat="1" ht="10.199999999999999" outlineLevel="1" x14ac:dyDescent="0.2">
      <c r="A1061" s="61"/>
      <c r="B1061" s="47"/>
      <c r="C1061" s="9"/>
      <c r="D1061" s="25"/>
      <c r="E1061" s="54"/>
      <c r="F1061" s="9"/>
      <c r="G1061" s="9"/>
      <c r="H1061" s="9"/>
      <c r="I1061" s="9"/>
      <c r="J1061" s="9"/>
      <c r="K1061" s="9"/>
      <c r="L1061" s="9"/>
      <c r="M1061" s="9"/>
      <c r="N1061" s="9"/>
      <c r="O1061" s="9"/>
      <c r="P1061" s="9"/>
      <c r="Q1061" s="9"/>
      <c r="R1061" s="9"/>
      <c r="S1061" s="9"/>
      <c r="T1061" s="9"/>
      <c r="U1061" s="9"/>
      <c r="V1061" s="9"/>
      <c r="W1061" s="9"/>
      <c r="X1061" s="9"/>
      <c r="Y1061" s="9"/>
      <c r="Z1061" s="9"/>
      <c r="AA1061" s="9"/>
      <c r="AB1061" s="9"/>
      <c r="AC1061" s="9"/>
      <c r="AD1061" s="53"/>
      <c r="AE1061" s="53"/>
      <c r="AF1061" s="9"/>
      <c r="AG1061" s="33"/>
      <c r="AH1061" s="9"/>
      <c r="AI1061" s="9"/>
      <c r="AJ1061" s="9"/>
      <c r="AK1061" s="9"/>
    </row>
    <row r="1062" spans="1:37" x14ac:dyDescent="0.25">
      <c r="A1062" s="18" t="s">
        <v>3652</v>
      </c>
      <c r="B1062" s="35" t="s">
        <v>3716</v>
      </c>
      <c r="C1062" s="18" t="s">
        <v>41</v>
      </c>
      <c r="D1062" s="52" t="e">
        <f>#REF!/#REF!*100</f>
        <v>#REF!</v>
      </c>
      <c r="G1062" s="9"/>
      <c r="AD1062" s="53" t="e">
        <f>#REF!*D1062</f>
        <v>#REF!</v>
      </c>
      <c r="AE1062" s="53" t="e">
        <f>AD1062-#REF!</f>
        <v>#REF!</v>
      </c>
      <c r="AG1062" s="33" t="e">
        <f>#REF!-D1062</f>
        <v>#REF!</v>
      </c>
    </row>
    <row r="1063" spans="1:37" s="12" customFormat="1" ht="20.399999999999999" outlineLevel="1" x14ac:dyDescent="0.2">
      <c r="A1063" s="61" t="s">
        <v>3653</v>
      </c>
      <c r="B1063" s="47" t="s">
        <v>3654</v>
      </c>
      <c r="C1063" s="9" t="s">
        <v>47</v>
      </c>
      <c r="D1063" s="25">
        <v>9</v>
      </c>
      <c r="E1063" s="54"/>
      <c r="F1063" s="9"/>
      <c r="G1063" s="9">
        <v>8</v>
      </c>
      <c r="H1063" s="9">
        <v>0</v>
      </c>
      <c r="I1063" s="9">
        <v>0</v>
      </c>
      <c r="J1063" s="9">
        <v>0</v>
      </c>
      <c r="K1063" s="9">
        <v>0</v>
      </c>
      <c r="L1063" s="9">
        <v>0</v>
      </c>
      <c r="M1063" s="9">
        <v>0</v>
      </c>
      <c r="N1063" s="9">
        <v>0</v>
      </c>
      <c r="O1063" s="9">
        <v>0</v>
      </c>
      <c r="P1063" s="9">
        <v>0</v>
      </c>
      <c r="Q1063" s="9">
        <v>0</v>
      </c>
      <c r="R1063" s="9">
        <v>0</v>
      </c>
      <c r="S1063" s="9">
        <v>0</v>
      </c>
      <c r="T1063" s="9">
        <v>0</v>
      </c>
      <c r="U1063" s="9">
        <v>0</v>
      </c>
      <c r="V1063" s="9">
        <v>0</v>
      </c>
      <c r="W1063" s="9">
        <v>0</v>
      </c>
      <c r="X1063" s="9">
        <v>0</v>
      </c>
      <c r="Y1063" s="9">
        <v>0</v>
      </c>
      <c r="Z1063" s="9">
        <v>0</v>
      </c>
      <c r="AA1063" s="9">
        <v>0</v>
      </c>
      <c r="AB1063" s="9">
        <v>0</v>
      </c>
      <c r="AC1063" s="9">
        <v>0</v>
      </c>
      <c r="AD1063" s="53" t="e">
        <f>#REF!*D1063</f>
        <v>#REF!</v>
      </c>
      <c r="AE1063" s="53" t="e">
        <f>AD1063-#REF!</f>
        <v>#REF!</v>
      </c>
      <c r="AF1063" s="9"/>
      <c r="AG1063" s="33" t="e">
        <f>#REF!-D1063</f>
        <v>#REF!</v>
      </c>
      <c r="AH1063" s="9"/>
      <c r="AI1063" s="9"/>
      <c r="AJ1063" s="9"/>
      <c r="AK1063" s="9"/>
    </row>
    <row r="1064" spans="1:37" s="12" customFormat="1" ht="20.399999999999999" outlineLevel="1" x14ac:dyDescent="0.2">
      <c r="A1064" s="61" t="s">
        <v>3665</v>
      </c>
      <c r="B1064" s="47" t="s">
        <v>3655</v>
      </c>
      <c r="C1064" s="9" t="s">
        <v>47</v>
      </c>
      <c r="D1064" s="25">
        <v>2</v>
      </c>
      <c r="E1064" s="54"/>
      <c r="F1064" s="9"/>
      <c r="G1064" s="9">
        <v>0</v>
      </c>
      <c r="H1064" s="9">
        <v>5</v>
      </c>
      <c r="I1064" s="9">
        <v>3</v>
      </c>
      <c r="J1064" s="9">
        <v>0</v>
      </c>
      <c r="K1064" s="9">
        <v>0</v>
      </c>
      <c r="L1064" s="9">
        <v>0</v>
      </c>
      <c r="M1064" s="9">
        <v>0</v>
      </c>
      <c r="N1064" s="9">
        <v>0</v>
      </c>
      <c r="O1064" s="9">
        <v>0</v>
      </c>
      <c r="P1064" s="9">
        <v>0</v>
      </c>
      <c r="Q1064" s="9">
        <v>0</v>
      </c>
      <c r="R1064" s="9">
        <v>0</v>
      </c>
      <c r="S1064" s="9">
        <v>0</v>
      </c>
      <c r="T1064" s="9">
        <v>0</v>
      </c>
      <c r="U1064" s="9">
        <v>0</v>
      </c>
      <c r="V1064" s="9">
        <v>0</v>
      </c>
      <c r="W1064" s="9">
        <v>0</v>
      </c>
      <c r="X1064" s="9">
        <v>0</v>
      </c>
      <c r="Y1064" s="9">
        <v>0</v>
      </c>
      <c r="Z1064" s="9">
        <v>0</v>
      </c>
      <c r="AA1064" s="9">
        <v>0</v>
      </c>
      <c r="AB1064" s="9">
        <v>0</v>
      </c>
      <c r="AC1064" s="9">
        <v>0</v>
      </c>
      <c r="AD1064" s="53" t="e">
        <f>#REF!*D1064</f>
        <v>#REF!</v>
      </c>
      <c r="AE1064" s="53" t="e">
        <f>AD1064-#REF!</f>
        <v>#REF!</v>
      </c>
      <c r="AF1064" s="9"/>
      <c r="AG1064" s="33" t="e">
        <f>#REF!-D1064</f>
        <v>#REF!</v>
      </c>
      <c r="AH1064" s="9"/>
      <c r="AI1064" s="9"/>
      <c r="AJ1064" s="9"/>
      <c r="AK1064" s="9"/>
    </row>
    <row r="1065" spans="1:37" s="12" customFormat="1" ht="20.399999999999999" outlineLevel="1" x14ac:dyDescent="0.2">
      <c r="A1065" s="61" t="s">
        <v>3666</v>
      </c>
      <c r="B1065" s="47" t="s">
        <v>3656</v>
      </c>
      <c r="C1065" s="9" t="s">
        <v>47</v>
      </c>
      <c r="D1065" s="25">
        <v>2</v>
      </c>
      <c r="E1065" s="54"/>
      <c r="F1065" s="9"/>
      <c r="G1065" s="9">
        <v>0</v>
      </c>
      <c r="H1065" s="9">
        <v>3</v>
      </c>
      <c r="I1065" s="9">
        <v>0</v>
      </c>
      <c r="J1065" s="9">
        <v>0</v>
      </c>
      <c r="K1065" s="9">
        <v>0</v>
      </c>
      <c r="L1065" s="9">
        <v>0</v>
      </c>
      <c r="M1065" s="9">
        <v>0</v>
      </c>
      <c r="N1065" s="9">
        <v>0</v>
      </c>
      <c r="O1065" s="9">
        <v>0</v>
      </c>
      <c r="P1065" s="9">
        <v>0</v>
      </c>
      <c r="Q1065" s="9">
        <v>0</v>
      </c>
      <c r="R1065" s="9">
        <v>0</v>
      </c>
      <c r="S1065" s="9">
        <v>0</v>
      </c>
      <c r="T1065" s="9">
        <v>0</v>
      </c>
      <c r="U1065" s="9">
        <v>1</v>
      </c>
      <c r="V1065" s="9">
        <v>0</v>
      </c>
      <c r="W1065" s="9">
        <v>0</v>
      </c>
      <c r="X1065" s="9">
        <v>0</v>
      </c>
      <c r="Y1065" s="9">
        <v>0</v>
      </c>
      <c r="Z1065" s="9">
        <v>0</v>
      </c>
      <c r="AA1065" s="9">
        <v>0</v>
      </c>
      <c r="AB1065" s="9">
        <v>0</v>
      </c>
      <c r="AC1065" s="9">
        <v>0</v>
      </c>
      <c r="AD1065" s="53" t="e">
        <f>#REF!*D1065</f>
        <v>#REF!</v>
      </c>
      <c r="AE1065" s="53" t="e">
        <f>AD1065-#REF!</f>
        <v>#REF!</v>
      </c>
      <c r="AF1065" s="9"/>
      <c r="AG1065" s="33" t="e">
        <f>#REF!-D1065</f>
        <v>#REF!</v>
      </c>
      <c r="AH1065" s="9"/>
      <c r="AI1065" s="9"/>
      <c r="AJ1065" s="9"/>
      <c r="AK1065" s="9"/>
    </row>
    <row r="1066" spans="1:37" s="12" customFormat="1" ht="20.399999999999999" outlineLevel="1" x14ac:dyDescent="0.2">
      <c r="A1066" s="61" t="s">
        <v>3667</v>
      </c>
      <c r="B1066" s="47" t="s">
        <v>3657</v>
      </c>
      <c r="C1066" s="9" t="s">
        <v>47</v>
      </c>
      <c r="D1066" s="25">
        <v>2</v>
      </c>
      <c r="E1066" s="54"/>
      <c r="F1066" s="9"/>
      <c r="G1066" s="9">
        <v>0</v>
      </c>
      <c r="H1066" s="9">
        <v>0</v>
      </c>
      <c r="I1066" s="9">
        <v>0</v>
      </c>
      <c r="J1066" s="9">
        <v>0</v>
      </c>
      <c r="K1066" s="9">
        <v>0</v>
      </c>
      <c r="L1066" s="9">
        <v>2</v>
      </c>
      <c r="M1066" s="9">
        <v>2</v>
      </c>
      <c r="N1066" s="9">
        <v>2</v>
      </c>
      <c r="O1066" s="9">
        <v>0</v>
      </c>
      <c r="P1066" s="9">
        <v>0</v>
      </c>
      <c r="Q1066" s="9">
        <v>4</v>
      </c>
      <c r="R1066" s="9">
        <v>0</v>
      </c>
      <c r="S1066" s="9">
        <v>0</v>
      </c>
      <c r="T1066" s="9">
        <v>0</v>
      </c>
      <c r="U1066" s="9">
        <v>0</v>
      </c>
      <c r="V1066" s="9">
        <v>0</v>
      </c>
      <c r="W1066" s="9">
        <v>0</v>
      </c>
      <c r="X1066" s="9">
        <v>0</v>
      </c>
      <c r="Y1066" s="9">
        <v>0</v>
      </c>
      <c r="Z1066" s="9">
        <v>0</v>
      </c>
      <c r="AA1066" s="9">
        <v>0</v>
      </c>
      <c r="AB1066" s="9">
        <v>0</v>
      </c>
      <c r="AC1066" s="9">
        <v>0</v>
      </c>
      <c r="AD1066" s="53" t="e">
        <f>#REF!*D1066</f>
        <v>#REF!</v>
      </c>
      <c r="AE1066" s="53" t="e">
        <f>AD1066-#REF!</f>
        <v>#REF!</v>
      </c>
      <c r="AF1066" s="9"/>
      <c r="AG1066" s="33" t="e">
        <f>#REF!-D1066</f>
        <v>#REF!</v>
      </c>
      <c r="AH1066" s="9"/>
      <c r="AI1066" s="9"/>
      <c r="AJ1066" s="9"/>
      <c r="AK1066" s="9"/>
    </row>
    <row r="1067" spans="1:37" s="12" customFormat="1" ht="20.399999999999999" outlineLevel="1" x14ac:dyDescent="0.2">
      <c r="A1067" s="61" t="s">
        <v>3668</v>
      </c>
      <c r="B1067" s="47" t="s">
        <v>3658</v>
      </c>
      <c r="C1067" s="9" t="s">
        <v>47</v>
      </c>
      <c r="D1067" s="25">
        <v>4</v>
      </c>
      <c r="E1067" s="129"/>
      <c r="F1067" s="9"/>
      <c r="G1067" s="9">
        <v>0</v>
      </c>
      <c r="H1067" s="9">
        <v>6</v>
      </c>
      <c r="I1067" s="9">
        <v>5</v>
      </c>
      <c r="J1067" s="9">
        <v>4</v>
      </c>
      <c r="K1067" s="9">
        <v>4</v>
      </c>
      <c r="L1067" s="9">
        <v>1</v>
      </c>
      <c r="M1067" s="9">
        <v>1</v>
      </c>
      <c r="N1067" s="9">
        <v>1</v>
      </c>
      <c r="O1067" s="9">
        <v>4</v>
      </c>
      <c r="P1067" s="9">
        <v>4</v>
      </c>
      <c r="Q1067" s="9">
        <v>8</v>
      </c>
      <c r="R1067" s="9">
        <v>0</v>
      </c>
      <c r="S1067" s="9">
        <v>0</v>
      </c>
      <c r="T1067" s="9">
        <v>0</v>
      </c>
      <c r="U1067" s="9">
        <v>2</v>
      </c>
      <c r="V1067" s="9">
        <v>2</v>
      </c>
      <c r="W1067" s="9">
        <v>1</v>
      </c>
      <c r="X1067" s="9">
        <v>2</v>
      </c>
      <c r="Y1067" s="9">
        <v>2</v>
      </c>
      <c r="Z1067" s="9">
        <v>2</v>
      </c>
      <c r="AA1067" s="9">
        <v>2</v>
      </c>
      <c r="AB1067" s="9">
        <v>0</v>
      </c>
      <c r="AC1067" s="9">
        <v>0</v>
      </c>
      <c r="AD1067" s="53" t="e">
        <f>#REF!*D1067</f>
        <v>#REF!</v>
      </c>
      <c r="AE1067" s="53" t="e">
        <f>AD1067-#REF!</f>
        <v>#REF!</v>
      </c>
      <c r="AF1067" s="9"/>
      <c r="AG1067" s="33" t="e">
        <f>#REF!-D1067</f>
        <v>#REF!</v>
      </c>
      <c r="AH1067" s="9"/>
      <c r="AI1067" s="9"/>
      <c r="AJ1067" s="9"/>
      <c r="AK1067" s="9"/>
    </row>
    <row r="1068" spans="1:37" s="12" customFormat="1" ht="20.399999999999999" outlineLevel="1" x14ac:dyDescent="0.2">
      <c r="A1068" s="61" t="s">
        <v>3669</v>
      </c>
      <c r="B1068" s="47" t="s">
        <v>3659</v>
      </c>
      <c r="C1068" s="9" t="s">
        <v>47</v>
      </c>
      <c r="D1068" s="25">
        <v>4</v>
      </c>
      <c r="E1068" s="54"/>
      <c r="F1068" s="9"/>
      <c r="G1068" s="9">
        <v>0</v>
      </c>
      <c r="H1068" s="9">
        <v>9</v>
      </c>
      <c r="I1068" s="9">
        <v>2</v>
      </c>
      <c r="J1068" s="9">
        <v>2</v>
      </c>
      <c r="K1068" s="9">
        <v>2</v>
      </c>
      <c r="L1068" s="9">
        <v>2</v>
      </c>
      <c r="M1068" s="9">
        <v>2</v>
      </c>
      <c r="N1068" s="9">
        <v>2</v>
      </c>
      <c r="O1068" s="9">
        <v>1</v>
      </c>
      <c r="P1068" s="9">
        <v>1</v>
      </c>
      <c r="Q1068" s="9">
        <v>4</v>
      </c>
      <c r="R1068" s="9">
        <v>0</v>
      </c>
      <c r="S1068" s="9">
        <v>0</v>
      </c>
      <c r="T1068" s="9">
        <v>0</v>
      </c>
      <c r="U1068" s="9">
        <v>6</v>
      </c>
      <c r="V1068" s="9">
        <v>2</v>
      </c>
      <c r="W1068" s="9">
        <v>0</v>
      </c>
      <c r="X1068" s="49">
        <v>4</v>
      </c>
      <c r="Y1068" s="9">
        <v>20</v>
      </c>
      <c r="Z1068" s="9">
        <v>7</v>
      </c>
      <c r="AA1068" s="9">
        <v>3</v>
      </c>
      <c r="AB1068" s="9">
        <v>0</v>
      </c>
      <c r="AC1068" s="9">
        <v>0</v>
      </c>
      <c r="AD1068" s="53" t="e">
        <f>#REF!*D1068</f>
        <v>#REF!</v>
      </c>
      <c r="AE1068" s="53" t="e">
        <f>AD1068-#REF!</f>
        <v>#REF!</v>
      </c>
      <c r="AF1068" s="9"/>
      <c r="AG1068" s="33" t="e">
        <f>#REF!-D1068</f>
        <v>#REF!</v>
      </c>
      <c r="AH1068" s="9"/>
      <c r="AI1068" s="9"/>
      <c r="AJ1068" s="9"/>
      <c r="AK1068" s="9"/>
    </row>
    <row r="1069" spans="1:37" s="12" customFormat="1" ht="30.6" outlineLevel="1" x14ac:dyDescent="0.2">
      <c r="A1069" s="61" t="s">
        <v>3670</v>
      </c>
      <c r="B1069" s="47" t="s">
        <v>3660</v>
      </c>
      <c r="C1069" s="9" t="s">
        <v>47</v>
      </c>
      <c r="D1069" s="25">
        <v>17</v>
      </c>
      <c r="E1069" s="54"/>
      <c r="F1069" s="9"/>
      <c r="G1069" s="9">
        <v>0</v>
      </c>
      <c r="H1069" s="9">
        <v>6</v>
      </c>
      <c r="I1069" s="9">
        <v>2</v>
      </c>
      <c r="J1069" s="9">
        <v>0</v>
      </c>
      <c r="K1069" s="9">
        <v>0</v>
      </c>
      <c r="L1069" s="9">
        <v>0</v>
      </c>
      <c r="M1069" s="9">
        <v>0</v>
      </c>
      <c r="N1069" s="9">
        <v>0</v>
      </c>
      <c r="O1069" s="9">
        <v>0</v>
      </c>
      <c r="P1069" s="9">
        <v>0</v>
      </c>
      <c r="Q1069" s="9">
        <v>0</v>
      </c>
      <c r="R1069" s="9">
        <v>0</v>
      </c>
      <c r="S1069" s="9">
        <v>0</v>
      </c>
      <c r="T1069" s="9">
        <v>0</v>
      </c>
      <c r="U1069" s="9">
        <v>0</v>
      </c>
      <c r="V1069" s="9">
        <v>0</v>
      </c>
      <c r="W1069" s="9">
        <v>0</v>
      </c>
      <c r="X1069" s="9">
        <v>0</v>
      </c>
      <c r="Y1069" s="9">
        <v>0</v>
      </c>
      <c r="Z1069" s="9">
        <v>0</v>
      </c>
      <c r="AA1069" s="9">
        <v>0</v>
      </c>
      <c r="AB1069" s="9">
        <v>0</v>
      </c>
      <c r="AC1069" s="9">
        <v>0</v>
      </c>
      <c r="AD1069" s="53" t="e">
        <f>#REF!*D1069</f>
        <v>#REF!</v>
      </c>
      <c r="AE1069" s="53" t="e">
        <f>AD1069-#REF!</f>
        <v>#REF!</v>
      </c>
      <c r="AF1069" s="9"/>
      <c r="AG1069" s="33" t="e">
        <f>#REF!-D1069</f>
        <v>#REF!</v>
      </c>
      <c r="AH1069" s="9"/>
      <c r="AI1069" s="9"/>
      <c r="AJ1069" s="9"/>
      <c r="AK1069" s="9"/>
    </row>
    <row r="1070" spans="1:37" s="12" customFormat="1" ht="30.6" outlineLevel="1" x14ac:dyDescent="0.2">
      <c r="A1070" s="61" t="s">
        <v>3671</v>
      </c>
      <c r="B1070" s="47" t="s">
        <v>3661</v>
      </c>
      <c r="C1070" s="9" t="s">
        <v>47</v>
      </c>
      <c r="D1070" s="25">
        <v>17</v>
      </c>
      <c r="E1070" s="54"/>
      <c r="F1070" s="9"/>
      <c r="G1070" s="9">
        <v>0</v>
      </c>
      <c r="H1070" s="9">
        <v>20</v>
      </c>
      <c r="I1070" s="9">
        <v>0</v>
      </c>
      <c r="J1070" s="9">
        <v>0</v>
      </c>
      <c r="K1070" s="9">
        <v>0</v>
      </c>
      <c r="L1070" s="9">
        <v>0</v>
      </c>
      <c r="M1070" s="9">
        <v>0</v>
      </c>
      <c r="N1070" s="9">
        <v>0</v>
      </c>
      <c r="O1070" s="9">
        <v>2</v>
      </c>
      <c r="P1070" s="9">
        <v>2</v>
      </c>
      <c r="Q1070" s="9">
        <v>2</v>
      </c>
      <c r="R1070" s="9">
        <v>0</v>
      </c>
      <c r="S1070" s="9">
        <v>0</v>
      </c>
      <c r="T1070" s="9">
        <v>0</v>
      </c>
      <c r="U1070" s="9">
        <v>0</v>
      </c>
      <c r="V1070" s="9">
        <v>0</v>
      </c>
      <c r="W1070" s="9">
        <v>0</v>
      </c>
      <c r="X1070" s="9">
        <v>0</v>
      </c>
      <c r="Y1070" s="9">
        <v>0</v>
      </c>
      <c r="Z1070" s="9">
        <v>0</v>
      </c>
      <c r="AA1070" s="9">
        <v>0</v>
      </c>
      <c r="AB1070" s="9">
        <v>0</v>
      </c>
      <c r="AC1070" s="9">
        <v>0</v>
      </c>
      <c r="AD1070" s="53" t="e">
        <f>#REF!*D1070</f>
        <v>#REF!</v>
      </c>
      <c r="AE1070" s="53" t="e">
        <f>AD1070-#REF!</f>
        <v>#REF!</v>
      </c>
      <c r="AF1070" s="9"/>
      <c r="AG1070" s="33" t="e">
        <f>#REF!-D1070</f>
        <v>#REF!</v>
      </c>
      <c r="AH1070" s="9"/>
      <c r="AI1070" s="9"/>
      <c r="AJ1070" s="9"/>
      <c r="AK1070" s="9"/>
    </row>
    <row r="1071" spans="1:37" s="12" customFormat="1" ht="20.399999999999999" outlineLevel="1" x14ac:dyDescent="0.2">
      <c r="A1071" s="61" t="s">
        <v>3672</v>
      </c>
      <c r="B1071" s="47" t="s">
        <v>3662</v>
      </c>
      <c r="C1071" s="9" t="s">
        <v>47</v>
      </c>
      <c r="D1071" s="25">
        <v>17</v>
      </c>
      <c r="E1071" s="54"/>
      <c r="F1071" s="9"/>
      <c r="G1071" s="9">
        <v>0</v>
      </c>
      <c r="H1071" s="9">
        <v>14</v>
      </c>
      <c r="I1071" s="9">
        <v>10</v>
      </c>
      <c r="J1071" s="9">
        <v>10</v>
      </c>
      <c r="K1071" s="9">
        <v>10</v>
      </c>
      <c r="L1071" s="9">
        <v>6</v>
      </c>
      <c r="M1071" s="9">
        <v>6</v>
      </c>
      <c r="N1071" s="9">
        <v>6</v>
      </c>
      <c r="O1071" s="9">
        <v>10</v>
      </c>
      <c r="P1071" s="9">
        <v>10</v>
      </c>
      <c r="Q1071" s="9">
        <v>16</v>
      </c>
      <c r="R1071" s="9">
        <v>0</v>
      </c>
      <c r="S1071" s="9">
        <v>0</v>
      </c>
      <c r="T1071" s="9">
        <v>0</v>
      </c>
      <c r="U1071" s="9">
        <v>10</v>
      </c>
      <c r="V1071" s="9">
        <v>6</v>
      </c>
      <c r="W1071" s="9">
        <v>2</v>
      </c>
      <c r="X1071" s="9">
        <v>6</v>
      </c>
      <c r="Y1071" s="9">
        <v>10</v>
      </c>
      <c r="Z1071" s="9">
        <v>10</v>
      </c>
      <c r="AA1071" s="9">
        <v>6</v>
      </c>
      <c r="AB1071" s="9">
        <v>0</v>
      </c>
      <c r="AC1071" s="9">
        <v>0</v>
      </c>
      <c r="AD1071" s="53" t="e">
        <f>#REF!*D1071</f>
        <v>#REF!</v>
      </c>
      <c r="AE1071" s="53" t="e">
        <f>AD1071-#REF!</f>
        <v>#REF!</v>
      </c>
      <c r="AF1071" s="9"/>
      <c r="AG1071" s="33" t="e">
        <f>#REF!-D1071</f>
        <v>#REF!</v>
      </c>
      <c r="AH1071" s="9"/>
      <c r="AI1071" s="9"/>
      <c r="AJ1071" s="9"/>
      <c r="AK1071" s="9"/>
    </row>
    <row r="1072" spans="1:37" s="12" customFormat="1" ht="30.6" outlineLevel="1" x14ac:dyDescent="0.2">
      <c r="A1072" s="61" t="s">
        <v>3673</v>
      </c>
      <c r="B1072" s="47" t="s">
        <v>3663</v>
      </c>
      <c r="C1072" s="9" t="s">
        <v>47</v>
      </c>
      <c r="D1072" s="25">
        <v>51</v>
      </c>
      <c r="E1072" s="54"/>
      <c r="F1072" s="9"/>
      <c r="G1072" s="9">
        <v>0</v>
      </c>
      <c r="H1072" s="9">
        <v>0</v>
      </c>
      <c r="I1072" s="9">
        <v>0</v>
      </c>
      <c r="J1072" s="9">
        <v>0</v>
      </c>
      <c r="K1072" s="9">
        <v>0</v>
      </c>
      <c r="L1072" s="9">
        <v>0</v>
      </c>
      <c r="M1072" s="9">
        <v>0</v>
      </c>
      <c r="N1072" s="9">
        <v>0</v>
      </c>
      <c r="O1072" s="9">
        <v>0</v>
      </c>
      <c r="P1072" s="9">
        <v>0</v>
      </c>
      <c r="Q1072" s="9">
        <v>0</v>
      </c>
      <c r="R1072" s="9">
        <v>0</v>
      </c>
      <c r="S1072" s="9">
        <v>0</v>
      </c>
      <c r="T1072" s="9">
        <v>0</v>
      </c>
      <c r="U1072" s="9">
        <v>0</v>
      </c>
      <c r="V1072" s="9">
        <v>0</v>
      </c>
      <c r="W1072" s="9">
        <v>0</v>
      </c>
      <c r="X1072" s="9">
        <v>2</v>
      </c>
      <c r="Y1072" s="9">
        <v>16</v>
      </c>
      <c r="Z1072" s="9">
        <v>4</v>
      </c>
      <c r="AA1072" s="9">
        <v>2</v>
      </c>
      <c r="AB1072" s="9">
        <v>0</v>
      </c>
      <c r="AC1072" s="9">
        <v>0</v>
      </c>
      <c r="AD1072" s="53" t="e">
        <f>#REF!*D1072</f>
        <v>#REF!</v>
      </c>
      <c r="AE1072" s="53" t="e">
        <f>AD1072-#REF!</f>
        <v>#REF!</v>
      </c>
      <c r="AF1072" s="9"/>
      <c r="AG1072" s="33" t="e">
        <f>#REF!-D1072</f>
        <v>#REF!</v>
      </c>
      <c r="AH1072" s="9"/>
      <c r="AI1072" s="9"/>
      <c r="AJ1072" s="9"/>
      <c r="AK1072" s="9"/>
    </row>
    <row r="1073" spans="1:37" s="12" customFormat="1" ht="20.399999999999999" outlineLevel="1" x14ac:dyDescent="0.2">
      <c r="A1073" s="61" t="s">
        <v>3674</v>
      </c>
      <c r="B1073" s="36" t="s">
        <v>3664</v>
      </c>
      <c r="C1073" s="9" t="s">
        <v>47</v>
      </c>
      <c r="D1073" s="25">
        <v>51</v>
      </c>
      <c r="E1073" s="54"/>
      <c r="F1073" s="9"/>
      <c r="G1073" s="9">
        <v>0</v>
      </c>
      <c r="H1073" s="9">
        <v>1</v>
      </c>
      <c r="I1073" s="9">
        <v>1</v>
      </c>
      <c r="J1073" s="9">
        <v>0</v>
      </c>
      <c r="K1073" s="9">
        <v>0</v>
      </c>
      <c r="L1073" s="9">
        <v>0</v>
      </c>
      <c r="M1073" s="9">
        <v>0</v>
      </c>
      <c r="N1073" s="9">
        <v>0</v>
      </c>
      <c r="O1073" s="9">
        <v>0</v>
      </c>
      <c r="P1073" s="9">
        <v>0</v>
      </c>
      <c r="Q1073" s="9">
        <v>0</v>
      </c>
      <c r="R1073" s="9">
        <v>0</v>
      </c>
      <c r="S1073" s="9">
        <v>0</v>
      </c>
      <c r="T1073" s="9">
        <v>0</v>
      </c>
      <c r="U1073" s="9">
        <v>0</v>
      </c>
      <c r="V1073" s="9">
        <v>0</v>
      </c>
      <c r="W1073" s="9">
        <v>0</v>
      </c>
      <c r="X1073" s="9">
        <v>0</v>
      </c>
      <c r="Y1073" s="9">
        <v>0</v>
      </c>
      <c r="Z1073" s="9">
        <v>0</v>
      </c>
      <c r="AA1073" s="9">
        <v>0</v>
      </c>
      <c r="AB1073" s="9">
        <v>0</v>
      </c>
      <c r="AC1073" s="9">
        <v>0</v>
      </c>
      <c r="AD1073" s="53" t="e">
        <f>#REF!*D1073</f>
        <v>#REF!</v>
      </c>
      <c r="AE1073" s="53" t="e">
        <f>AD1073-#REF!</f>
        <v>#REF!</v>
      </c>
      <c r="AF1073" s="9"/>
      <c r="AG1073" s="33" t="e">
        <f>#REF!-D1073</f>
        <v>#REF!</v>
      </c>
      <c r="AH1073" s="9"/>
      <c r="AI1073" s="9"/>
      <c r="AJ1073" s="9"/>
      <c r="AK1073" s="9"/>
    </row>
    <row r="1074" spans="1:37" s="12" customFormat="1" ht="10.199999999999999" outlineLevel="1" x14ac:dyDescent="0.2">
      <c r="A1074" s="61"/>
      <c r="B1074" s="36"/>
      <c r="C1074" s="9"/>
      <c r="D1074" s="25"/>
      <c r="E1074" s="54"/>
      <c r="F1074" s="9"/>
      <c r="G1074" s="9"/>
      <c r="H1074" s="9"/>
      <c r="I1074" s="9"/>
      <c r="J1074" s="9"/>
      <c r="K1074" s="9"/>
      <c r="L1074" s="9"/>
      <c r="M1074" s="9"/>
      <c r="N1074" s="9"/>
      <c r="O1074" s="9"/>
      <c r="P1074" s="9"/>
      <c r="Q1074" s="9"/>
      <c r="R1074" s="9"/>
      <c r="S1074" s="9"/>
      <c r="T1074" s="9"/>
      <c r="U1074" s="9"/>
      <c r="V1074" s="9"/>
      <c r="W1074" s="9"/>
      <c r="X1074" s="9"/>
      <c r="Y1074" s="9"/>
      <c r="Z1074" s="9"/>
      <c r="AA1074" s="9"/>
      <c r="AB1074" s="9"/>
      <c r="AC1074" s="9"/>
      <c r="AD1074" s="53"/>
      <c r="AE1074" s="53"/>
      <c r="AF1074" s="9"/>
      <c r="AG1074" s="33"/>
      <c r="AH1074" s="9"/>
      <c r="AI1074" s="9"/>
      <c r="AJ1074" s="9"/>
      <c r="AK1074" s="9"/>
    </row>
    <row r="1075" spans="1:37" x14ac:dyDescent="0.25">
      <c r="A1075" s="18" t="s">
        <v>3675</v>
      </c>
      <c r="B1075" s="35" t="s">
        <v>3717</v>
      </c>
      <c r="C1075" s="18" t="s">
        <v>41</v>
      </c>
      <c r="D1075" s="52" t="e">
        <f>#REF!/#REF!*100</f>
        <v>#REF!</v>
      </c>
      <c r="G1075" s="9"/>
      <c r="AD1075" s="53" t="e">
        <f>#REF!*D1075</f>
        <v>#REF!</v>
      </c>
      <c r="AE1075" s="53" t="e">
        <f>AD1075-#REF!</f>
        <v>#REF!</v>
      </c>
      <c r="AG1075" s="33" t="e">
        <f>#REF!-D1075</f>
        <v>#REF!</v>
      </c>
    </row>
    <row r="1076" spans="1:37" s="12" customFormat="1" ht="30" customHeight="1" outlineLevel="1" x14ac:dyDescent="0.2">
      <c r="A1076" s="61" t="s">
        <v>3686</v>
      </c>
      <c r="B1076" s="80" t="s">
        <v>3676</v>
      </c>
      <c r="C1076" s="9" t="s">
        <v>47</v>
      </c>
      <c r="D1076" s="25">
        <f t="shared" ref="D1076:D1085" si="263">SUM(G1076:AC1076)</f>
        <v>1</v>
      </c>
      <c r="E1076" s="54"/>
      <c r="F1076" s="9"/>
      <c r="G1076" s="9">
        <v>0</v>
      </c>
      <c r="H1076" s="9">
        <v>1</v>
      </c>
      <c r="I1076" s="9">
        <v>0</v>
      </c>
      <c r="J1076" s="9">
        <v>0</v>
      </c>
      <c r="K1076" s="9">
        <v>0</v>
      </c>
      <c r="L1076" s="9">
        <v>0</v>
      </c>
      <c r="M1076" s="9">
        <v>0</v>
      </c>
      <c r="N1076" s="9">
        <v>0</v>
      </c>
      <c r="O1076" s="9">
        <v>0</v>
      </c>
      <c r="P1076" s="9">
        <v>0</v>
      </c>
      <c r="Q1076" s="9">
        <v>0</v>
      </c>
      <c r="R1076" s="9">
        <v>0</v>
      </c>
      <c r="S1076" s="9">
        <v>0</v>
      </c>
      <c r="T1076" s="9">
        <v>0</v>
      </c>
      <c r="U1076" s="9">
        <v>0</v>
      </c>
      <c r="V1076" s="9">
        <v>0</v>
      </c>
      <c r="W1076" s="9">
        <v>0</v>
      </c>
      <c r="X1076" s="9">
        <v>0</v>
      </c>
      <c r="Y1076" s="9">
        <v>0</v>
      </c>
      <c r="Z1076" s="9">
        <v>0</v>
      </c>
      <c r="AA1076" s="9">
        <v>0</v>
      </c>
      <c r="AB1076" s="9">
        <v>0</v>
      </c>
      <c r="AC1076" s="9">
        <v>0</v>
      </c>
      <c r="AD1076" s="53" t="e">
        <f>#REF!*D1076</f>
        <v>#REF!</v>
      </c>
      <c r="AE1076" s="53" t="e">
        <f>AD1076-#REF!</f>
        <v>#REF!</v>
      </c>
      <c r="AF1076" s="9"/>
      <c r="AG1076" s="33" t="e">
        <f>#REF!-D1076</f>
        <v>#REF!</v>
      </c>
      <c r="AH1076" s="9"/>
      <c r="AI1076" s="9"/>
      <c r="AJ1076" s="9"/>
      <c r="AK1076" s="9"/>
    </row>
    <row r="1077" spans="1:37" s="12" customFormat="1" ht="20.399999999999999" outlineLevel="1" x14ac:dyDescent="0.2">
      <c r="A1077" s="61" t="s">
        <v>3687</v>
      </c>
      <c r="B1077" s="36" t="s">
        <v>3677</v>
      </c>
      <c r="C1077" s="9" t="s">
        <v>47</v>
      </c>
      <c r="D1077" s="25">
        <f t="shared" si="263"/>
        <v>1</v>
      </c>
      <c r="E1077" s="54"/>
      <c r="F1077" s="9"/>
      <c r="G1077" s="9">
        <v>0</v>
      </c>
      <c r="H1077" s="9">
        <v>1</v>
      </c>
      <c r="I1077" s="9">
        <v>0</v>
      </c>
      <c r="J1077" s="9">
        <v>0</v>
      </c>
      <c r="K1077" s="9">
        <v>0</v>
      </c>
      <c r="L1077" s="9">
        <v>0</v>
      </c>
      <c r="M1077" s="9">
        <v>0</v>
      </c>
      <c r="N1077" s="9">
        <v>0</v>
      </c>
      <c r="O1077" s="9">
        <v>0</v>
      </c>
      <c r="P1077" s="9">
        <v>0</v>
      </c>
      <c r="Q1077" s="9">
        <v>0</v>
      </c>
      <c r="R1077" s="9">
        <v>0</v>
      </c>
      <c r="S1077" s="9">
        <v>0</v>
      </c>
      <c r="T1077" s="9">
        <v>0</v>
      </c>
      <c r="U1077" s="9">
        <v>0</v>
      </c>
      <c r="V1077" s="9">
        <v>0</v>
      </c>
      <c r="W1077" s="9">
        <v>0</v>
      </c>
      <c r="X1077" s="9">
        <v>0</v>
      </c>
      <c r="Y1077" s="9">
        <v>0</v>
      </c>
      <c r="Z1077" s="9">
        <v>0</v>
      </c>
      <c r="AA1077" s="9">
        <v>0</v>
      </c>
      <c r="AB1077" s="9">
        <v>0</v>
      </c>
      <c r="AC1077" s="9">
        <v>0</v>
      </c>
      <c r="AD1077" s="53" t="e">
        <f>#REF!*D1077</f>
        <v>#REF!</v>
      </c>
      <c r="AE1077" s="53" t="e">
        <f>AD1077-#REF!</f>
        <v>#REF!</v>
      </c>
      <c r="AF1077" s="9"/>
      <c r="AG1077" s="33" t="e">
        <f>#REF!-D1077</f>
        <v>#REF!</v>
      </c>
      <c r="AH1077" s="9"/>
      <c r="AI1077" s="9"/>
      <c r="AJ1077" s="9"/>
      <c r="AK1077" s="9"/>
    </row>
    <row r="1078" spans="1:37" s="12" customFormat="1" ht="20.399999999999999" outlineLevel="1" x14ac:dyDescent="0.2">
      <c r="A1078" s="61" t="s">
        <v>3688</v>
      </c>
      <c r="B1078" s="36" t="s">
        <v>3678</v>
      </c>
      <c r="C1078" s="9" t="s">
        <v>47</v>
      </c>
      <c r="D1078" s="25">
        <f t="shared" si="263"/>
        <v>1</v>
      </c>
      <c r="E1078" s="54"/>
      <c r="F1078" s="9"/>
      <c r="G1078" s="9">
        <v>0</v>
      </c>
      <c r="H1078" s="9">
        <v>1</v>
      </c>
      <c r="I1078" s="9">
        <v>0</v>
      </c>
      <c r="J1078" s="9">
        <v>0</v>
      </c>
      <c r="K1078" s="9">
        <v>0</v>
      </c>
      <c r="L1078" s="9">
        <v>0</v>
      </c>
      <c r="M1078" s="9">
        <v>0</v>
      </c>
      <c r="N1078" s="9">
        <v>0</v>
      </c>
      <c r="O1078" s="9">
        <v>0</v>
      </c>
      <c r="P1078" s="9">
        <v>0</v>
      </c>
      <c r="Q1078" s="9">
        <v>0</v>
      </c>
      <c r="R1078" s="9">
        <v>0</v>
      </c>
      <c r="S1078" s="9">
        <v>0</v>
      </c>
      <c r="T1078" s="9">
        <v>0</v>
      </c>
      <c r="U1078" s="9">
        <v>0</v>
      </c>
      <c r="V1078" s="9">
        <v>0</v>
      </c>
      <c r="W1078" s="9">
        <v>0</v>
      </c>
      <c r="X1078" s="9">
        <v>0</v>
      </c>
      <c r="Y1078" s="9">
        <v>0</v>
      </c>
      <c r="Z1078" s="9">
        <v>0</v>
      </c>
      <c r="AA1078" s="9">
        <v>0</v>
      </c>
      <c r="AB1078" s="9">
        <v>0</v>
      </c>
      <c r="AC1078" s="9">
        <v>0</v>
      </c>
      <c r="AD1078" s="53" t="e">
        <f>#REF!*D1078</f>
        <v>#REF!</v>
      </c>
      <c r="AE1078" s="53" t="e">
        <f>AD1078-#REF!</f>
        <v>#REF!</v>
      </c>
      <c r="AF1078" s="9"/>
      <c r="AG1078" s="33" t="e">
        <f>#REF!-D1078</f>
        <v>#REF!</v>
      </c>
      <c r="AH1078" s="9"/>
      <c r="AI1078" s="9"/>
      <c r="AJ1078" s="9"/>
      <c r="AK1078" s="9"/>
    </row>
    <row r="1079" spans="1:37" s="12" customFormat="1" ht="20.399999999999999" outlineLevel="1" x14ac:dyDescent="0.2">
      <c r="A1079" s="61" t="s">
        <v>3689</v>
      </c>
      <c r="B1079" s="36" t="s">
        <v>3679</v>
      </c>
      <c r="C1079" s="9" t="s">
        <v>47</v>
      </c>
      <c r="D1079" s="25">
        <f t="shared" si="263"/>
        <v>1</v>
      </c>
      <c r="E1079" s="54"/>
      <c r="F1079" s="9"/>
      <c r="G1079" s="9">
        <v>0</v>
      </c>
      <c r="H1079" s="9">
        <v>1</v>
      </c>
      <c r="I1079" s="9">
        <v>0</v>
      </c>
      <c r="J1079" s="9">
        <v>0</v>
      </c>
      <c r="K1079" s="9">
        <v>0</v>
      </c>
      <c r="L1079" s="9">
        <v>0</v>
      </c>
      <c r="M1079" s="9">
        <v>0</v>
      </c>
      <c r="N1079" s="9">
        <v>0</v>
      </c>
      <c r="O1079" s="9">
        <v>0</v>
      </c>
      <c r="P1079" s="9">
        <v>0</v>
      </c>
      <c r="Q1079" s="9">
        <v>0</v>
      </c>
      <c r="R1079" s="9">
        <v>0</v>
      </c>
      <c r="S1079" s="9">
        <v>0</v>
      </c>
      <c r="T1079" s="9">
        <v>0</v>
      </c>
      <c r="U1079" s="9">
        <v>0</v>
      </c>
      <c r="V1079" s="9">
        <v>0</v>
      </c>
      <c r="W1079" s="9">
        <v>0</v>
      </c>
      <c r="X1079" s="9">
        <v>0</v>
      </c>
      <c r="Y1079" s="9">
        <v>0</v>
      </c>
      <c r="Z1079" s="9">
        <v>0</v>
      </c>
      <c r="AA1079" s="9">
        <v>0</v>
      </c>
      <c r="AB1079" s="9">
        <v>0</v>
      </c>
      <c r="AC1079" s="9">
        <v>0</v>
      </c>
      <c r="AD1079" s="53" t="e">
        <f>#REF!*D1079</f>
        <v>#REF!</v>
      </c>
      <c r="AE1079" s="53" t="e">
        <f>AD1079-#REF!</f>
        <v>#REF!</v>
      </c>
      <c r="AF1079" s="9"/>
      <c r="AG1079" s="33" t="e">
        <f>#REF!-D1079</f>
        <v>#REF!</v>
      </c>
      <c r="AH1079" s="9"/>
      <c r="AI1079" s="9"/>
      <c r="AJ1079" s="9"/>
      <c r="AK1079" s="9"/>
    </row>
    <row r="1080" spans="1:37" s="12" customFormat="1" ht="20.399999999999999" outlineLevel="1" x14ac:dyDescent="0.2">
      <c r="A1080" s="61" t="s">
        <v>3690</v>
      </c>
      <c r="B1080" s="36" t="s">
        <v>3680</v>
      </c>
      <c r="C1080" s="9" t="s">
        <v>47</v>
      </c>
      <c r="D1080" s="25">
        <f t="shared" si="263"/>
        <v>1</v>
      </c>
      <c r="E1080" s="54"/>
      <c r="F1080" s="9"/>
      <c r="G1080" s="9">
        <v>0</v>
      </c>
      <c r="H1080" s="9">
        <v>1</v>
      </c>
      <c r="I1080" s="9">
        <v>0</v>
      </c>
      <c r="J1080" s="9">
        <v>0</v>
      </c>
      <c r="K1080" s="9">
        <v>0</v>
      </c>
      <c r="L1080" s="9">
        <v>0</v>
      </c>
      <c r="M1080" s="9">
        <v>0</v>
      </c>
      <c r="N1080" s="9">
        <v>0</v>
      </c>
      <c r="O1080" s="9">
        <v>0</v>
      </c>
      <c r="P1080" s="9">
        <v>0</v>
      </c>
      <c r="Q1080" s="9">
        <v>0</v>
      </c>
      <c r="R1080" s="9">
        <v>0</v>
      </c>
      <c r="S1080" s="9">
        <v>0</v>
      </c>
      <c r="T1080" s="9">
        <v>0</v>
      </c>
      <c r="U1080" s="9">
        <v>0</v>
      </c>
      <c r="V1080" s="9">
        <v>0</v>
      </c>
      <c r="W1080" s="9">
        <v>0</v>
      </c>
      <c r="X1080" s="9">
        <v>0</v>
      </c>
      <c r="Y1080" s="9">
        <v>0</v>
      </c>
      <c r="Z1080" s="9">
        <v>0</v>
      </c>
      <c r="AA1080" s="9">
        <v>0</v>
      </c>
      <c r="AB1080" s="9">
        <v>0</v>
      </c>
      <c r="AC1080" s="9">
        <v>0</v>
      </c>
      <c r="AD1080" s="53" t="e">
        <f>#REF!*D1080</f>
        <v>#REF!</v>
      </c>
      <c r="AE1080" s="53" t="e">
        <f>AD1080-#REF!</f>
        <v>#REF!</v>
      </c>
      <c r="AF1080" s="9"/>
      <c r="AG1080" s="33" t="e">
        <f>#REF!-D1080</f>
        <v>#REF!</v>
      </c>
      <c r="AH1080" s="9"/>
      <c r="AI1080" s="9"/>
      <c r="AJ1080" s="9"/>
      <c r="AK1080" s="9"/>
    </row>
    <row r="1081" spans="1:37" s="12" customFormat="1" ht="20.399999999999999" outlineLevel="1" x14ac:dyDescent="0.2">
      <c r="A1081" s="61" t="s">
        <v>3691</v>
      </c>
      <c r="B1081" s="36" t="s">
        <v>3681</v>
      </c>
      <c r="C1081" s="9" t="s">
        <v>47</v>
      </c>
      <c r="D1081" s="25">
        <f t="shared" si="263"/>
        <v>1</v>
      </c>
      <c r="E1081" s="54"/>
      <c r="F1081" s="9"/>
      <c r="G1081" s="9">
        <v>0</v>
      </c>
      <c r="H1081" s="9">
        <v>1</v>
      </c>
      <c r="I1081" s="9">
        <v>0</v>
      </c>
      <c r="J1081" s="9">
        <v>0</v>
      </c>
      <c r="K1081" s="9">
        <v>0</v>
      </c>
      <c r="L1081" s="9">
        <v>0</v>
      </c>
      <c r="M1081" s="9">
        <v>0</v>
      </c>
      <c r="N1081" s="9">
        <v>0</v>
      </c>
      <c r="O1081" s="9">
        <v>0</v>
      </c>
      <c r="P1081" s="9">
        <v>0</v>
      </c>
      <c r="Q1081" s="9">
        <v>0</v>
      </c>
      <c r="R1081" s="9">
        <v>0</v>
      </c>
      <c r="S1081" s="9">
        <v>0</v>
      </c>
      <c r="T1081" s="9">
        <v>0</v>
      </c>
      <c r="U1081" s="9">
        <v>0</v>
      </c>
      <c r="V1081" s="9">
        <v>0</v>
      </c>
      <c r="W1081" s="9">
        <v>0</v>
      </c>
      <c r="X1081" s="9">
        <v>0</v>
      </c>
      <c r="Y1081" s="9">
        <v>0</v>
      </c>
      <c r="Z1081" s="9">
        <v>0</v>
      </c>
      <c r="AA1081" s="9">
        <v>0</v>
      </c>
      <c r="AB1081" s="9">
        <v>0</v>
      </c>
      <c r="AC1081" s="9">
        <v>0</v>
      </c>
      <c r="AD1081" s="53" t="e">
        <f>#REF!*D1081</f>
        <v>#REF!</v>
      </c>
      <c r="AE1081" s="53" t="e">
        <f>AD1081-#REF!</f>
        <v>#REF!</v>
      </c>
      <c r="AF1081" s="9"/>
      <c r="AG1081" s="33" t="e">
        <f>#REF!-D1081</f>
        <v>#REF!</v>
      </c>
      <c r="AH1081" s="9"/>
      <c r="AI1081" s="9"/>
      <c r="AJ1081" s="9"/>
      <c r="AK1081" s="9"/>
    </row>
    <row r="1082" spans="1:37" s="12" customFormat="1" ht="30.6" outlineLevel="1" x14ac:dyDescent="0.2">
      <c r="A1082" s="61" t="s">
        <v>3692</v>
      </c>
      <c r="B1082" s="36" t="s">
        <v>3682</v>
      </c>
      <c r="C1082" s="9" t="s">
        <v>47</v>
      </c>
      <c r="D1082" s="25">
        <f t="shared" si="263"/>
        <v>1</v>
      </c>
      <c r="E1082" s="54"/>
      <c r="F1082" s="9"/>
      <c r="G1082" s="9">
        <v>0</v>
      </c>
      <c r="H1082" s="9">
        <v>1</v>
      </c>
      <c r="I1082" s="9">
        <v>0</v>
      </c>
      <c r="J1082" s="9">
        <v>0</v>
      </c>
      <c r="K1082" s="9">
        <v>0</v>
      </c>
      <c r="L1082" s="9">
        <v>0</v>
      </c>
      <c r="M1082" s="9">
        <v>0</v>
      </c>
      <c r="N1082" s="9">
        <v>0</v>
      </c>
      <c r="O1082" s="9">
        <v>0</v>
      </c>
      <c r="P1082" s="9">
        <v>0</v>
      </c>
      <c r="Q1082" s="9">
        <v>0</v>
      </c>
      <c r="R1082" s="9">
        <v>0</v>
      </c>
      <c r="S1082" s="9">
        <v>0</v>
      </c>
      <c r="T1082" s="9">
        <v>0</v>
      </c>
      <c r="U1082" s="9">
        <v>0</v>
      </c>
      <c r="V1082" s="9">
        <v>0</v>
      </c>
      <c r="W1082" s="9">
        <v>0</v>
      </c>
      <c r="X1082" s="9">
        <v>0</v>
      </c>
      <c r="Y1082" s="9">
        <v>0</v>
      </c>
      <c r="Z1082" s="9">
        <v>0</v>
      </c>
      <c r="AA1082" s="9">
        <v>0</v>
      </c>
      <c r="AB1082" s="9">
        <v>0</v>
      </c>
      <c r="AC1082" s="9">
        <v>0</v>
      </c>
      <c r="AD1082" s="53" t="e">
        <f>#REF!*D1082</f>
        <v>#REF!</v>
      </c>
      <c r="AE1082" s="53" t="e">
        <f>AD1082-#REF!</f>
        <v>#REF!</v>
      </c>
      <c r="AF1082" s="9"/>
      <c r="AG1082" s="33" t="e">
        <f>#REF!-D1082</f>
        <v>#REF!</v>
      </c>
      <c r="AH1082" s="9"/>
      <c r="AI1082" s="9"/>
      <c r="AJ1082" s="9"/>
      <c r="AK1082" s="9"/>
    </row>
    <row r="1083" spans="1:37" s="12" customFormat="1" ht="20.399999999999999" outlineLevel="1" x14ac:dyDescent="0.2">
      <c r="A1083" s="61" t="s">
        <v>3693</v>
      </c>
      <c r="B1083" s="36" t="s">
        <v>3683</v>
      </c>
      <c r="C1083" s="9" t="s">
        <v>47</v>
      </c>
      <c r="D1083" s="25">
        <f t="shared" si="263"/>
        <v>1</v>
      </c>
      <c r="E1083" s="54"/>
      <c r="F1083" s="9"/>
      <c r="G1083" s="9">
        <v>0</v>
      </c>
      <c r="H1083" s="9">
        <v>1</v>
      </c>
      <c r="I1083" s="9">
        <v>0</v>
      </c>
      <c r="J1083" s="9">
        <v>0</v>
      </c>
      <c r="K1083" s="9">
        <v>0</v>
      </c>
      <c r="L1083" s="9">
        <v>0</v>
      </c>
      <c r="M1083" s="9">
        <v>0</v>
      </c>
      <c r="N1083" s="9">
        <v>0</v>
      </c>
      <c r="O1083" s="9">
        <v>0</v>
      </c>
      <c r="P1083" s="9">
        <v>0</v>
      </c>
      <c r="Q1083" s="9">
        <v>0</v>
      </c>
      <c r="R1083" s="9">
        <v>0</v>
      </c>
      <c r="S1083" s="9">
        <v>0</v>
      </c>
      <c r="T1083" s="9">
        <v>0</v>
      </c>
      <c r="U1083" s="9">
        <v>0</v>
      </c>
      <c r="V1083" s="9">
        <v>0</v>
      </c>
      <c r="W1083" s="9">
        <v>0</v>
      </c>
      <c r="X1083" s="9">
        <v>0</v>
      </c>
      <c r="Y1083" s="9">
        <v>0</v>
      </c>
      <c r="Z1083" s="9">
        <v>0</v>
      </c>
      <c r="AA1083" s="9">
        <v>0</v>
      </c>
      <c r="AB1083" s="9">
        <v>0</v>
      </c>
      <c r="AC1083" s="9">
        <v>0</v>
      </c>
      <c r="AD1083" s="53" t="e">
        <f>#REF!*D1083</f>
        <v>#REF!</v>
      </c>
      <c r="AE1083" s="53" t="e">
        <f>AD1083-#REF!</f>
        <v>#REF!</v>
      </c>
      <c r="AF1083" s="9"/>
      <c r="AG1083" s="33" t="e">
        <f>#REF!-D1083</f>
        <v>#REF!</v>
      </c>
      <c r="AH1083" s="9"/>
      <c r="AI1083" s="9"/>
      <c r="AJ1083" s="9"/>
      <c r="AK1083" s="9"/>
    </row>
    <row r="1084" spans="1:37" s="12" customFormat="1" ht="30.6" outlineLevel="1" x14ac:dyDescent="0.2">
      <c r="A1084" s="61" t="s">
        <v>3694</v>
      </c>
      <c r="B1084" s="36" t="s">
        <v>3684</v>
      </c>
      <c r="C1084" s="9" t="s">
        <v>47</v>
      </c>
      <c r="D1084" s="25">
        <f t="shared" si="263"/>
        <v>1</v>
      </c>
      <c r="E1084" s="54"/>
      <c r="F1084" s="9"/>
      <c r="G1084" s="9">
        <v>0</v>
      </c>
      <c r="H1084" s="9">
        <v>1</v>
      </c>
      <c r="I1084" s="9">
        <v>0</v>
      </c>
      <c r="J1084" s="9">
        <v>0</v>
      </c>
      <c r="K1084" s="9">
        <v>0</v>
      </c>
      <c r="L1084" s="9">
        <v>0</v>
      </c>
      <c r="M1084" s="9">
        <v>0</v>
      </c>
      <c r="N1084" s="9">
        <v>0</v>
      </c>
      <c r="O1084" s="9">
        <v>0</v>
      </c>
      <c r="P1084" s="9">
        <v>0</v>
      </c>
      <c r="Q1084" s="9">
        <v>0</v>
      </c>
      <c r="R1084" s="9">
        <v>0</v>
      </c>
      <c r="S1084" s="9">
        <v>0</v>
      </c>
      <c r="T1084" s="9">
        <v>0</v>
      </c>
      <c r="U1084" s="9">
        <v>0</v>
      </c>
      <c r="V1084" s="9">
        <v>0</v>
      </c>
      <c r="W1084" s="9">
        <v>0</v>
      </c>
      <c r="X1084" s="9">
        <v>0</v>
      </c>
      <c r="Y1084" s="9">
        <v>0</v>
      </c>
      <c r="Z1084" s="9">
        <v>0</v>
      </c>
      <c r="AA1084" s="9">
        <v>0</v>
      </c>
      <c r="AB1084" s="9">
        <v>0</v>
      </c>
      <c r="AC1084" s="9">
        <v>0</v>
      </c>
      <c r="AD1084" s="53" t="e">
        <f>#REF!*D1084</f>
        <v>#REF!</v>
      </c>
      <c r="AE1084" s="53" t="e">
        <f>AD1084-#REF!</f>
        <v>#REF!</v>
      </c>
      <c r="AF1084" s="9"/>
      <c r="AG1084" s="33" t="e">
        <f>#REF!-D1084</f>
        <v>#REF!</v>
      </c>
      <c r="AH1084" s="9"/>
      <c r="AI1084" s="9"/>
      <c r="AJ1084" s="9"/>
      <c r="AK1084" s="9"/>
    </row>
    <row r="1085" spans="1:37" s="12" customFormat="1" ht="20.399999999999999" outlineLevel="1" x14ac:dyDescent="0.2">
      <c r="A1085" s="61" t="s">
        <v>3695</v>
      </c>
      <c r="B1085" s="36" t="s">
        <v>3685</v>
      </c>
      <c r="C1085" s="9" t="s">
        <v>47</v>
      </c>
      <c r="D1085" s="25">
        <f t="shared" si="263"/>
        <v>1</v>
      </c>
      <c r="E1085" s="54"/>
      <c r="F1085" s="9"/>
      <c r="G1085" s="9">
        <v>0</v>
      </c>
      <c r="H1085" s="9">
        <v>1</v>
      </c>
      <c r="I1085" s="9">
        <v>0</v>
      </c>
      <c r="J1085" s="9">
        <v>0</v>
      </c>
      <c r="K1085" s="9">
        <v>0</v>
      </c>
      <c r="L1085" s="9">
        <v>0</v>
      </c>
      <c r="M1085" s="9">
        <v>0</v>
      </c>
      <c r="N1085" s="9">
        <v>0</v>
      </c>
      <c r="O1085" s="9">
        <v>0</v>
      </c>
      <c r="P1085" s="9">
        <v>0</v>
      </c>
      <c r="Q1085" s="9">
        <v>0</v>
      </c>
      <c r="R1085" s="9">
        <v>0</v>
      </c>
      <c r="S1085" s="9">
        <v>0</v>
      </c>
      <c r="T1085" s="9">
        <v>0</v>
      </c>
      <c r="U1085" s="9">
        <v>0</v>
      </c>
      <c r="V1085" s="9">
        <v>0</v>
      </c>
      <c r="W1085" s="9">
        <v>0</v>
      </c>
      <c r="X1085" s="9">
        <v>0</v>
      </c>
      <c r="Y1085" s="9">
        <v>0</v>
      </c>
      <c r="Z1085" s="9">
        <v>0</v>
      </c>
      <c r="AA1085" s="9">
        <v>0</v>
      </c>
      <c r="AB1085" s="9">
        <v>0</v>
      </c>
      <c r="AC1085" s="9">
        <v>0</v>
      </c>
      <c r="AD1085" s="53" t="e">
        <f>#REF!*D1085</f>
        <v>#REF!</v>
      </c>
      <c r="AE1085" s="53" t="e">
        <f>AD1085-#REF!</f>
        <v>#REF!</v>
      </c>
      <c r="AF1085" s="9"/>
      <c r="AG1085" s="33" t="e">
        <f>#REF!-D1085</f>
        <v>#REF!</v>
      </c>
      <c r="AH1085" s="9"/>
      <c r="AI1085" s="9"/>
      <c r="AJ1085" s="9"/>
      <c r="AK1085" s="9"/>
    </row>
    <row r="1086" spans="1:37" s="12" customFormat="1" ht="10.199999999999999" outlineLevel="1" x14ac:dyDescent="0.2">
      <c r="A1086" s="61"/>
      <c r="B1086" s="36"/>
      <c r="C1086" s="9"/>
      <c r="D1086" s="25"/>
      <c r="E1086" s="54"/>
      <c r="F1086" s="9"/>
      <c r="G1086" s="9"/>
      <c r="H1086" s="9"/>
      <c r="I1086" s="9"/>
      <c r="J1086" s="9"/>
      <c r="K1086" s="9"/>
      <c r="L1086" s="9"/>
      <c r="M1086" s="9"/>
      <c r="N1086" s="9"/>
      <c r="O1086" s="9"/>
      <c r="P1086" s="9"/>
      <c r="Q1086" s="9"/>
      <c r="R1086" s="9"/>
      <c r="S1086" s="9"/>
      <c r="T1086" s="9"/>
      <c r="U1086" s="9"/>
      <c r="V1086" s="9"/>
      <c r="W1086" s="9"/>
      <c r="X1086" s="9"/>
      <c r="Y1086" s="9"/>
      <c r="Z1086" s="9"/>
      <c r="AA1086" s="9"/>
      <c r="AB1086" s="9"/>
      <c r="AC1086" s="9"/>
      <c r="AD1086" s="53"/>
      <c r="AE1086" s="53"/>
      <c r="AF1086" s="9"/>
      <c r="AG1086" s="33"/>
      <c r="AH1086" s="9"/>
      <c r="AI1086" s="9"/>
      <c r="AJ1086" s="9"/>
      <c r="AK1086" s="9"/>
    </row>
    <row r="1087" spans="1:37" x14ac:dyDescent="0.25">
      <c r="A1087" s="18" t="s">
        <v>3696</v>
      </c>
      <c r="B1087" s="35" t="s">
        <v>3718</v>
      </c>
      <c r="C1087" s="18" t="s">
        <v>41</v>
      </c>
      <c r="D1087" s="52" t="e">
        <f>#REF!/#REF!*100</f>
        <v>#REF!</v>
      </c>
      <c r="G1087" s="9"/>
      <c r="AD1087" s="53" t="e">
        <f>#REF!*D1087</f>
        <v>#REF!</v>
      </c>
      <c r="AE1087" s="53" t="e">
        <f>AD1087-#REF!</f>
        <v>#REF!</v>
      </c>
      <c r="AG1087" s="33" t="e">
        <f>#REF!-D1087</f>
        <v>#REF!</v>
      </c>
    </row>
    <row r="1088" spans="1:37" s="12" customFormat="1" ht="71.400000000000006" outlineLevel="1" x14ac:dyDescent="0.2">
      <c r="A1088" s="61" t="s">
        <v>3705</v>
      </c>
      <c r="B1088" s="36" t="s">
        <v>3697</v>
      </c>
      <c r="C1088" s="9" t="s">
        <v>47</v>
      </c>
      <c r="D1088" s="25">
        <v>21</v>
      </c>
      <c r="E1088" s="54"/>
      <c r="F1088" s="9"/>
      <c r="G1088" s="9">
        <v>0</v>
      </c>
      <c r="H1088" s="9">
        <v>1</v>
      </c>
      <c r="I1088" s="9">
        <v>0</v>
      </c>
      <c r="J1088" s="9">
        <v>0</v>
      </c>
      <c r="K1088" s="9">
        <v>0</v>
      </c>
      <c r="L1088" s="9">
        <v>0</v>
      </c>
      <c r="M1088" s="9">
        <v>0</v>
      </c>
      <c r="N1088" s="9">
        <v>0</v>
      </c>
      <c r="O1088" s="9">
        <v>0</v>
      </c>
      <c r="P1088" s="9">
        <v>0</v>
      </c>
      <c r="Q1088" s="9">
        <v>0</v>
      </c>
      <c r="R1088" s="9">
        <v>0</v>
      </c>
      <c r="S1088" s="9">
        <v>0</v>
      </c>
      <c r="T1088" s="9">
        <v>0</v>
      </c>
      <c r="U1088" s="9">
        <v>0</v>
      </c>
      <c r="V1088" s="9">
        <v>0</v>
      </c>
      <c r="W1088" s="9">
        <v>0</v>
      </c>
      <c r="X1088" s="9">
        <v>0</v>
      </c>
      <c r="Y1088" s="9">
        <v>0</v>
      </c>
      <c r="Z1088" s="9">
        <v>0</v>
      </c>
      <c r="AA1088" s="9">
        <v>0</v>
      </c>
      <c r="AB1088" s="9">
        <v>0</v>
      </c>
      <c r="AC1088" s="9">
        <v>0</v>
      </c>
      <c r="AD1088" s="53" t="e">
        <f>#REF!*D1088</f>
        <v>#REF!</v>
      </c>
      <c r="AE1088" s="53" t="e">
        <f>AD1088-#REF!</f>
        <v>#REF!</v>
      </c>
      <c r="AF1088" s="9"/>
      <c r="AG1088" s="33" t="e">
        <f>#REF!-D1088</f>
        <v>#REF!</v>
      </c>
      <c r="AH1088" s="9"/>
      <c r="AI1088" s="9"/>
      <c r="AJ1088" s="9"/>
      <c r="AK1088" s="9"/>
    </row>
    <row r="1089" spans="1:37" s="12" customFormat="1" ht="81.599999999999994" outlineLevel="1" x14ac:dyDescent="0.2">
      <c r="A1089" s="61" t="s">
        <v>3706</v>
      </c>
      <c r="B1089" s="36" t="s">
        <v>3698</v>
      </c>
      <c r="C1089" s="9" t="s">
        <v>47</v>
      </c>
      <c r="D1089" s="25">
        <v>24</v>
      </c>
      <c r="E1089" s="54"/>
      <c r="F1089" s="9"/>
      <c r="G1089" s="9">
        <v>0</v>
      </c>
      <c r="H1089" s="9">
        <v>1</v>
      </c>
      <c r="I1089" s="9">
        <v>0</v>
      </c>
      <c r="J1089" s="9">
        <v>0</v>
      </c>
      <c r="K1089" s="9">
        <v>0</v>
      </c>
      <c r="L1089" s="9">
        <v>0</v>
      </c>
      <c r="M1089" s="9">
        <v>0</v>
      </c>
      <c r="N1089" s="9">
        <v>0</v>
      </c>
      <c r="O1089" s="9">
        <v>0</v>
      </c>
      <c r="P1089" s="9">
        <v>0</v>
      </c>
      <c r="Q1089" s="9">
        <v>0</v>
      </c>
      <c r="R1089" s="9">
        <v>0</v>
      </c>
      <c r="S1089" s="9">
        <v>0</v>
      </c>
      <c r="T1089" s="9">
        <v>0</v>
      </c>
      <c r="U1089" s="9">
        <v>0</v>
      </c>
      <c r="V1089" s="9">
        <v>0</v>
      </c>
      <c r="W1089" s="9">
        <v>0</v>
      </c>
      <c r="X1089" s="9">
        <v>0</v>
      </c>
      <c r="Y1089" s="9">
        <v>0</v>
      </c>
      <c r="Z1089" s="9">
        <v>0</v>
      </c>
      <c r="AA1089" s="9">
        <v>0</v>
      </c>
      <c r="AB1089" s="9">
        <v>0</v>
      </c>
      <c r="AC1089" s="9">
        <v>0</v>
      </c>
      <c r="AD1089" s="53" t="e">
        <f>#REF!*D1089</f>
        <v>#REF!</v>
      </c>
      <c r="AE1089" s="53" t="e">
        <f>AD1089-#REF!</f>
        <v>#REF!</v>
      </c>
      <c r="AF1089" s="9"/>
      <c r="AG1089" s="33" t="e">
        <f>#REF!-D1089</f>
        <v>#REF!</v>
      </c>
      <c r="AH1089" s="9"/>
      <c r="AI1089" s="9"/>
      <c r="AJ1089" s="9"/>
      <c r="AK1089" s="9"/>
    </row>
    <row r="1090" spans="1:37" s="12" customFormat="1" ht="71.400000000000006" outlineLevel="1" x14ac:dyDescent="0.2">
      <c r="A1090" s="61" t="s">
        <v>3707</v>
      </c>
      <c r="B1090" s="36" t="s">
        <v>3699</v>
      </c>
      <c r="C1090" s="9" t="s">
        <v>47</v>
      </c>
      <c r="D1090" s="25">
        <v>9</v>
      </c>
      <c r="E1090" s="54"/>
      <c r="F1090" s="9"/>
      <c r="G1090" s="9">
        <v>0</v>
      </c>
      <c r="H1090" s="9">
        <v>1</v>
      </c>
      <c r="I1090" s="9">
        <v>0</v>
      </c>
      <c r="J1090" s="9">
        <v>0</v>
      </c>
      <c r="K1090" s="9">
        <v>0</v>
      </c>
      <c r="L1090" s="9">
        <v>0</v>
      </c>
      <c r="M1090" s="9">
        <v>0</v>
      </c>
      <c r="N1090" s="9">
        <v>0</v>
      </c>
      <c r="O1090" s="9">
        <v>0</v>
      </c>
      <c r="P1090" s="9">
        <v>0</v>
      </c>
      <c r="Q1090" s="9">
        <v>0</v>
      </c>
      <c r="R1090" s="9">
        <v>0</v>
      </c>
      <c r="S1090" s="9">
        <v>0</v>
      </c>
      <c r="T1090" s="9">
        <v>0</v>
      </c>
      <c r="U1090" s="9">
        <v>0</v>
      </c>
      <c r="V1090" s="9">
        <v>0</v>
      </c>
      <c r="W1090" s="9">
        <v>0</v>
      </c>
      <c r="X1090" s="9">
        <v>0</v>
      </c>
      <c r="Y1090" s="9">
        <v>0</v>
      </c>
      <c r="Z1090" s="9">
        <v>0</v>
      </c>
      <c r="AA1090" s="9">
        <v>0</v>
      </c>
      <c r="AB1090" s="9">
        <v>0</v>
      </c>
      <c r="AC1090" s="9">
        <v>0</v>
      </c>
      <c r="AD1090" s="53" t="e">
        <f>#REF!*D1090</f>
        <v>#REF!</v>
      </c>
      <c r="AE1090" s="53" t="e">
        <f>AD1090-#REF!</f>
        <v>#REF!</v>
      </c>
      <c r="AF1090" s="9"/>
      <c r="AG1090" s="33" t="e">
        <f>#REF!-D1090</f>
        <v>#REF!</v>
      </c>
      <c r="AH1090" s="9"/>
      <c r="AI1090" s="9"/>
      <c r="AJ1090" s="9"/>
      <c r="AK1090" s="9"/>
    </row>
    <row r="1091" spans="1:37" s="12" customFormat="1" ht="71.400000000000006" outlineLevel="1" x14ac:dyDescent="0.2">
      <c r="A1091" s="61" t="s">
        <v>3708</v>
      </c>
      <c r="B1091" s="36" t="s">
        <v>3700</v>
      </c>
      <c r="C1091" s="9" t="s">
        <v>47</v>
      </c>
      <c r="D1091" s="25">
        <v>1</v>
      </c>
      <c r="E1091" s="54"/>
      <c r="F1091" s="9"/>
      <c r="G1091" s="9">
        <v>0</v>
      </c>
      <c r="H1091" s="9">
        <v>1</v>
      </c>
      <c r="I1091" s="9">
        <v>0</v>
      </c>
      <c r="J1091" s="9">
        <v>0</v>
      </c>
      <c r="K1091" s="9">
        <v>0</v>
      </c>
      <c r="L1091" s="9">
        <v>0</v>
      </c>
      <c r="M1091" s="9">
        <v>0</v>
      </c>
      <c r="N1091" s="9">
        <v>0</v>
      </c>
      <c r="O1091" s="9">
        <v>0</v>
      </c>
      <c r="P1091" s="9">
        <v>0</v>
      </c>
      <c r="Q1091" s="9">
        <v>0</v>
      </c>
      <c r="R1091" s="9">
        <v>0</v>
      </c>
      <c r="S1091" s="9">
        <v>0</v>
      </c>
      <c r="T1091" s="9">
        <v>0</v>
      </c>
      <c r="U1091" s="9">
        <v>0</v>
      </c>
      <c r="V1091" s="9">
        <v>0</v>
      </c>
      <c r="W1091" s="9">
        <v>0</v>
      </c>
      <c r="X1091" s="9">
        <v>0</v>
      </c>
      <c r="Y1091" s="9">
        <v>0</v>
      </c>
      <c r="Z1091" s="9">
        <v>0</v>
      </c>
      <c r="AA1091" s="9">
        <v>0</v>
      </c>
      <c r="AB1091" s="9">
        <v>0</v>
      </c>
      <c r="AC1091" s="9">
        <v>0</v>
      </c>
      <c r="AD1091" s="53" t="e">
        <f>#REF!*D1091</f>
        <v>#REF!</v>
      </c>
      <c r="AE1091" s="53" t="e">
        <f>AD1091-#REF!</f>
        <v>#REF!</v>
      </c>
      <c r="AF1091" s="9"/>
      <c r="AG1091" s="33" t="e">
        <f>#REF!-D1091</f>
        <v>#REF!</v>
      </c>
      <c r="AH1091" s="9"/>
      <c r="AI1091" s="9"/>
      <c r="AJ1091" s="9"/>
      <c r="AK1091" s="9"/>
    </row>
    <row r="1092" spans="1:37" s="12" customFormat="1" ht="81.599999999999994" outlineLevel="1" x14ac:dyDescent="0.2">
      <c r="A1092" s="61" t="s">
        <v>3709</v>
      </c>
      <c r="B1092" s="36" t="s">
        <v>3701</v>
      </c>
      <c r="C1092" s="9" t="s">
        <v>47</v>
      </c>
      <c r="D1092" s="25">
        <v>34</v>
      </c>
      <c r="E1092" s="54"/>
      <c r="F1092" s="9"/>
      <c r="G1092" s="9">
        <v>0</v>
      </c>
      <c r="H1092" s="9">
        <v>1</v>
      </c>
      <c r="I1092" s="9">
        <v>0</v>
      </c>
      <c r="J1092" s="9">
        <v>0</v>
      </c>
      <c r="K1092" s="9">
        <v>0</v>
      </c>
      <c r="L1092" s="9">
        <v>0</v>
      </c>
      <c r="M1092" s="9">
        <v>0</v>
      </c>
      <c r="N1092" s="9">
        <v>0</v>
      </c>
      <c r="O1092" s="9">
        <v>0</v>
      </c>
      <c r="P1092" s="9">
        <v>0</v>
      </c>
      <c r="Q1092" s="9">
        <v>0</v>
      </c>
      <c r="R1092" s="9">
        <v>0</v>
      </c>
      <c r="S1092" s="9">
        <v>0</v>
      </c>
      <c r="T1092" s="9">
        <v>0</v>
      </c>
      <c r="U1092" s="9">
        <v>0</v>
      </c>
      <c r="V1092" s="9">
        <v>0</v>
      </c>
      <c r="W1092" s="9">
        <v>0</v>
      </c>
      <c r="X1092" s="9">
        <v>0</v>
      </c>
      <c r="Y1092" s="9">
        <v>0</v>
      </c>
      <c r="Z1092" s="9">
        <v>0</v>
      </c>
      <c r="AA1092" s="9">
        <v>0</v>
      </c>
      <c r="AB1092" s="9">
        <v>0</v>
      </c>
      <c r="AC1092" s="9">
        <v>0</v>
      </c>
      <c r="AD1092" s="53" t="e">
        <f>#REF!*D1092</f>
        <v>#REF!</v>
      </c>
      <c r="AE1092" s="53" t="e">
        <f>AD1092-#REF!</f>
        <v>#REF!</v>
      </c>
      <c r="AF1092" s="9"/>
      <c r="AG1092" s="33" t="e">
        <f>#REF!-D1092</f>
        <v>#REF!</v>
      </c>
      <c r="AH1092" s="9"/>
      <c r="AI1092" s="9"/>
      <c r="AJ1092" s="9"/>
      <c r="AK1092" s="9"/>
    </row>
    <row r="1093" spans="1:37" s="12" customFormat="1" ht="71.400000000000006" outlineLevel="1" x14ac:dyDescent="0.2">
      <c r="A1093" s="61" t="s">
        <v>3710</v>
      </c>
      <c r="B1093" s="36" t="s">
        <v>3702</v>
      </c>
      <c r="C1093" s="9" t="s">
        <v>47</v>
      </c>
      <c r="D1093" s="25">
        <v>4</v>
      </c>
      <c r="E1093" s="54"/>
      <c r="F1093" s="9"/>
      <c r="G1093" s="9">
        <v>0</v>
      </c>
      <c r="H1093" s="9">
        <v>1</v>
      </c>
      <c r="I1093" s="9">
        <v>0</v>
      </c>
      <c r="J1093" s="9">
        <v>0</v>
      </c>
      <c r="K1093" s="9">
        <v>0</v>
      </c>
      <c r="L1093" s="9">
        <v>0</v>
      </c>
      <c r="M1093" s="9">
        <v>0</v>
      </c>
      <c r="N1093" s="9">
        <v>0</v>
      </c>
      <c r="O1093" s="9">
        <v>0</v>
      </c>
      <c r="P1093" s="9">
        <v>0</v>
      </c>
      <c r="Q1093" s="9">
        <v>0</v>
      </c>
      <c r="R1093" s="9">
        <v>0</v>
      </c>
      <c r="S1093" s="9">
        <v>0</v>
      </c>
      <c r="T1093" s="9">
        <v>0</v>
      </c>
      <c r="U1093" s="9">
        <v>0</v>
      </c>
      <c r="V1093" s="9">
        <v>0</v>
      </c>
      <c r="W1093" s="9">
        <v>0</v>
      </c>
      <c r="X1093" s="9">
        <v>0</v>
      </c>
      <c r="Y1093" s="9">
        <v>0</v>
      </c>
      <c r="Z1093" s="9">
        <v>0</v>
      </c>
      <c r="AA1093" s="9">
        <v>0</v>
      </c>
      <c r="AB1093" s="9">
        <v>0</v>
      </c>
      <c r="AC1093" s="9">
        <v>0</v>
      </c>
      <c r="AD1093" s="53" t="e">
        <f>#REF!*D1093</f>
        <v>#REF!</v>
      </c>
      <c r="AE1093" s="53" t="e">
        <f>AD1093-#REF!</f>
        <v>#REF!</v>
      </c>
      <c r="AF1093" s="9"/>
      <c r="AG1093" s="33" t="e">
        <f>#REF!-D1093</f>
        <v>#REF!</v>
      </c>
      <c r="AH1093" s="9"/>
      <c r="AI1093" s="9"/>
      <c r="AJ1093" s="9"/>
      <c r="AK1093" s="9"/>
    </row>
    <row r="1094" spans="1:37" s="12" customFormat="1" ht="40.799999999999997" outlineLevel="1" x14ac:dyDescent="0.2">
      <c r="A1094" s="61" t="s">
        <v>3711</v>
      </c>
      <c r="B1094" s="80" t="s">
        <v>3703</v>
      </c>
      <c r="C1094" s="9" t="s">
        <v>47</v>
      </c>
      <c r="D1094" s="25">
        <v>4</v>
      </c>
      <c r="E1094" s="54"/>
      <c r="F1094" s="9"/>
      <c r="G1094" s="9">
        <v>0</v>
      </c>
      <c r="H1094" s="9">
        <v>1</v>
      </c>
      <c r="I1094" s="9">
        <v>0</v>
      </c>
      <c r="J1094" s="9">
        <v>0</v>
      </c>
      <c r="K1094" s="9">
        <v>0</v>
      </c>
      <c r="L1094" s="9">
        <v>0</v>
      </c>
      <c r="M1094" s="9">
        <v>0</v>
      </c>
      <c r="N1094" s="9">
        <v>0</v>
      </c>
      <c r="O1094" s="9">
        <v>0</v>
      </c>
      <c r="P1094" s="9">
        <v>0</v>
      </c>
      <c r="Q1094" s="9">
        <v>0</v>
      </c>
      <c r="R1094" s="9">
        <v>0</v>
      </c>
      <c r="S1094" s="9">
        <v>0</v>
      </c>
      <c r="T1094" s="9">
        <v>0</v>
      </c>
      <c r="U1094" s="9">
        <v>0</v>
      </c>
      <c r="V1094" s="9">
        <v>0</v>
      </c>
      <c r="W1094" s="9">
        <v>0</v>
      </c>
      <c r="X1094" s="9">
        <v>0</v>
      </c>
      <c r="Y1094" s="9">
        <v>0</v>
      </c>
      <c r="Z1094" s="9">
        <v>0</v>
      </c>
      <c r="AA1094" s="9">
        <v>0</v>
      </c>
      <c r="AB1094" s="9">
        <v>0</v>
      </c>
      <c r="AC1094" s="9">
        <v>0</v>
      </c>
      <c r="AD1094" s="53" t="e">
        <f>#REF!*D1094</f>
        <v>#REF!</v>
      </c>
      <c r="AE1094" s="53" t="e">
        <f>AD1094-#REF!</f>
        <v>#REF!</v>
      </c>
      <c r="AF1094" s="9"/>
      <c r="AG1094" s="33" t="e">
        <f>#REF!-D1094</f>
        <v>#REF!</v>
      </c>
      <c r="AH1094" s="9"/>
      <c r="AI1094" s="9"/>
      <c r="AJ1094" s="9"/>
      <c r="AK1094" s="9"/>
    </row>
    <row r="1095" spans="1:37" s="12" customFormat="1" ht="40.799999999999997" outlineLevel="1" x14ac:dyDescent="0.2">
      <c r="A1095" s="61" t="s">
        <v>3712</v>
      </c>
      <c r="B1095" s="36" t="s">
        <v>3704</v>
      </c>
      <c r="C1095" s="9" t="s">
        <v>47</v>
      </c>
      <c r="D1095" s="25">
        <v>6</v>
      </c>
      <c r="E1095" s="54"/>
      <c r="F1095" s="9"/>
      <c r="G1095" s="9">
        <v>0</v>
      </c>
      <c r="H1095" s="9">
        <v>1</v>
      </c>
      <c r="I1095" s="9">
        <v>0</v>
      </c>
      <c r="J1095" s="9">
        <v>0</v>
      </c>
      <c r="K1095" s="9">
        <v>0</v>
      </c>
      <c r="L1095" s="9">
        <v>0</v>
      </c>
      <c r="M1095" s="9">
        <v>0</v>
      </c>
      <c r="N1095" s="9">
        <v>0</v>
      </c>
      <c r="O1095" s="9">
        <v>0</v>
      </c>
      <c r="P1095" s="9">
        <v>0</v>
      </c>
      <c r="Q1095" s="9">
        <v>0</v>
      </c>
      <c r="R1095" s="9">
        <v>0</v>
      </c>
      <c r="S1095" s="9">
        <v>0</v>
      </c>
      <c r="T1095" s="9">
        <v>0</v>
      </c>
      <c r="U1095" s="9">
        <v>0</v>
      </c>
      <c r="V1095" s="9">
        <v>0</v>
      </c>
      <c r="W1095" s="9">
        <v>0</v>
      </c>
      <c r="X1095" s="9">
        <v>0</v>
      </c>
      <c r="Y1095" s="9">
        <v>0</v>
      </c>
      <c r="Z1095" s="9">
        <v>0</v>
      </c>
      <c r="AA1095" s="9">
        <v>0</v>
      </c>
      <c r="AB1095" s="9">
        <v>0</v>
      </c>
      <c r="AC1095" s="9">
        <v>0</v>
      </c>
      <c r="AD1095" s="53" t="e">
        <f>#REF!*D1095</f>
        <v>#REF!</v>
      </c>
      <c r="AE1095" s="53" t="e">
        <f>AD1095-#REF!</f>
        <v>#REF!</v>
      </c>
      <c r="AF1095" s="9"/>
      <c r="AG1095" s="33" t="e">
        <f>#REF!-D1095</f>
        <v>#REF!</v>
      </c>
      <c r="AH1095" s="9"/>
      <c r="AI1095" s="9"/>
      <c r="AJ1095" s="9"/>
      <c r="AK1095" s="9"/>
    </row>
    <row r="1096" spans="1:37" s="12" customFormat="1" ht="10.199999999999999" outlineLevel="1" x14ac:dyDescent="0.2">
      <c r="A1096" s="61"/>
      <c r="B1096" s="36"/>
      <c r="C1096" s="9"/>
      <c r="D1096" s="25"/>
      <c r="E1096" s="54"/>
      <c r="F1096" s="9"/>
      <c r="G1096" s="9"/>
      <c r="H1096" s="9"/>
      <c r="I1096" s="9"/>
      <c r="J1096" s="9"/>
      <c r="K1096" s="9"/>
      <c r="L1096" s="9"/>
      <c r="M1096" s="9"/>
      <c r="N1096" s="9"/>
      <c r="O1096" s="9"/>
      <c r="P1096" s="9"/>
      <c r="Q1096" s="9"/>
      <c r="R1096" s="9"/>
      <c r="S1096" s="9"/>
      <c r="T1096" s="9"/>
      <c r="U1096" s="9"/>
      <c r="V1096" s="9"/>
      <c r="W1096" s="9"/>
      <c r="X1096" s="9"/>
      <c r="Y1096" s="9"/>
      <c r="Z1096" s="9"/>
      <c r="AA1096" s="9"/>
      <c r="AB1096" s="9"/>
      <c r="AC1096" s="9"/>
      <c r="AD1096" s="53"/>
      <c r="AE1096" s="53"/>
      <c r="AF1096" s="9"/>
      <c r="AG1096" s="33"/>
      <c r="AH1096" s="9"/>
      <c r="AI1096" s="9"/>
      <c r="AJ1096" s="9"/>
      <c r="AK1096" s="9"/>
    </row>
    <row r="1097" spans="1:37" x14ac:dyDescent="0.25">
      <c r="A1097" s="18" t="s">
        <v>3713</v>
      </c>
      <c r="B1097" s="35" t="s">
        <v>3719</v>
      </c>
      <c r="C1097" s="18" t="s">
        <v>41</v>
      </c>
      <c r="D1097" s="52" t="e">
        <f>#REF!/#REF!*100</f>
        <v>#REF!</v>
      </c>
      <c r="G1097" s="9"/>
      <c r="AD1097" s="53" t="e">
        <f>#REF!*D1097</f>
        <v>#REF!</v>
      </c>
      <c r="AE1097" s="53" t="e">
        <f>AD1097-#REF!</f>
        <v>#REF!</v>
      </c>
      <c r="AG1097" s="33" t="e">
        <f>#REF!-D1097</f>
        <v>#REF!</v>
      </c>
    </row>
    <row r="1098" spans="1:37" s="12" customFormat="1" ht="61.2" outlineLevel="1" x14ac:dyDescent="0.2">
      <c r="A1098" s="61" t="s">
        <v>3715</v>
      </c>
      <c r="B1098" s="36" t="s">
        <v>3714</v>
      </c>
      <c r="C1098" s="9" t="s">
        <v>47</v>
      </c>
      <c r="D1098" s="25">
        <f>SUM(G1098:AC1098)</f>
        <v>1</v>
      </c>
      <c r="E1098" s="54"/>
      <c r="F1098" s="9"/>
      <c r="G1098" s="9">
        <v>0</v>
      </c>
      <c r="H1098" s="9">
        <v>1</v>
      </c>
      <c r="I1098" s="9">
        <v>0</v>
      </c>
      <c r="J1098" s="9">
        <v>0</v>
      </c>
      <c r="K1098" s="9">
        <v>0</v>
      </c>
      <c r="L1098" s="9">
        <v>0</v>
      </c>
      <c r="M1098" s="9">
        <v>0</v>
      </c>
      <c r="N1098" s="9">
        <v>0</v>
      </c>
      <c r="O1098" s="9">
        <v>0</v>
      </c>
      <c r="P1098" s="9">
        <v>0</v>
      </c>
      <c r="Q1098" s="9">
        <v>0</v>
      </c>
      <c r="R1098" s="9">
        <v>0</v>
      </c>
      <c r="S1098" s="9">
        <v>0</v>
      </c>
      <c r="T1098" s="9">
        <v>0</v>
      </c>
      <c r="U1098" s="9">
        <v>0</v>
      </c>
      <c r="V1098" s="9">
        <v>0</v>
      </c>
      <c r="W1098" s="9">
        <v>0</v>
      </c>
      <c r="X1098" s="9">
        <v>0</v>
      </c>
      <c r="Y1098" s="9">
        <v>0</v>
      </c>
      <c r="Z1098" s="9">
        <v>0</v>
      </c>
      <c r="AA1098" s="9">
        <v>0</v>
      </c>
      <c r="AB1098" s="9">
        <v>0</v>
      </c>
      <c r="AC1098" s="9">
        <v>0</v>
      </c>
      <c r="AD1098" s="53" t="e">
        <f>#REF!*D1098</f>
        <v>#REF!</v>
      </c>
      <c r="AE1098" s="53" t="e">
        <f>AD1098-#REF!</f>
        <v>#REF!</v>
      </c>
      <c r="AF1098" s="9"/>
      <c r="AG1098" s="33" t="e">
        <f>#REF!-D1098</f>
        <v>#REF!</v>
      </c>
      <c r="AH1098" s="9"/>
      <c r="AI1098" s="9"/>
      <c r="AJ1098" s="9"/>
      <c r="AK1098" s="9"/>
    </row>
    <row r="1099" spans="1:37" s="12" customFormat="1" ht="20.399999999999999" outlineLevel="1" x14ac:dyDescent="0.2">
      <c r="A1099" s="102" t="s">
        <v>1103</v>
      </c>
      <c r="B1099" s="63" t="s">
        <v>1313</v>
      </c>
      <c r="C1099" s="9"/>
      <c r="D1099" s="25"/>
      <c r="E1099" s="54"/>
      <c r="F1099" s="9"/>
      <c r="G1099" s="9"/>
      <c r="H1099" s="9"/>
      <c r="I1099" s="9"/>
      <c r="J1099" s="9"/>
      <c r="K1099" s="9"/>
      <c r="L1099" s="9"/>
      <c r="M1099" s="9"/>
      <c r="N1099" s="9"/>
      <c r="O1099" s="9"/>
      <c r="P1099" s="9"/>
      <c r="Q1099" s="9"/>
      <c r="R1099" s="9"/>
      <c r="S1099" s="9"/>
      <c r="T1099" s="9"/>
      <c r="U1099" s="9"/>
      <c r="V1099" s="9"/>
      <c r="W1099" s="9"/>
      <c r="X1099" s="9"/>
      <c r="Y1099" s="9"/>
      <c r="Z1099" s="9"/>
      <c r="AA1099" s="9"/>
      <c r="AB1099" s="9"/>
      <c r="AC1099" s="9"/>
      <c r="AD1099" s="53" t="e">
        <f>#REF!*D1099</f>
        <v>#REF!</v>
      </c>
      <c r="AE1099" s="53" t="e">
        <f>AD1099-#REF!</f>
        <v>#REF!</v>
      </c>
      <c r="AF1099" s="9"/>
      <c r="AG1099" s="33" t="e">
        <f>#REF!-D1099</f>
        <v>#REF!</v>
      </c>
      <c r="AH1099" s="9"/>
      <c r="AI1099" s="9"/>
      <c r="AJ1099" s="9"/>
      <c r="AK1099" s="9"/>
    </row>
    <row r="1100" spans="1:37" s="12" customFormat="1" ht="20.399999999999999" outlineLevel="1" x14ac:dyDescent="0.2">
      <c r="A1100" s="102" t="s">
        <v>1103</v>
      </c>
      <c r="B1100" s="63" t="s">
        <v>1314</v>
      </c>
      <c r="C1100" s="9"/>
      <c r="D1100" s="25"/>
      <c r="E1100" s="54"/>
      <c r="F1100" s="9"/>
      <c r="G1100" s="9"/>
      <c r="H1100" s="9"/>
      <c r="I1100" s="9"/>
      <c r="J1100" s="9"/>
      <c r="K1100" s="9"/>
      <c r="L1100" s="9"/>
      <c r="M1100" s="9"/>
      <c r="N1100" s="9"/>
      <c r="O1100" s="9"/>
      <c r="P1100" s="9"/>
      <c r="Q1100" s="9"/>
      <c r="R1100" s="9"/>
      <c r="S1100" s="9"/>
      <c r="T1100" s="9"/>
      <c r="U1100" s="9"/>
      <c r="V1100" s="9"/>
      <c r="W1100" s="9"/>
      <c r="X1100" s="9"/>
      <c r="Y1100" s="9"/>
      <c r="Z1100" s="9"/>
      <c r="AA1100" s="9"/>
      <c r="AB1100" s="9"/>
      <c r="AC1100" s="9"/>
      <c r="AD1100" s="53" t="e">
        <f>#REF!*D1100</f>
        <v>#REF!</v>
      </c>
      <c r="AE1100" s="53" t="e">
        <f>AD1100-#REF!</f>
        <v>#REF!</v>
      </c>
      <c r="AF1100" s="9"/>
      <c r="AG1100" s="33" t="e">
        <f>#REF!-D1100</f>
        <v>#REF!</v>
      </c>
      <c r="AH1100" s="9"/>
      <c r="AI1100" s="9"/>
      <c r="AJ1100" s="9"/>
      <c r="AK1100" s="9"/>
    </row>
    <row r="1101" spans="1:37" x14ac:dyDescent="0.25">
      <c r="E1101" s="54"/>
      <c r="G1101" s="9"/>
      <c r="AD1101" s="53" t="e">
        <f>#REF!*D1101</f>
        <v>#REF!</v>
      </c>
      <c r="AE1101" s="53" t="e">
        <f>AD1101-#REF!</f>
        <v>#REF!</v>
      </c>
      <c r="AG1101" s="33" t="e">
        <f>#REF!-D1101</f>
        <v>#REF!</v>
      </c>
    </row>
    <row r="1102" spans="1:37" x14ac:dyDescent="0.25">
      <c r="A1102" s="58">
        <v>7</v>
      </c>
      <c r="B1102" s="59" t="s">
        <v>1328</v>
      </c>
      <c r="C1102" s="58" t="s">
        <v>41</v>
      </c>
      <c r="D1102" s="60" t="e">
        <f>#REF!/#REF!*100</f>
        <v>#REF!</v>
      </c>
      <c r="E1102" s="200" t="s">
        <v>2806</v>
      </c>
      <c r="G1102" s="9"/>
      <c r="AD1102" s="53" t="e">
        <f>#REF!*D1102</f>
        <v>#REF!</v>
      </c>
      <c r="AE1102" s="53" t="e">
        <f>AD1102-#REF!</f>
        <v>#REF!</v>
      </c>
      <c r="AG1102" s="33" t="e">
        <f>#REF!-D1102</f>
        <v>#REF!</v>
      </c>
    </row>
    <row r="1103" spans="1:37" x14ac:dyDescent="0.25">
      <c r="A1103" s="18" t="s">
        <v>507</v>
      </c>
      <c r="B1103" s="35" t="s">
        <v>2381</v>
      </c>
      <c r="C1103" s="18" t="s">
        <v>41</v>
      </c>
      <c r="D1103" s="52" t="e">
        <f>#REF!/#REF!*100</f>
        <v>#REF!</v>
      </c>
      <c r="G1103" s="9"/>
      <c r="H1103" s="74"/>
      <c r="I1103" s="74"/>
      <c r="N1103" s="74"/>
      <c r="U1103" s="74"/>
      <c r="V1103" s="74"/>
      <c r="W1103" s="74"/>
      <c r="X1103" s="74"/>
      <c r="Y1103" s="74"/>
      <c r="Z1103" s="74"/>
      <c r="AA1103" s="74"/>
      <c r="AD1103" s="53" t="e">
        <f>#REF!*D1103</f>
        <v>#REF!</v>
      </c>
      <c r="AE1103" s="53" t="e">
        <f>AD1103-#REF!</f>
        <v>#REF!</v>
      </c>
      <c r="AG1103" s="33" t="e">
        <f>#REF!-D1103</f>
        <v>#REF!</v>
      </c>
      <c r="AH1103" s="2"/>
      <c r="AI1103" s="2"/>
      <c r="AJ1103" s="2"/>
      <c r="AK1103" s="2"/>
    </row>
    <row r="1104" spans="1:37" s="16" customFormat="1" ht="20.399999999999999" outlineLevel="1" x14ac:dyDescent="0.2">
      <c r="A1104" s="62" t="s">
        <v>1300</v>
      </c>
      <c r="B1104" s="14" t="s">
        <v>72</v>
      </c>
      <c r="C1104" s="8" t="s">
        <v>48</v>
      </c>
      <c r="D1104" s="25">
        <f>SUM(G1104:AC1104)*6</f>
        <v>2790</v>
      </c>
      <c r="E1104" s="54"/>
      <c r="F1104" s="78"/>
      <c r="G1104" s="9">
        <v>0</v>
      </c>
      <c r="H1104" s="9">
        <f>60-18</f>
        <v>42</v>
      </c>
      <c r="I1104" s="9">
        <f>32-7</f>
        <v>25</v>
      </c>
      <c r="J1104" s="9">
        <f>48-13</f>
        <v>35</v>
      </c>
      <c r="K1104" s="9">
        <f>42-29</f>
        <v>13</v>
      </c>
      <c r="L1104" s="9">
        <f>55-19</f>
        <v>36</v>
      </c>
      <c r="M1104" s="9">
        <v>39</v>
      </c>
      <c r="N1104" s="9">
        <v>39</v>
      </c>
      <c r="O1104" s="9">
        <v>46</v>
      </c>
      <c r="P1104" s="9">
        <v>41</v>
      </c>
      <c r="Q1104" s="9">
        <v>19</v>
      </c>
      <c r="R1104" s="9">
        <v>0</v>
      </c>
      <c r="S1104" s="9">
        <v>0</v>
      </c>
      <c r="T1104" s="9">
        <v>0</v>
      </c>
      <c r="U1104" s="9">
        <v>20</v>
      </c>
      <c r="V1104" s="9">
        <v>15</v>
      </c>
      <c r="W1104" s="9">
        <v>11</v>
      </c>
      <c r="X1104" s="9">
        <v>21</v>
      </c>
      <c r="Y1104" s="9">
        <v>18</v>
      </c>
      <c r="Z1104" s="9">
        <v>22</v>
      </c>
      <c r="AA1104" s="9">
        <v>20</v>
      </c>
      <c r="AB1104" s="9">
        <v>3</v>
      </c>
      <c r="AC1104" s="9">
        <v>0</v>
      </c>
      <c r="AD1104" s="53" t="e">
        <f>#REF!*D1104</f>
        <v>#REF!</v>
      </c>
      <c r="AE1104" s="53" t="e">
        <f>AD1104-#REF!</f>
        <v>#REF!</v>
      </c>
      <c r="AF1104" s="9"/>
      <c r="AG1104" s="33" t="e">
        <f>#REF!-D1104</f>
        <v>#REF!</v>
      </c>
    </row>
    <row r="1105" spans="1:33" s="16" customFormat="1" ht="20.399999999999999" outlineLevel="1" x14ac:dyDescent="0.2">
      <c r="A1105" s="62" t="s">
        <v>1301</v>
      </c>
      <c r="B1105" s="14" t="s">
        <v>1329</v>
      </c>
      <c r="C1105" s="8" t="s">
        <v>48</v>
      </c>
      <c r="D1105" s="25">
        <f>SUM(G1105:AC1105)*6</f>
        <v>63</v>
      </c>
      <c r="E1105" s="54"/>
      <c r="F1105" s="78"/>
      <c r="G1105" s="9">
        <v>0</v>
      </c>
      <c r="H1105" s="9">
        <v>3</v>
      </c>
      <c r="I1105" s="9">
        <v>0.5</v>
      </c>
      <c r="J1105" s="9">
        <v>0</v>
      </c>
      <c r="K1105" s="9">
        <v>0</v>
      </c>
      <c r="L1105" s="9">
        <v>0.5</v>
      </c>
      <c r="M1105" s="9">
        <v>0</v>
      </c>
      <c r="N1105" s="9">
        <v>0</v>
      </c>
      <c r="O1105" s="9">
        <v>0.5</v>
      </c>
      <c r="P1105" s="9">
        <v>1</v>
      </c>
      <c r="Q1105" s="9">
        <v>3</v>
      </c>
      <c r="R1105" s="9">
        <v>0</v>
      </c>
      <c r="S1105" s="9">
        <v>0</v>
      </c>
      <c r="T1105" s="9">
        <v>0</v>
      </c>
      <c r="U1105" s="9">
        <v>0</v>
      </c>
      <c r="V1105" s="9">
        <v>0.5</v>
      </c>
      <c r="W1105" s="9">
        <v>1</v>
      </c>
      <c r="X1105" s="9">
        <v>0</v>
      </c>
      <c r="Y1105" s="9">
        <v>0</v>
      </c>
      <c r="Z1105" s="9">
        <v>0.5</v>
      </c>
      <c r="AA1105" s="9">
        <v>0</v>
      </c>
      <c r="AB1105" s="9">
        <v>0</v>
      </c>
      <c r="AC1105" s="9">
        <v>0</v>
      </c>
      <c r="AD1105" s="53" t="e">
        <f>#REF!*D1105</f>
        <v>#REF!</v>
      </c>
      <c r="AE1105" s="53" t="e">
        <f>AD1105-#REF!</f>
        <v>#REF!</v>
      </c>
      <c r="AF1105" s="9"/>
      <c r="AG1105" s="33" t="e">
        <f>#REF!-D1105</f>
        <v>#REF!</v>
      </c>
    </row>
    <row r="1106" spans="1:33" s="16" customFormat="1" ht="20.399999999999999" outlineLevel="1" x14ac:dyDescent="0.2">
      <c r="A1106" s="62" t="s">
        <v>1302</v>
      </c>
      <c r="B1106" s="14" t="s">
        <v>1330</v>
      </c>
      <c r="C1106" s="8" t="s">
        <v>48</v>
      </c>
      <c r="D1106" s="25">
        <f>SUM(G1106:AC1106)*6</f>
        <v>72</v>
      </c>
      <c r="E1106" s="54"/>
      <c r="F1106" s="78"/>
      <c r="G1106" s="9">
        <v>0</v>
      </c>
      <c r="H1106" s="9">
        <f>24/6</f>
        <v>4</v>
      </c>
      <c r="I1106" s="9">
        <v>0.5</v>
      </c>
      <c r="J1106" s="9">
        <v>0.5</v>
      </c>
      <c r="K1106" s="9">
        <v>0</v>
      </c>
      <c r="L1106" s="9">
        <v>0</v>
      </c>
      <c r="M1106" s="9">
        <v>0.5</v>
      </c>
      <c r="N1106" s="9">
        <v>0.5</v>
      </c>
      <c r="O1106" s="9">
        <v>0.5</v>
      </c>
      <c r="P1106" s="9">
        <v>0.5</v>
      </c>
      <c r="Q1106" s="9">
        <v>1</v>
      </c>
      <c r="R1106" s="9">
        <v>0</v>
      </c>
      <c r="S1106" s="9">
        <v>0</v>
      </c>
      <c r="T1106" s="9">
        <v>0</v>
      </c>
      <c r="U1106" s="9">
        <v>0</v>
      </c>
      <c r="V1106" s="9">
        <v>0.5</v>
      </c>
      <c r="W1106" s="9">
        <v>1</v>
      </c>
      <c r="X1106" s="9">
        <v>0.5</v>
      </c>
      <c r="Y1106" s="9">
        <v>1</v>
      </c>
      <c r="Z1106" s="9">
        <v>0.5</v>
      </c>
      <c r="AA1106" s="9">
        <v>0.5</v>
      </c>
      <c r="AB1106" s="9">
        <v>0</v>
      </c>
      <c r="AC1106" s="9">
        <v>0</v>
      </c>
      <c r="AD1106" s="53" t="e">
        <f>#REF!*D1106</f>
        <v>#REF!</v>
      </c>
      <c r="AE1106" s="53" t="e">
        <f>AD1106-#REF!</f>
        <v>#REF!</v>
      </c>
      <c r="AF1106" s="9"/>
      <c r="AG1106" s="33" t="e">
        <f>#REF!-D1106</f>
        <v>#REF!</v>
      </c>
    </row>
    <row r="1107" spans="1:33" s="16" customFormat="1" ht="20.399999999999999" outlineLevel="1" x14ac:dyDescent="0.2">
      <c r="A1107" s="62" t="s">
        <v>1303</v>
      </c>
      <c r="B1107" s="14" t="s">
        <v>1331</v>
      </c>
      <c r="C1107" s="8" t="s">
        <v>47</v>
      </c>
      <c r="D1107" s="25">
        <f t="shared" ref="D1107:D1140" si="264">SUM(G1107:AC1107)</f>
        <v>238</v>
      </c>
      <c r="E1107" s="54"/>
      <c r="F1107" s="78"/>
      <c r="G1107" s="49">
        <f t="shared" ref="G1107:AC1107" si="265">MROUND(G1104/2,1)</f>
        <v>0</v>
      </c>
      <c r="H1107" s="49">
        <f t="shared" si="265"/>
        <v>21</v>
      </c>
      <c r="I1107" s="49">
        <f t="shared" si="265"/>
        <v>13</v>
      </c>
      <c r="J1107" s="49">
        <f t="shared" si="265"/>
        <v>18</v>
      </c>
      <c r="K1107" s="49">
        <f t="shared" si="265"/>
        <v>7</v>
      </c>
      <c r="L1107" s="49">
        <f t="shared" si="265"/>
        <v>18</v>
      </c>
      <c r="M1107" s="49">
        <f t="shared" si="265"/>
        <v>20</v>
      </c>
      <c r="N1107" s="49">
        <f t="shared" si="265"/>
        <v>20</v>
      </c>
      <c r="O1107" s="49">
        <f t="shared" si="265"/>
        <v>23</v>
      </c>
      <c r="P1107" s="49">
        <f t="shared" si="265"/>
        <v>21</v>
      </c>
      <c r="Q1107" s="49">
        <f t="shared" si="265"/>
        <v>10</v>
      </c>
      <c r="R1107" s="49">
        <f t="shared" si="265"/>
        <v>0</v>
      </c>
      <c r="S1107" s="49">
        <f t="shared" si="265"/>
        <v>0</v>
      </c>
      <c r="T1107" s="49">
        <f t="shared" si="265"/>
        <v>0</v>
      </c>
      <c r="U1107" s="49">
        <f t="shared" si="265"/>
        <v>10</v>
      </c>
      <c r="V1107" s="49">
        <f t="shared" si="265"/>
        <v>8</v>
      </c>
      <c r="W1107" s="49">
        <f t="shared" si="265"/>
        <v>6</v>
      </c>
      <c r="X1107" s="49">
        <f t="shared" si="265"/>
        <v>11</v>
      </c>
      <c r="Y1107" s="49">
        <f t="shared" si="265"/>
        <v>9</v>
      </c>
      <c r="Z1107" s="49">
        <f t="shared" si="265"/>
        <v>11</v>
      </c>
      <c r="AA1107" s="49">
        <f t="shared" si="265"/>
        <v>10</v>
      </c>
      <c r="AB1107" s="49">
        <f t="shared" si="265"/>
        <v>2</v>
      </c>
      <c r="AC1107" s="49">
        <f t="shared" si="265"/>
        <v>0</v>
      </c>
      <c r="AD1107" s="53" t="e">
        <f>#REF!*D1107</f>
        <v>#REF!</v>
      </c>
      <c r="AE1107" s="53" t="e">
        <f>AD1107-#REF!</f>
        <v>#REF!</v>
      </c>
      <c r="AF1107" s="9"/>
      <c r="AG1107" s="33" t="e">
        <f>#REF!-D1107</f>
        <v>#REF!</v>
      </c>
    </row>
    <row r="1108" spans="1:33" s="16" customFormat="1" ht="20.399999999999999" outlineLevel="1" x14ac:dyDescent="0.2">
      <c r="A1108" s="62" t="s">
        <v>1304</v>
      </c>
      <c r="B1108" s="14" t="s">
        <v>1332</v>
      </c>
      <c r="C1108" s="9" t="s">
        <v>47</v>
      </c>
      <c r="D1108" s="25">
        <f t="shared" si="264"/>
        <v>6</v>
      </c>
      <c r="E1108" s="54"/>
      <c r="F1108" s="78"/>
      <c r="G1108" s="49">
        <f t="shared" ref="G1108:AC1108" si="266">MROUND(G1105/2,1)</f>
        <v>0</v>
      </c>
      <c r="H1108" s="49">
        <f t="shared" si="266"/>
        <v>2</v>
      </c>
      <c r="I1108" s="49">
        <f t="shared" si="266"/>
        <v>0</v>
      </c>
      <c r="J1108" s="49">
        <f t="shared" si="266"/>
        <v>0</v>
      </c>
      <c r="K1108" s="49">
        <f t="shared" si="266"/>
        <v>0</v>
      </c>
      <c r="L1108" s="49">
        <f t="shared" si="266"/>
        <v>0</v>
      </c>
      <c r="M1108" s="49">
        <f t="shared" si="266"/>
        <v>0</v>
      </c>
      <c r="N1108" s="49">
        <f t="shared" si="266"/>
        <v>0</v>
      </c>
      <c r="O1108" s="49">
        <f t="shared" si="266"/>
        <v>0</v>
      </c>
      <c r="P1108" s="49">
        <f t="shared" si="266"/>
        <v>1</v>
      </c>
      <c r="Q1108" s="49">
        <f t="shared" si="266"/>
        <v>2</v>
      </c>
      <c r="R1108" s="49">
        <f t="shared" si="266"/>
        <v>0</v>
      </c>
      <c r="S1108" s="49">
        <f t="shared" si="266"/>
        <v>0</v>
      </c>
      <c r="T1108" s="49">
        <f t="shared" si="266"/>
        <v>0</v>
      </c>
      <c r="U1108" s="49">
        <f t="shared" si="266"/>
        <v>0</v>
      </c>
      <c r="V1108" s="49">
        <f t="shared" si="266"/>
        <v>0</v>
      </c>
      <c r="W1108" s="49">
        <f t="shared" si="266"/>
        <v>1</v>
      </c>
      <c r="X1108" s="49">
        <f t="shared" si="266"/>
        <v>0</v>
      </c>
      <c r="Y1108" s="49">
        <f t="shared" si="266"/>
        <v>0</v>
      </c>
      <c r="Z1108" s="49">
        <f t="shared" si="266"/>
        <v>0</v>
      </c>
      <c r="AA1108" s="49">
        <f t="shared" si="266"/>
        <v>0</v>
      </c>
      <c r="AB1108" s="49">
        <f t="shared" si="266"/>
        <v>0</v>
      </c>
      <c r="AC1108" s="49">
        <f t="shared" si="266"/>
        <v>0</v>
      </c>
      <c r="AD1108" s="53" t="e">
        <f>#REF!*D1108</f>
        <v>#REF!</v>
      </c>
      <c r="AE1108" s="53" t="e">
        <f>AD1108-#REF!</f>
        <v>#REF!</v>
      </c>
      <c r="AF1108" s="9"/>
      <c r="AG1108" s="33" t="e">
        <f>#REF!-D1108</f>
        <v>#REF!</v>
      </c>
    </row>
    <row r="1109" spans="1:33" s="16" customFormat="1" ht="20.399999999999999" outlineLevel="1" x14ac:dyDescent="0.2">
      <c r="A1109" s="62" t="s">
        <v>1305</v>
      </c>
      <c r="B1109" s="14" t="s">
        <v>1333</v>
      </c>
      <c r="C1109" s="9" t="s">
        <v>47</v>
      </c>
      <c r="D1109" s="25">
        <f t="shared" si="264"/>
        <v>112</v>
      </c>
      <c r="E1109" s="54"/>
      <c r="F1109" s="78"/>
      <c r="G1109" s="9">
        <v>0</v>
      </c>
      <c r="H1109" s="9">
        <v>14</v>
      </c>
      <c r="I1109" s="9">
        <v>0</v>
      </c>
      <c r="J1109" s="9">
        <v>10</v>
      </c>
      <c r="K1109" s="9">
        <v>0</v>
      </c>
      <c r="L1109" s="9">
        <v>13</v>
      </c>
      <c r="M1109" s="9">
        <v>17</v>
      </c>
      <c r="N1109" s="9">
        <v>17</v>
      </c>
      <c r="O1109" s="9">
        <v>22</v>
      </c>
      <c r="P1109" s="9">
        <v>18</v>
      </c>
      <c r="Q1109" s="9">
        <v>0</v>
      </c>
      <c r="R1109" s="9">
        <v>0</v>
      </c>
      <c r="S1109" s="9">
        <v>0</v>
      </c>
      <c r="T1109" s="9">
        <v>0</v>
      </c>
      <c r="U1109" s="9">
        <v>0</v>
      </c>
      <c r="V1109" s="9">
        <v>0</v>
      </c>
      <c r="W1109" s="9">
        <v>0</v>
      </c>
      <c r="X1109" s="9">
        <v>0</v>
      </c>
      <c r="Y1109" s="9">
        <v>0</v>
      </c>
      <c r="Z1109" s="9">
        <v>0</v>
      </c>
      <c r="AA1109" s="9">
        <v>0</v>
      </c>
      <c r="AB1109" s="9">
        <v>1</v>
      </c>
      <c r="AC1109" s="9">
        <v>0</v>
      </c>
      <c r="AD1109" s="53" t="e">
        <f>#REF!*D1109</f>
        <v>#REF!</v>
      </c>
      <c r="AE1109" s="53" t="e">
        <f>AD1109-#REF!</f>
        <v>#REF!</v>
      </c>
      <c r="AF1109" s="9"/>
      <c r="AG1109" s="33" t="e">
        <f>#REF!-D1109</f>
        <v>#REF!</v>
      </c>
    </row>
    <row r="1110" spans="1:33" s="16" customFormat="1" ht="21.6" outlineLevel="1" x14ac:dyDescent="0.2">
      <c r="A1110" s="62" t="s">
        <v>1306</v>
      </c>
      <c r="B1110" s="14" t="s">
        <v>86</v>
      </c>
      <c r="C1110" s="9" t="s">
        <v>47</v>
      </c>
      <c r="D1110" s="25">
        <f t="shared" si="264"/>
        <v>1187</v>
      </c>
      <c r="E1110" s="54"/>
      <c r="F1110" s="78"/>
      <c r="G1110" s="9">
        <v>0</v>
      </c>
      <c r="H1110" s="9">
        <f>165-49</f>
        <v>116</v>
      </c>
      <c r="I1110" s="9">
        <f>85-19</f>
        <v>66</v>
      </c>
      <c r="J1110" s="9">
        <f>135-38</f>
        <v>97</v>
      </c>
      <c r="K1110" s="9">
        <f>111-78</f>
        <v>33</v>
      </c>
      <c r="L1110" s="9">
        <f>135-47</f>
        <v>88</v>
      </c>
      <c r="M1110" s="9">
        <v>85</v>
      </c>
      <c r="N1110" s="9">
        <v>85</v>
      </c>
      <c r="O1110" s="9">
        <v>96</v>
      </c>
      <c r="P1110" s="9">
        <v>95</v>
      </c>
      <c r="Q1110" s="9">
        <f>3+3+7+7+51+4+6</f>
        <v>81</v>
      </c>
      <c r="R1110" s="9">
        <v>0</v>
      </c>
      <c r="S1110" s="9">
        <v>0</v>
      </c>
      <c r="T1110" s="9">
        <v>0</v>
      </c>
      <c r="U1110" s="9">
        <v>52</v>
      </c>
      <c r="V1110" s="9">
        <v>49</v>
      </c>
      <c r="W1110" s="9">
        <v>38</v>
      </c>
      <c r="X1110" s="9">
        <v>51</v>
      </c>
      <c r="Y1110" s="9">
        <v>47</v>
      </c>
      <c r="Z1110" s="9">
        <v>51</v>
      </c>
      <c r="AA1110" s="9">
        <v>47</v>
      </c>
      <c r="AB1110" s="9">
        <v>10</v>
      </c>
      <c r="AC1110" s="9">
        <v>0</v>
      </c>
      <c r="AD1110" s="53" t="e">
        <f>#REF!*D1110</f>
        <v>#REF!</v>
      </c>
      <c r="AE1110" s="53" t="e">
        <f>AD1110-#REF!</f>
        <v>#REF!</v>
      </c>
      <c r="AF1110" s="9"/>
      <c r="AG1110" s="33" t="e">
        <f>#REF!-D1110</f>
        <v>#REF!</v>
      </c>
    </row>
    <row r="1111" spans="1:33" s="16" customFormat="1" ht="21.6" outlineLevel="1" x14ac:dyDescent="0.2">
      <c r="A1111" s="62" t="s">
        <v>1307</v>
      </c>
      <c r="B1111" s="14" t="s">
        <v>87</v>
      </c>
      <c r="C1111" s="9" t="s">
        <v>47</v>
      </c>
      <c r="D1111" s="25">
        <f t="shared" si="264"/>
        <v>41</v>
      </c>
      <c r="E1111" s="54"/>
      <c r="F1111" s="78"/>
      <c r="G1111" s="9">
        <v>0</v>
      </c>
      <c r="H1111" s="9">
        <f>33-4</f>
        <v>29</v>
      </c>
      <c r="I1111" s="9">
        <v>4</v>
      </c>
      <c r="J1111" s="9">
        <v>2</v>
      </c>
      <c r="K1111" s="9">
        <v>0</v>
      </c>
      <c r="L1111" s="9">
        <v>1</v>
      </c>
      <c r="M1111" s="9">
        <v>0</v>
      </c>
      <c r="N1111" s="9">
        <v>0</v>
      </c>
      <c r="O1111" s="9">
        <v>0</v>
      </c>
      <c r="P1111" s="9">
        <v>0</v>
      </c>
      <c r="Q1111" s="9">
        <v>0</v>
      </c>
      <c r="R1111" s="9">
        <v>0</v>
      </c>
      <c r="S1111" s="9">
        <v>0</v>
      </c>
      <c r="T1111" s="9">
        <v>0</v>
      </c>
      <c r="U1111" s="9">
        <v>4</v>
      </c>
      <c r="V1111" s="9">
        <v>0</v>
      </c>
      <c r="W1111" s="9">
        <v>0</v>
      </c>
      <c r="X1111" s="9">
        <v>1</v>
      </c>
      <c r="Y1111" s="9">
        <v>0</v>
      </c>
      <c r="Z1111" s="9">
        <v>0</v>
      </c>
      <c r="AA1111" s="9">
        <v>0</v>
      </c>
      <c r="AB1111" s="9">
        <v>0</v>
      </c>
      <c r="AC1111" s="9">
        <v>0</v>
      </c>
      <c r="AD1111" s="53" t="e">
        <f>#REF!*D1111</f>
        <v>#REF!</v>
      </c>
      <c r="AE1111" s="53" t="e">
        <f>AD1111-#REF!</f>
        <v>#REF!</v>
      </c>
      <c r="AF1111" s="9"/>
      <c r="AG1111" s="33" t="e">
        <f>#REF!-D1111</f>
        <v>#REF!</v>
      </c>
    </row>
    <row r="1112" spans="1:33" s="16" customFormat="1" ht="21.6" outlineLevel="1" x14ac:dyDescent="0.2">
      <c r="A1112" s="62" t="s">
        <v>1308</v>
      </c>
      <c r="B1112" s="14" t="s">
        <v>88</v>
      </c>
      <c r="C1112" s="9" t="s">
        <v>47</v>
      </c>
      <c r="D1112" s="25">
        <f t="shared" si="264"/>
        <v>1559</v>
      </c>
      <c r="E1112" s="54"/>
      <c r="F1112" s="78"/>
      <c r="G1112" s="9">
        <v>0</v>
      </c>
      <c r="H1112" s="9">
        <f>150-45</f>
        <v>105</v>
      </c>
      <c r="I1112" s="9">
        <f>110-25</f>
        <v>85</v>
      </c>
      <c r="J1112" s="9">
        <f>185-52</f>
        <v>133</v>
      </c>
      <c r="K1112" s="9">
        <f>130-91</f>
        <v>39</v>
      </c>
      <c r="L1112" s="9">
        <v>130</v>
      </c>
      <c r="M1112" s="9">
        <v>140</v>
      </c>
      <c r="N1112" s="9">
        <v>140</v>
      </c>
      <c r="O1112" s="9">
        <v>165</v>
      </c>
      <c r="P1112" s="9">
        <v>140</v>
      </c>
      <c r="Q1112" s="9">
        <v>60</v>
      </c>
      <c r="R1112" s="9">
        <v>0</v>
      </c>
      <c r="S1112" s="9">
        <v>0</v>
      </c>
      <c r="T1112" s="9">
        <v>0</v>
      </c>
      <c r="U1112" s="9">
        <v>45</v>
      </c>
      <c r="V1112" s="9">
        <v>25</v>
      </c>
      <c r="W1112" s="9">
        <v>52</v>
      </c>
      <c r="X1112" s="9">
        <v>91</v>
      </c>
      <c r="Y1112" s="9">
        <v>70</v>
      </c>
      <c r="Z1112" s="9">
        <v>66</v>
      </c>
      <c r="AA1112" s="9">
        <v>64</v>
      </c>
      <c r="AB1112" s="9">
        <v>9</v>
      </c>
      <c r="AC1112" s="9">
        <v>0</v>
      </c>
      <c r="AD1112" s="53" t="e">
        <f>#REF!*D1112</f>
        <v>#REF!</v>
      </c>
      <c r="AE1112" s="53" t="e">
        <f>AD1112-#REF!</f>
        <v>#REF!</v>
      </c>
      <c r="AF1112" s="9"/>
      <c r="AG1112" s="33" t="e">
        <f>#REF!-D1112</f>
        <v>#REF!</v>
      </c>
    </row>
    <row r="1113" spans="1:33" s="16" customFormat="1" ht="21.6" outlineLevel="1" x14ac:dyDescent="0.2">
      <c r="A1113" s="62" t="s">
        <v>1309</v>
      </c>
      <c r="B1113" s="14" t="s">
        <v>89</v>
      </c>
      <c r="C1113" s="9" t="s">
        <v>47</v>
      </c>
      <c r="D1113" s="25">
        <f t="shared" si="264"/>
        <v>22</v>
      </c>
      <c r="E1113" s="54"/>
      <c r="F1113" s="78"/>
      <c r="G1113" s="9">
        <v>0</v>
      </c>
      <c r="H1113" s="9">
        <v>9</v>
      </c>
      <c r="I1113" s="9">
        <v>1</v>
      </c>
      <c r="J1113" s="9">
        <v>0</v>
      </c>
      <c r="K1113" s="9">
        <v>0</v>
      </c>
      <c r="L1113" s="9">
        <v>1</v>
      </c>
      <c r="M1113" s="9">
        <v>0</v>
      </c>
      <c r="N1113" s="9">
        <v>0</v>
      </c>
      <c r="O1113" s="9">
        <v>2</v>
      </c>
      <c r="P1113" s="9">
        <v>3</v>
      </c>
      <c r="Q1113" s="9">
        <v>3</v>
      </c>
      <c r="R1113" s="9">
        <v>0</v>
      </c>
      <c r="S1113" s="9">
        <v>0</v>
      </c>
      <c r="T1113" s="9">
        <v>0</v>
      </c>
      <c r="U1113" s="9">
        <v>0</v>
      </c>
      <c r="V1113" s="9">
        <v>1</v>
      </c>
      <c r="W1113" s="9">
        <v>1</v>
      </c>
      <c r="X1113" s="9">
        <v>0</v>
      </c>
      <c r="Y1113" s="9">
        <v>0</v>
      </c>
      <c r="Z1113" s="9">
        <v>1</v>
      </c>
      <c r="AA1113" s="9">
        <v>0</v>
      </c>
      <c r="AB1113" s="9">
        <v>0</v>
      </c>
      <c r="AC1113" s="9">
        <v>0</v>
      </c>
      <c r="AD1113" s="53" t="e">
        <f>#REF!*D1113</f>
        <v>#REF!</v>
      </c>
      <c r="AE1113" s="53" t="e">
        <f>AD1113-#REF!</f>
        <v>#REF!</v>
      </c>
      <c r="AF1113" s="9"/>
      <c r="AG1113" s="33" t="e">
        <f>#REF!-D1113</f>
        <v>#REF!</v>
      </c>
    </row>
    <row r="1114" spans="1:33" s="16" customFormat="1" ht="21.6" outlineLevel="1" x14ac:dyDescent="0.2">
      <c r="A1114" s="62" t="s">
        <v>1310</v>
      </c>
      <c r="B1114" s="14" t="s">
        <v>90</v>
      </c>
      <c r="C1114" s="9" t="s">
        <v>47</v>
      </c>
      <c r="D1114" s="25">
        <f t="shared" si="264"/>
        <v>28</v>
      </c>
      <c r="E1114" s="54"/>
      <c r="F1114" s="78"/>
      <c r="G1114" s="9">
        <v>0</v>
      </c>
      <c r="H1114" s="9">
        <v>11</v>
      </c>
      <c r="I1114" s="9">
        <v>2</v>
      </c>
      <c r="J1114" s="9">
        <v>1</v>
      </c>
      <c r="K1114" s="9">
        <v>0</v>
      </c>
      <c r="L1114" s="9">
        <v>0</v>
      </c>
      <c r="M1114" s="9">
        <v>1</v>
      </c>
      <c r="N1114" s="9">
        <v>1</v>
      </c>
      <c r="O1114" s="9">
        <v>1</v>
      </c>
      <c r="P1114" s="9">
        <v>2</v>
      </c>
      <c r="Q1114" s="9">
        <v>1</v>
      </c>
      <c r="R1114" s="9">
        <v>0</v>
      </c>
      <c r="S1114" s="9">
        <v>0</v>
      </c>
      <c r="T1114" s="9">
        <v>0</v>
      </c>
      <c r="U1114" s="9">
        <v>0</v>
      </c>
      <c r="V1114" s="9">
        <v>1</v>
      </c>
      <c r="W1114" s="9">
        <v>2</v>
      </c>
      <c r="X1114" s="9">
        <v>1</v>
      </c>
      <c r="Y1114" s="9">
        <v>2</v>
      </c>
      <c r="Z1114" s="9">
        <v>1</v>
      </c>
      <c r="AA1114" s="9">
        <v>1</v>
      </c>
      <c r="AB1114" s="9">
        <v>0</v>
      </c>
      <c r="AC1114" s="9">
        <v>0</v>
      </c>
      <c r="AD1114" s="53" t="e">
        <f>#REF!*D1114</f>
        <v>#REF!</v>
      </c>
      <c r="AE1114" s="53" t="e">
        <f>AD1114-#REF!</f>
        <v>#REF!</v>
      </c>
      <c r="AF1114" s="9"/>
      <c r="AG1114" s="33" t="e">
        <f>#REF!-D1114</f>
        <v>#REF!</v>
      </c>
    </row>
    <row r="1115" spans="1:33" s="16" customFormat="1" ht="21.6" outlineLevel="1" x14ac:dyDescent="0.2">
      <c r="A1115" s="62" t="s">
        <v>1311</v>
      </c>
      <c r="B1115" s="14" t="s">
        <v>1340</v>
      </c>
      <c r="C1115" s="9" t="s">
        <v>47</v>
      </c>
      <c r="D1115" s="25">
        <f t="shared" si="264"/>
        <v>90</v>
      </c>
      <c r="E1115" s="54"/>
      <c r="F1115" s="78"/>
      <c r="G1115" s="9">
        <v>0</v>
      </c>
      <c r="H1115" s="9">
        <v>4</v>
      </c>
      <c r="I1115" s="9">
        <v>6</v>
      </c>
      <c r="J1115" s="9">
        <v>10</v>
      </c>
      <c r="K1115" s="9">
        <v>2</v>
      </c>
      <c r="L1115" s="9">
        <v>6</v>
      </c>
      <c r="M1115" s="9">
        <v>10</v>
      </c>
      <c r="N1115" s="9">
        <v>10</v>
      </c>
      <c r="O1115" s="9">
        <v>14</v>
      </c>
      <c r="P1115" s="9">
        <v>12</v>
      </c>
      <c r="Q1115" s="9">
        <v>0</v>
      </c>
      <c r="R1115" s="9">
        <v>0</v>
      </c>
      <c r="S1115" s="9">
        <v>0</v>
      </c>
      <c r="T1115" s="9">
        <v>0</v>
      </c>
      <c r="U1115" s="9">
        <v>2</v>
      </c>
      <c r="V1115" s="9">
        <v>2</v>
      </c>
      <c r="W1115" s="9">
        <v>3</v>
      </c>
      <c r="X1115" s="9">
        <v>3</v>
      </c>
      <c r="Y1115" s="9">
        <v>2</v>
      </c>
      <c r="Z1115" s="9">
        <v>2</v>
      </c>
      <c r="AA1115" s="9">
        <v>2</v>
      </c>
      <c r="AB1115" s="9">
        <v>0</v>
      </c>
      <c r="AC1115" s="9">
        <v>0</v>
      </c>
      <c r="AD1115" s="53" t="e">
        <f>#REF!*D1115</f>
        <v>#REF!</v>
      </c>
      <c r="AE1115" s="53" t="e">
        <f>AD1115-#REF!</f>
        <v>#REF!</v>
      </c>
      <c r="AF1115" s="9"/>
      <c r="AG1115" s="33" t="e">
        <f>#REF!-D1115</f>
        <v>#REF!</v>
      </c>
    </row>
    <row r="1116" spans="1:33" s="16" customFormat="1" ht="11.4" outlineLevel="1" x14ac:dyDescent="0.2">
      <c r="A1116" s="62" t="s">
        <v>1312</v>
      </c>
      <c r="B1116" s="11" t="s">
        <v>92</v>
      </c>
      <c r="C1116" s="9" t="s">
        <v>47</v>
      </c>
      <c r="D1116" s="25">
        <f t="shared" si="264"/>
        <v>769</v>
      </c>
      <c r="E1116" s="54"/>
      <c r="F1116" s="78"/>
      <c r="G1116" s="9">
        <v>0</v>
      </c>
      <c r="H1116" s="9">
        <f>125-38</f>
        <v>87</v>
      </c>
      <c r="I1116" s="9">
        <f>58-13</f>
        <v>45</v>
      </c>
      <c r="J1116" s="9">
        <f>86-24</f>
        <v>62</v>
      </c>
      <c r="K1116" s="9">
        <f>48-34</f>
        <v>14</v>
      </c>
      <c r="L1116" s="9">
        <f>96-33</f>
        <v>63</v>
      </c>
      <c r="M1116" s="9">
        <v>68</v>
      </c>
      <c r="N1116" s="9">
        <v>68</v>
      </c>
      <c r="O1116" s="9">
        <v>81</v>
      </c>
      <c r="P1116" s="9">
        <v>55</v>
      </c>
      <c r="Q1116" s="9">
        <v>10</v>
      </c>
      <c r="R1116" s="9">
        <v>0</v>
      </c>
      <c r="S1116" s="9">
        <v>0</v>
      </c>
      <c r="T1116" s="9">
        <v>0</v>
      </c>
      <c r="U1116" s="9">
        <v>38</v>
      </c>
      <c r="V1116" s="9">
        <v>13</v>
      </c>
      <c r="W1116" s="9">
        <v>24</v>
      </c>
      <c r="X1116" s="9">
        <v>34</v>
      </c>
      <c r="Y1116" s="9">
        <v>33</v>
      </c>
      <c r="Z1116" s="9">
        <v>35</v>
      </c>
      <c r="AA1116" s="9">
        <v>35</v>
      </c>
      <c r="AB1116" s="9">
        <v>4</v>
      </c>
      <c r="AC1116" s="9">
        <v>0</v>
      </c>
      <c r="AD1116" s="53" t="e">
        <f>#REF!*D1116</f>
        <v>#REF!</v>
      </c>
      <c r="AE1116" s="53" t="e">
        <f>AD1116-#REF!</f>
        <v>#REF!</v>
      </c>
      <c r="AF1116" s="9"/>
      <c r="AG1116" s="33" t="e">
        <f>#REF!-D1116</f>
        <v>#REF!</v>
      </c>
    </row>
    <row r="1117" spans="1:33" s="16" customFormat="1" ht="11.4" outlineLevel="1" x14ac:dyDescent="0.2">
      <c r="A1117" s="62" t="s">
        <v>1341</v>
      </c>
      <c r="B1117" s="11" t="s">
        <v>163</v>
      </c>
      <c r="C1117" s="9" t="s">
        <v>47</v>
      </c>
      <c r="D1117" s="25">
        <f t="shared" si="264"/>
        <v>8</v>
      </c>
      <c r="E1117" s="54"/>
      <c r="F1117" s="78"/>
      <c r="G1117" s="9">
        <v>0</v>
      </c>
      <c r="H1117" s="9">
        <v>2</v>
      </c>
      <c r="I1117" s="9">
        <v>0</v>
      </c>
      <c r="J1117" s="9">
        <v>0</v>
      </c>
      <c r="K1117" s="9">
        <v>0</v>
      </c>
      <c r="L1117" s="9">
        <v>2</v>
      </c>
      <c r="M1117" s="9">
        <v>0</v>
      </c>
      <c r="N1117" s="9">
        <v>0</v>
      </c>
      <c r="O1117" s="9">
        <v>0</v>
      </c>
      <c r="P1117" s="9">
        <v>2</v>
      </c>
      <c r="Q1117" s="9">
        <v>2</v>
      </c>
      <c r="R1117" s="9">
        <v>0</v>
      </c>
      <c r="S1117" s="9">
        <v>0</v>
      </c>
      <c r="T1117" s="9">
        <v>0</v>
      </c>
      <c r="U1117" s="9">
        <v>0</v>
      </c>
      <c r="V1117" s="9">
        <v>0</v>
      </c>
      <c r="W1117" s="9">
        <v>0</v>
      </c>
      <c r="X1117" s="9">
        <v>0</v>
      </c>
      <c r="Y1117" s="9">
        <v>0</v>
      </c>
      <c r="Z1117" s="9">
        <v>0</v>
      </c>
      <c r="AA1117" s="9">
        <v>0</v>
      </c>
      <c r="AB1117" s="9">
        <v>0</v>
      </c>
      <c r="AC1117" s="9">
        <v>0</v>
      </c>
      <c r="AD1117" s="53" t="e">
        <f>#REF!*D1117</f>
        <v>#REF!</v>
      </c>
      <c r="AE1117" s="53" t="e">
        <f>AD1117-#REF!</f>
        <v>#REF!</v>
      </c>
      <c r="AF1117" s="9"/>
      <c r="AG1117" s="33" t="e">
        <f>#REF!-D1117</f>
        <v>#REF!</v>
      </c>
    </row>
    <row r="1118" spans="1:33" s="16" customFormat="1" ht="11.4" outlineLevel="1" x14ac:dyDescent="0.2">
      <c r="A1118" s="62" t="s">
        <v>1342</v>
      </c>
      <c r="B1118" s="11" t="s">
        <v>93</v>
      </c>
      <c r="C1118" s="9" t="s">
        <v>47</v>
      </c>
      <c r="D1118" s="25">
        <f t="shared" si="264"/>
        <v>3</v>
      </c>
      <c r="E1118" s="54"/>
      <c r="F1118" s="78"/>
      <c r="G1118" s="9">
        <v>0</v>
      </c>
      <c r="H1118" s="9">
        <v>3</v>
      </c>
      <c r="I1118" s="9">
        <v>0</v>
      </c>
      <c r="J1118" s="9">
        <v>0</v>
      </c>
      <c r="K1118" s="9">
        <v>0</v>
      </c>
      <c r="L1118" s="9">
        <v>0</v>
      </c>
      <c r="M1118" s="9">
        <v>0</v>
      </c>
      <c r="N1118" s="9">
        <v>0</v>
      </c>
      <c r="O1118" s="9">
        <v>0</v>
      </c>
      <c r="P1118" s="9">
        <v>0</v>
      </c>
      <c r="Q1118" s="9">
        <v>0</v>
      </c>
      <c r="R1118" s="9">
        <v>0</v>
      </c>
      <c r="S1118" s="9">
        <v>0</v>
      </c>
      <c r="T1118" s="9">
        <v>0</v>
      </c>
      <c r="U1118" s="9">
        <v>0</v>
      </c>
      <c r="V1118" s="9">
        <v>0</v>
      </c>
      <c r="W1118" s="9">
        <v>0</v>
      </c>
      <c r="X1118" s="9">
        <v>0</v>
      </c>
      <c r="Y1118" s="9">
        <v>0</v>
      </c>
      <c r="Z1118" s="9">
        <v>0</v>
      </c>
      <c r="AA1118" s="9">
        <v>0</v>
      </c>
      <c r="AB1118" s="9">
        <v>0</v>
      </c>
      <c r="AC1118" s="9">
        <v>0</v>
      </c>
      <c r="AD1118" s="53" t="e">
        <f>#REF!*D1118</f>
        <v>#REF!</v>
      </c>
      <c r="AE1118" s="53" t="e">
        <f>AD1118-#REF!</f>
        <v>#REF!</v>
      </c>
      <c r="AF1118" s="9"/>
      <c r="AG1118" s="33" t="e">
        <f>#REF!-D1118</f>
        <v>#REF!</v>
      </c>
    </row>
    <row r="1119" spans="1:33" s="16" customFormat="1" ht="21.6" outlineLevel="1" x14ac:dyDescent="0.2">
      <c r="A1119" s="62" t="s">
        <v>1343</v>
      </c>
      <c r="B1119" s="14" t="s">
        <v>96</v>
      </c>
      <c r="C1119" s="9" t="s">
        <v>47</v>
      </c>
      <c r="D1119" s="25">
        <f t="shared" si="264"/>
        <v>36</v>
      </c>
      <c r="E1119" s="54"/>
      <c r="F1119" s="78"/>
      <c r="G1119" s="9">
        <v>0</v>
      </c>
      <c r="H1119" s="9">
        <v>22</v>
      </c>
      <c r="I1119" s="9">
        <v>0</v>
      </c>
      <c r="J1119" s="9">
        <v>0</v>
      </c>
      <c r="K1119" s="9">
        <v>0</v>
      </c>
      <c r="L1119" s="9">
        <v>2</v>
      </c>
      <c r="M1119" s="9">
        <v>0</v>
      </c>
      <c r="N1119" s="9">
        <v>0</v>
      </c>
      <c r="O1119" s="9">
        <v>0</v>
      </c>
      <c r="P1119" s="9">
        <v>4</v>
      </c>
      <c r="Q1119" s="9">
        <v>4</v>
      </c>
      <c r="R1119" s="9">
        <v>0</v>
      </c>
      <c r="S1119" s="9">
        <v>0</v>
      </c>
      <c r="T1119" s="9">
        <v>0</v>
      </c>
      <c r="U1119" s="9">
        <v>0</v>
      </c>
      <c r="V1119" s="9">
        <v>1</v>
      </c>
      <c r="W1119" s="9">
        <v>2</v>
      </c>
      <c r="X1119" s="9">
        <v>0</v>
      </c>
      <c r="Y1119" s="9">
        <v>0</v>
      </c>
      <c r="Z1119" s="9">
        <v>1</v>
      </c>
      <c r="AA1119" s="9">
        <v>0</v>
      </c>
      <c r="AB1119" s="9">
        <v>0</v>
      </c>
      <c r="AC1119" s="9">
        <v>0</v>
      </c>
      <c r="AD1119" s="53" t="e">
        <f>#REF!*D1119</f>
        <v>#REF!</v>
      </c>
      <c r="AE1119" s="53" t="e">
        <f>AD1119-#REF!</f>
        <v>#REF!</v>
      </c>
      <c r="AF1119" s="9"/>
      <c r="AG1119" s="33" t="e">
        <f>#REF!-D1119</f>
        <v>#REF!</v>
      </c>
    </row>
    <row r="1120" spans="1:33" s="16" customFormat="1" ht="21.6" outlineLevel="1" x14ac:dyDescent="0.2">
      <c r="A1120" s="62" t="s">
        <v>1344</v>
      </c>
      <c r="B1120" s="14" t="s">
        <v>95</v>
      </c>
      <c r="C1120" s="9" t="s">
        <v>47</v>
      </c>
      <c r="D1120" s="25">
        <f t="shared" si="264"/>
        <v>1</v>
      </c>
      <c r="E1120" s="54"/>
      <c r="F1120" s="78"/>
      <c r="G1120" s="9">
        <v>0</v>
      </c>
      <c r="H1120" s="9">
        <v>1</v>
      </c>
      <c r="I1120" s="9">
        <v>0</v>
      </c>
      <c r="J1120" s="9">
        <v>0</v>
      </c>
      <c r="K1120" s="9">
        <v>0</v>
      </c>
      <c r="L1120" s="9">
        <v>0</v>
      </c>
      <c r="M1120" s="9">
        <v>0</v>
      </c>
      <c r="N1120" s="9">
        <v>0</v>
      </c>
      <c r="O1120" s="9">
        <v>0</v>
      </c>
      <c r="P1120" s="9">
        <v>0</v>
      </c>
      <c r="Q1120" s="9">
        <v>0</v>
      </c>
      <c r="R1120" s="9">
        <v>0</v>
      </c>
      <c r="S1120" s="9">
        <v>0</v>
      </c>
      <c r="T1120" s="9">
        <v>0</v>
      </c>
      <c r="U1120" s="9">
        <v>0</v>
      </c>
      <c r="V1120" s="9">
        <v>0</v>
      </c>
      <c r="W1120" s="9">
        <v>0</v>
      </c>
      <c r="X1120" s="9">
        <v>0</v>
      </c>
      <c r="Y1120" s="9">
        <v>0</v>
      </c>
      <c r="Z1120" s="9">
        <v>0</v>
      </c>
      <c r="AA1120" s="9">
        <v>0</v>
      </c>
      <c r="AB1120" s="9">
        <v>0</v>
      </c>
      <c r="AC1120" s="9">
        <v>0</v>
      </c>
      <c r="AD1120" s="53" t="e">
        <f>#REF!*D1120</f>
        <v>#REF!</v>
      </c>
      <c r="AE1120" s="53" t="e">
        <f>AD1120-#REF!</f>
        <v>#REF!</v>
      </c>
      <c r="AF1120" s="9"/>
      <c r="AG1120" s="33" t="e">
        <f>#REF!-D1120</f>
        <v>#REF!</v>
      </c>
    </row>
    <row r="1121" spans="1:33" s="16" customFormat="1" ht="20.399999999999999" outlineLevel="1" x14ac:dyDescent="0.2">
      <c r="A1121" s="62" t="s">
        <v>1345</v>
      </c>
      <c r="B1121" s="14" t="s">
        <v>97</v>
      </c>
      <c r="C1121" s="9" t="s">
        <v>47</v>
      </c>
      <c r="D1121" s="25">
        <f t="shared" si="264"/>
        <v>34</v>
      </c>
      <c r="E1121" s="54"/>
      <c r="F1121" s="78"/>
      <c r="G1121" s="9">
        <v>0</v>
      </c>
      <c r="H1121" s="9">
        <v>14</v>
      </c>
      <c r="I1121" s="9">
        <v>3</v>
      </c>
      <c r="J1121" s="9">
        <v>0</v>
      </c>
      <c r="K1121" s="9">
        <v>0</v>
      </c>
      <c r="L1121" s="9">
        <v>2</v>
      </c>
      <c r="M1121" s="9">
        <v>0</v>
      </c>
      <c r="N1121" s="9">
        <v>0</v>
      </c>
      <c r="O1121" s="9">
        <v>2</v>
      </c>
      <c r="P1121" s="9">
        <v>5</v>
      </c>
      <c r="Q1121" s="9">
        <v>4</v>
      </c>
      <c r="R1121" s="9">
        <v>0</v>
      </c>
      <c r="S1121" s="9">
        <v>0</v>
      </c>
      <c r="T1121" s="9">
        <v>0</v>
      </c>
      <c r="U1121" s="9">
        <v>0</v>
      </c>
      <c r="V1121" s="9">
        <v>1</v>
      </c>
      <c r="W1121" s="9">
        <v>2</v>
      </c>
      <c r="X1121" s="9">
        <v>0</v>
      </c>
      <c r="Y1121" s="9">
        <v>0</v>
      </c>
      <c r="Z1121" s="9">
        <v>1</v>
      </c>
      <c r="AA1121" s="9">
        <v>0</v>
      </c>
      <c r="AB1121" s="9">
        <v>0</v>
      </c>
      <c r="AC1121" s="9">
        <v>0</v>
      </c>
      <c r="AD1121" s="53" t="e">
        <f>#REF!*D1121</f>
        <v>#REF!</v>
      </c>
      <c r="AE1121" s="53" t="e">
        <f>AD1121-#REF!</f>
        <v>#REF!</v>
      </c>
      <c r="AF1121" s="9"/>
      <c r="AG1121" s="33" t="e">
        <f>#REF!-D1121</f>
        <v>#REF!</v>
      </c>
    </row>
    <row r="1122" spans="1:33" s="16" customFormat="1" ht="20.399999999999999" outlineLevel="1" x14ac:dyDescent="0.2">
      <c r="A1122" s="62" t="s">
        <v>1346</v>
      </c>
      <c r="B1122" s="14" t="s">
        <v>98</v>
      </c>
      <c r="C1122" s="9" t="s">
        <v>47</v>
      </c>
      <c r="D1122" s="25">
        <f t="shared" si="264"/>
        <v>7</v>
      </c>
      <c r="E1122" s="54"/>
      <c r="F1122" s="78"/>
      <c r="G1122" s="9">
        <v>0</v>
      </c>
      <c r="H1122" s="9">
        <v>7</v>
      </c>
      <c r="I1122" s="9">
        <v>0</v>
      </c>
      <c r="J1122" s="9">
        <v>0</v>
      </c>
      <c r="K1122" s="9">
        <v>0</v>
      </c>
      <c r="L1122" s="9">
        <v>0</v>
      </c>
      <c r="M1122" s="9">
        <v>0</v>
      </c>
      <c r="N1122" s="9">
        <v>0</v>
      </c>
      <c r="O1122" s="9">
        <v>0</v>
      </c>
      <c r="P1122" s="9">
        <v>0</v>
      </c>
      <c r="Q1122" s="9">
        <v>0</v>
      </c>
      <c r="R1122" s="9">
        <v>0</v>
      </c>
      <c r="S1122" s="9">
        <v>0</v>
      </c>
      <c r="T1122" s="9">
        <v>0</v>
      </c>
      <c r="U1122" s="9">
        <v>0</v>
      </c>
      <c r="V1122" s="9">
        <v>0</v>
      </c>
      <c r="W1122" s="9">
        <v>0</v>
      </c>
      <c r="X1122" s="9">
        <v>0</v>
      </c>
      <c r="Y1122" s="9">
        <v>0</v>
      </c>
      <c r="Z1122" s="9">
        <v>0</v>
      </c>
      <c r="AA1122" s="9">
        <v>0</v>
      </c>
      <c r="AB1122" s="9">
        <v>0</v>
      </c>
      <c r="AC1122" s="9">
        <v>0</v>
      </c>
      <c r="AD1122" s="53" t="e">
        <f>#REF!*D1122</f>
        <v>#REF!</v>
      </c>
      <c r="AE1122" s="53" t="e">
        <f>AD1122-#REF!</f>
        <v>#REF!</v>
      </c>
      <c r="AF1122" s="9"/>
      <c r="AG1122" s="33" t="e">
        <f>#REF!-D1122</f>
        <v>#REF!</v>
      </c>
    </row>
    <row r="1123" spans="1:33" s="16" customFormat="1" ht="20.399999999999999" outlineLevel="1" x14ac:dyDescent="0.2">
      <c r="A1123" s="62" t="s">
        <v>1347</v>
      </c>
      <c r="B1123" s="14" t="s">
        <v>101</v>
      </c>
      <c r="C1123" s="9" t="s">
        <v>47</v>
      </c>
      <c r="D1123" s="25">
        <f t="shared" si="264"/>
        <v>1109</v>
      </c>
      <c r="E1123" s="54"/>
      <c r="F1123" s="78"/>
      <c r="G1123" s="49">
        <f t="shared" ref="G1123:AC1123" si="267">G1128+G1129*2+G1133</f>
        <v>0</v>
      </c>
      <c r="H1123" s="49">
        <f t="shared" si="267"/>
        <v>82</v>
      </c>
      <c r="I1123" s="49">
        <f t="shared" si="267"/>
        <v>64</v>
      </c>
      <c r="J1123" s="49">
        <f t="shared" si="267"/>
        <v>96</v>
      </c>
      <c r="K1123" s="49">
        <f t="shared" si="267"/>
        <v>78</v>
      </c>
      <c r="L1123" s="49">
        <f t="shared" si="267"/>
        <v>76</v>
      </c>
      <c r="M1123" s="49">
        <f t="shared" si="267"/>
        <v>68</v>
      </c>
      <c r="N1123" s="49">
        <f t="shared" si="267"/>
        <v>68</v>
      </c>
      <c r="O1123" s="49">
        <f t="shared" si="267"/>
        <v>68</v>
      </c>
      <c r="P1123" s="49">
        <f t="shared" si="267"/>
        <v>102</v>
      </c>
      <c r="Q1123" s="49">
        <f t="shared" si="267"/>
        <v>0</v>
      </c>
      <c r="R1123" s="49">
        <f t="shared" si="267"/>
        <v>0</v>
      </c>
      <c r="S1123" s="49">
        <f t="shared" si="267"/>
        <v>0</v>
      </c>
      <c r="T1123" s="49">
        <f t="shared" si="267"/>
        <v>0</v>
      </c>
      <c r="U1123" s="49">
        <f t="shared" si="267"/>
        <v>54</v>
      </c>
      <c r="V1123" s="49">
        <f t="shared" si="267"/>
        <v>46</v>
      </c>
      <c r="W1123" s="49">
        <f t="shared" si="267"/>
        <v>26</v>
      </c>
      <c r="X1123" s="49">
        <f t="shared" si="267"/>
        <v>72</v>
      </c>
      <c r="Y1123" s="49">
        <f t="shared" si="267"/>
        <v>62</v>
      </c>
      <c r="Z1123" s="49">
        <f t="shared" si="267"/>
        <v>68</v>
      </c>
      <c r="AA1123" s="49">
        <f t="shared" si="267"/>
        <v>68</v>
      </c>
      <c r="AB1123" s="49">
        <f t="shared" si="267"/>
        <v>11</v>
      </c>
      <c r="AC1123" s="49">
        <f t="shared" si="267"/>
        <v>0</v>
      </c>
      <c r="AD1123" s="53" t="e">
        <f>#REF!*D1123</f>
        <v>#REF!</v>
      </c>
      <c r="AE1123" s="53" t="e">
        <f>AD1123-#REF!</f>
        <v>#REF!</v>
      </c>
      <c r="AF1123" s="9"/>
      <c r="AG1123" s="33" t="e">
        <f>#REF!-D1123</f>
        <v>#REF!</v>
      </c>
    </row>
    <row r="1124" spans="1:33" s="16" customFormat="1" ht="20.399999999999999" outlineLevel="1" x14ac:dyDescent="0.2">
      <c r="A1124" s="62" t="s">
        <v>1348</v>
      </c>
      <c r="B1124" s="14" t="s">
        <v>162</v>
      </c>
      <c r="C1124" s="9" t="s">
        <v>47</v>
      </c>
      <c r="D1124" s="25">
        <f t="shared" si="264"/>
        <v>34</v>
      </c>
      <c r="E1124" s="54"/>
      <c r="F1124" s="78"/>
      <c r="G1124" s="49">
        <f t="shared" ref="G1124:AC1124" si="268">G1130*2</f>
        <v>0</v>
      </c>
      <c r="H1124" s="49">
        <f t="shared" si="268"/>
        <v>12</v>
      </c>
      <c r="I1124" s="49">
        <f t="shared" si="268"/>
        <v>0</v>
      </c>
      <c r="J1124" s="49">
        <f t="shared" si="268"/>
        <v>0</v>
      </c>
      <c r="K1124" s="49">
        <f t="shared" si="268"/>
        <v>0</v>
      </c>
      <c r="L1124" s="49">
        <f t="shared" si="268"/>
        <v>0</v>
      </c>
      <c r="M1124" s="49">
        <f t="shared" si="268"/>
        <v>0</v>
      </c>
      <c r="N1124" s="49">
        <f t="shared" si="268"/>
        <v>0</v>
      </c>
      <c r="O1124" s="49">
        <f t="shared" si="268"/>
        <v>4</v>
      </c>
      <c r="P1124" s="49">
        <f t="shared" si="268"/>
        <v>4</v>
      </c>
      <c r="Q1124" s="49">
        <f t="shared" si="268"/>
        <v>6</v>
      </c>
      <c r="R1124" s="49">
        <f t="shared" si="268"/>
        <v>0</v>
      </c>
      <c r="S1124" s="49">
        <f t="shared" si="268"/>
        <v>0</v>
      </c>
      <c r="T1124" s="49">
        <f t="shared" si="268"/>
        <v>0</v>
      </c>
      <c r="U1124" s="49">
        <f t="shared" si="268"/>
        <v>0</v>
      </c>
      <c r="V1124" s="49">
        <f t="shared" si="268"/>
        <v>2</v>
      </c>
      <c r="W1124" s="49">
        <f t="shared" si="268"/>
        <v>4</v>
      </c>
      <c r="X1124" s="49">
        <f t="shared" si="268"/>
        <v>0</v>
      </c>
      <c r="Y1124" s="49">
        <f t="shared" si="268"/>
        <v>0</v>
      </c>
      <c r="Z1124" s="49">
        <f t="shared" si="268"/>
        <v>2</v>
      </c>
      <c r="AA1124" s="49">
        <f t="shared" si="268"/>
        <v>0</v>
      </c>
      <c r="AB1124" s="49">
        <f t="shared" si="268"/>
        <v>0</v>
      </c>
      <c r="AC1124" s="49">
        <f t="shared" si="268"/>
        <v>0</v>
      </c>
      <c r="AD1124" s="53" t="e">
        <f>#REF!*D1124</f>
        <v>#REF!</v>
      </c>
      <c r="AE1124" s="53" t="e">
        <f>AD1124-#REF!</f>
        <v>#REF!</v>
      </c>
      <c r="AF1124" s="9"/>
      <c r="AG1124" s="33" t="e">
        <f>#REF!-D1124</f>
        <v>#REF!</v>
      </c>
    </row>
    <row r="1125" spans="1:33" s="16" customFormat="1" ht="20.399999999999999" outlineLevel="1" x14ac:dyDescent="0.2">
      <c r="A1125" s="62" t="s">
        <v>1349</v>
      </c>
      <c r="B1125" s="14" t="s">
        <v>1334</v>
      </c>
      <c r="C1125" s="9" t="s">
        <v>47</v>
      </c>
      <c r="D1125" s="25">
        <f t="shared" si="264"/>
        <v>70</v>
      </c>
      <c r="E1125" s="54"/>
      <c r="F1125" s="78"/>
      <c r="G1125" s="49">
        <f t="shared" ref="G1125:AC1125" si="269">G1131*2+G1132</f>
        <v>0</v>
      </c>
      <c r="H1125" s="49">
        <f t="shared" si="269"/>
        <v>15</v>
      </c>
      <c r="I1125" s="49">
        <f t="shared" si="269"/>
        <v>4</v>
      </c>
      <c r="J1125" s="49">
        <f t="shared" si="269"/>
        <v>6</v>
      </c>
      <c r="K1125" s="49">
        <f t="shared" si="269"/>
        <v>3</v>
      </c>
      <c r="L1125" s="49">
        <f t="shared" si="269"/>
        <v>3</v>
      </c>
      <c r="M1125" s="49">
        <f t="shared" si="269"/>
        <v>3</v>
      </c>
      <c r="N1125" s="49">
        <f t="shared" si="269"/>
        <v>3</v>
      </c>
      <c r="O1125" s="49">
        <f t="shared" si="269"/>
        <v>3</v>
      </c>
      <c r="P1125" s="49">
        <f t="shared" si="269"/>
        <v>6</v>
      </c>
      <c r="Q1125" s="49">
        <f t="shared" si="269"/>
        <v>2</v>
      </c>
      <c r="R1125" s="49">
        <f t="shared" si="269"/>
        <v>0</v>
      </c>
      <c r="S1125" s="49">
        <f t="shared" si="269"/>
        <v>0</v>
      </c>
      <c r="T1125" s="49">
        <f t="shared" si="269"/>
        <v>0</v>
      </c>
      <c r="U1125" s="49">
        <f t="shared" si="269"/>
        <v>0</v>
      </c>
      <c r="V1125" s="49">
        <f t="shared" si="269"/>
        <v>3</v>
      </c>
      <c r="W1125" s="49">
        <f t="shared" si="269"/>
        <v>4</v>
      </c>
      <c r="X1125" s="49">
        <f t="shared" si="269"/>
        <v>3</v>
      </c>
      <c r="Y1125" s="49">
        <f t="shared" si="269"/>
        <v>6</v>
      </c>
      <c r="Z1125" s="49">
        <f t="shared" si="269"/>
        <v>3</v>
      </c>
      <c r="AA1125" s="49">
        <f t="shared" si="269"/>
        <v>3</v>
      </c>
      <c r="AB1125" s="49">
        <f t="shared" si="269"/>
        <v>0</v>
      </c>
      <c r="AC1125" s="49">
        <f t="shared" si="269"/>
        <v>0</v>
      </c>
      <c r="AD1125" s="53" t="e">
        <f>#REF!*D1125</f>
        <v>#REF!</v>
      </c>
      <c r="AE1125" s="53" t="e">
        <f>AD1125-#REF!</f>
        <v>#REF!</v>
      </c>
      <c r="AF1125" s="9"/>
      <c r="AG1125" s="33" t="e">
        <f>#REF!-D1125</f>
        <v>#REF!</v>
      </c>
    </row>
    <row r="1126" spans="1:33" s="16" customFormat="1" ht="11.4" outlineLevel="1" x14ac:dyDescent="0.2">
      <c r="A1126" s="62" t="s">
        <v>1350</v>
      </c>
      <c r="B1126" s="11" t="s">
        <v>102</v>
      </c>
      <c r="C1126" s="9" t="s">
        <v>47</v>
      </c>
      <c r="D1126" s="25">
        <f t="shared" si="264"/>
        <v>1277</v>
      </c>
      <c r="E1126" s="54"/>
      <c r="F1126" s="78"/>
      <c r="G1126" s="49">
        <f t="shared" ref="G1126:AC1126" si="270">G1115+G1110</f>
        <v>0</v>
      </c>
      <c r="H1126" s="49">
        <f t="shared" si="270"/>
        <v>120</v>
      </c>
      <c r="I1126" s="49">
        <f t="shared" si="270"/>
        <v>72</v>
      </c>
      <c r="J1126" s="49">
        <f t="shared" si="270"/>
        <v>107</v>
      </c>
      <c r="K1126" s="49">
        <f t="shared" si="270"/>
        <v>35</v>
      </c>
      <c r="L1126" s="49">
        <f t="shared" si="270"/>
        <v>94</v>
      </c>
      <c r="M1126" s="49">
        <f t="shared" si="270"/>
        <v>95</v>
      </c>
      <c r="N1126" s="49">
        <f t="shared" si="270"/>
        <v>95</v>
      </c>
      <c r="O1126" s="49">
        <f t="shared" si="270"/>
        <v>110</v>
      </c>
      <c r="P1126" s="49">
        <f t="shared" si="270"/>
        <v>107</v>
      </c>
      <c r="Q1126" s="49">
        <f t="shared" si="270"/>
        <v>81</v>
      </c>
      <c r="R1126" s="49">
        <f t="shared" si="270"/>
        <v>0</v>
      </c>
      <c r="S1126" s="49">
        <f t="shared" si="270"/>
        <v>0</v>
      </c>
      <c r="T1126" s="49">
        <f t="shared" si="270"/>
        <v>0</v>
      </c>
      <c r="U1126" s="49">
        <f t="shared" si="270"/>
        <v>54</v>
      </c>
      <c r="V1126" s="49">
        <f t="shared" si="270"/>
        <v>51</v>
      </c>
      <c r="W1126" s="49">
        <f t="shared" si="270"/>
        <v>41</v>
      </c>
      <c r="X1126" s="49">
        <f t="shared" si="270"/>
        <v>54</v>
      </c>
      <c r="Y1126" s="49">
        <f t="shared" si="270"/>
        <v>49</v>
      </c>
      <c r="Z1126" s="49">
        <f t="shared" si="270"/>
        <v>53</v>
      </c>
      <c r="AA1126" s="49">
        <f t="shared" si="270"/>
        <v>49</v>
      </c>
      <c r="AB1126" s="49">
        <f t="shared" si="270"/>
        <v>10</v>
      </c>
      <c r="AC1126" s="49">
        <f t="shared" si="270"/>
        <v>0</v>
      </c>
      <c r="AD1126" s="53" t="e">
        <f>#REF!*D1126</f>
        <v>#REF!</v>
      </c>
      <c r="AE1126" s="53" t="e">
        <f>AD1126-#REF!</f>
        <v>#REF!</v>
      </c>
      <c r="AF1126" s="9"/>
      <c r="AG1126" s="33" t="e">
        <f>#REF!-D1126</f>
        <v>#REF!</v>
      </c>
    </row>
    <row r="1127" spans="1:33" s="16" customFormat="1" ht="11.4" outlineLevel="1" x14ac:dyDescent="0.2">
      <c r="A1127" s="62" t="s">
        <v>1351</v>
      </c>
      <c r="B1127" s="11" t="s">
        <v>192</v>
      </c>
      <c r="C1127" s="9" t="s">
        <v>47</v>
      </c>
      <c r="D1127" s="25">
        <f t="shared" si="264"/>
        <v>41</v>
      </c>
      <c r="E1127" s="54"/>
      <c r="F1127" s="78"/>
      <c r="G1127" s="49">
        <f t="shared" ref="G1127:AC1127" si="271">G1111</f>
        <v>0</v>
      </c>
      <c r="H1127" s="49">
        <f t="shared" si="271"/>
        <v>29</v>
      </c>
      <c r="I1127" s="49">
        <f t="shared" si="271"/>
        <v>4</v>
      </c>
      <c r="J1127" s="49">
        <f t="shared" si="271"/>
        <v>2</v>
      </c>
      <c r="K1127" s="49">
        <f t="shared" si="271"/>
        <v>0</v>
      </c>
      <c r="L1127" s="49">
        <f t="shared" si="271"/>
        <v>1</v>
      </c>
      <c r="M1127" s="49">
        <f t="shared" si="271"/>
        <v>0</v>
      </c>
      <c r="N1127" s="49">
        <f t="shared" si="271"/>
        <v>0</v>
      </c>
      <c r="O1127" s="49">
        <f t="shared" si="271"/>
        <v>0</v>
      </c>
      <c r="P1127" s="49">
        <f t="shared" si="271"/>
        <v>0</v>
      </c>
      <c r="Q1127" s="49">
        <f t="shared" si="271"/>
        <v>0</v>
      </c>
      <c r="R1127" s="49">
        <f t="shared" si="271"/>
        <v>0</v>
      </c>
      <c r="S1127" s="49">
        <f t="shared" si="271"/>
        <v>0</v>
      </c>
      <c r="T1127" s="49">
        <f t="shared" si="271"/>
        <v>0</v>
      </c>
      <c r="U1127" s="49">
        <f t="shared" si="271"/>
        <v>4</v>
      </c>
      <c r="V1127" s="49">
        <f t="shared" si="271"/>
        <v>0</v>
      </c>
      <c r="W1127" s="49">
        <f t="shared" si="271"/>
        <v>0</v>
      </c>
      <c r="X1127" s="49">
        <f t="shared" si="271"/>
        <v>1</v>
      </c>
      <c r="Y1127" s="49">
        <f t="shared" si="271"/>
        <v>0</v>
      </c>
      <c r="Z1127" s="49">
        <f t="shared" si="271"/>
        <v>0</v>
      </c>
      <c r="AA1127" s="49">
        <f t="shared" si="271"/>
        <v>0</v>
      </c>
      <c r="AB1127" s="49">
        <f t="shared" si="271"/>
        <v>0</v>
      </c>
      <c r="AC1127" s="49">
        <f t="shared" si="271"/>
        <v>0</v>
      </c>
      <c r="AD1127" s="53" t="e">
        <f>#REF!*D1127</f>
        <v>#REF!</v>
      </c>
      <c r="AE1127" s="53" t="e">
        <f>AD1127-#REF!</f>
        <v>#REF!</v>
      </c>
      <c r="AF1127" s="9"/>
      <c r="AG1127" s="33" t="e">
        <f>#REF!-D1127</f>
        <v>#REF!</v>
      </c>
    </row>
    <row r="1128" spans="1:33" s="16" customFormat="1" ht="20.399999999999999" outlineLevel="1" x14ac:dyDescent="0.2">
      <c r="A1128" s="62" t="s">
        <v>1352</v>
      </c>
      <c r="B1128" s="80" t="s">
        <v>1335</v>
      </c>
      <c r="C1128" s="9" t="s">
        <v>47</v>
      </c>
      <c r="D1128" s="25">
        <f t="shared" si="264"/>
        <v>29</v>
      </c>
      <c r="E1128" s="54"/>
      <c r="F1128" s="78"/>
      <c r="G1128" s="9">
        <v>0</v>
      </c>
      <c r="H1128" s="49">
        <f t="shared" ref="H1128:R1128" si="272">H1703</f>
        <v>12</v>
      </c>
      <c r="I1128" s="49">
        <f t="shared" si="272"/>
        <v>0</v>
      </c>
      <c r="J1128" s="49">
        <f t="shared" si="272"/>
        <v>0</v>
      </c>
      <c r="K1128" s="49">
        <f t="shared" si="272"/>
        <v>0</v>
      </c>
      <c r="L1128" s="49">
        <f t="shared" si="272"/>
        <v>0</v>
      </c>
      <c r="M1128" s="49">
        <f t="shared" si="272"/>
        <v>2</v>
      </c>
      <c r="N1128" s="49">
        <f t="shared" si="272"/>
        <v>2</v>
      </c>
      <c r="O1128" s="49">
        <f t="shared" si="272"/>
        <v>6</v>
      </c>
      <c r="P1128" s="49">
        <f t="shared" si="272"/>
        <v>6</v>
      </c>
      <c r="Q1128" s="49">
        <f t="shared" si="272"/>
        <v>0</v>
      </c>
      <c r="R1128" s="49">
        <f t="shared" si="272"/>
        <v>0</v>
      </c>
      <c r="S1128" s="9">
        <v>0</v>
      </c>
      <c r="T1128" s="9">
        <v>0</v>
      </c>
      <c r="U1128" s="9">
        <v>0</v>
      </c>
      <c r="V1128" s="9">
        <v>0</v>
      </c>
      <c r="W1128" s="9">
        <v>0</v>
      </c>
      <c r="X1128" s="9">
        <v>0</v>
      </c>
      <c r="Y1128" s="9">
        <v>0</v>
      </c>
      <c r="Z1128" s="9">
        <v>0</v>
      </c>
      <c r="AA1128" s="9">
        <v>0</v>
      </c>
      <c r="AB1128" s="9">
        <v>1</v>
      </c>
      <c r="AC1128" s="9">
        <v>0</v>
      </c>
      <c r="AD1128" s="53" t="e">
        <f>#REF!*D1128</f>
        <v>#REF!</v>
      </c>
      <c r="AE1128" s="53" t="e">
        <f>AD1128-#REF!</f>
        <v>#REF!</v>
      </c>
      <c r="AF1128" s="9"/>
      <c r="AG1128" s="33" t="e">
        <f>#REF!-D1128</f>
        <v>#REF!</v>
      </c>
    </row>
    <row r="1129" spans="1:33" s="16" customFormat="1" ht="20.399999999999999" outlineLevel="1" x14ac:dyDescent="0.2">
      <c r="A1129" s="62" t="s">
        <v>1353</v>
      </c>
      <c r="B1129" s="80" t="s">
        <v>1336</v>
      </c>
      <c r="C1129" s="9" t="s">
        <v>47</v>
      </c>
      <c r="D1129" s="25">
        <f t="shared" si="264"/>
        <v>539</v>
      </c>
      <c r="E1129" s="54"/>
      <c r="F1129" s="78"/>
      <c r="G1129" s="9">
        <v>0</v>
      </c>
      <c r="H1129" s="9">
        <f>60-25</f>
        <v>35</v>
      </c>
      <c r="I1129" s="9">
        <v>32</v>
      </c>
      <c r="J1129" s="9">
        <f>60-12</f>
        <v>48</v>
      </c>
      <c r="K1129" s="9">
        <f>65-26</f>
        <v>39</v>
      </c>
      <c r="L1129" s="9">
        <f>52-14</f>
        <v>38</v>
      </c>
      <c r="M1129" s="9">
        <v>33</v>
      </c>
      <c r="N1129" s="9">
        <v>33</v>
      </c>
      <c r="O1129" s="9">
        <v>31</v>
      </c>
      <c r="P1129" s="9">
        <v>48</v>
      </c>
      <c r="Q1129" s="9">
        <v>0</v>
      </c>
      <c r="R1129" s="9">
        <v>0</v>
      </c>
      <c r="S1129" s="9">
        <v>0</v>
      </c>
      <c r="T1129" s="9">
        <v>0</v>
      </c>
      <c r="U1129" s="9">
        <f>26+1</f>
        <v>27</v>
      </c>
      <c r="V1129" s="9">
        <f>22+1</f>
        <v>23</v>
      </c>
      <c r="W1129" s="9">
        <f>11+1</f>
        <v>12</v>
      </c>
      <c r="X1129" s="9">
        <f>32+4</f>
        <v>36</v>
      </c>
      <c r="Y1129" s="9">
        <v>31</v>
      </c>
      <c r="Z1129" s="9">
        <f>33+1</f>
        <v>34</v>
      </c>
      <c r="AA1129" s="9">
        <f>33+1</f>
        <v>34</v>
      </c>
      <c r="AB1129" s="9">
        <v>5</v>
      </c>
      <c r="AC1129" s="9">
        <v>0</v>
      </c>
      <c r="AD1129" s="53" t="e">
        <f>#REF!*D1129</f>
        <v>#REF!</v>
      </c>
      <c r="AE1129" s="53" t="e">
        <f>AD1129-#REF!</f>
        <v>#REF!</v>
      </c>
      <c r="AF1129" s="9"/>
      <c r="AG1129" s="33" t="e">
        <f>#REF!-D1129</f>
        <v>#REF!</v>
      </c>
    </row>
    <row r="1130" spans="1:33" s="16" customFormat="1" ht="20.399999999999999" outlineLevel="1" x14ac:dyDescent="0.2">
      <c r="A1130" s="62" t="s">
        <v>1354</v>
      </c>
      <c r="B1130" s="80" t="s">
        <v>1337</v>
      </c>
      <c r="C1130" s="9" t="s">
        <v>47</v>
      </c>
      <c r="D1130" s="25">
        <f t="shared" si="264"/>
        <v>17</v>
      </c>
      <c r="E1130" s="54"/>
      <c r="F1130" s="78"/>
      <c r="G1130" s="9">
        <v>0</v>
      </c>
      <c r="H1130" s="9">
        <v>6</v>
      </c>
      <c r="I1130" s="9">
        <v>0</v>
      </c>
      <c r="J1130" s="9">
        <v>0</v>
      </c>
      <c r="K1130" s="9">
        <v>0</v>
      </c>
      <c r="L1130" s="9">
        <v>0</v>
      </c>
      <c r="M1130" s="9">
        <v>0</v>
      </c>
      <c r="N1130" s="9">
        <v>0</v>
      </c>
      <c r="O1130" s="9">
        <v>2</v>
      </c>
      <c r="P1130" s="9">
        <v>2</v>
      </c>
      <c r="Q1130" s="9">
        <v>3</v>
      </c>
      <c r="R1130" s="9">
        <v>0</v>
      </c>
      <c r="S1130" s="9">
        <v>0</v>
      </c>
      <c r="T1130" s="9">
        <v>0</v>
      </c>
      <c r="U1130" s="9">
        <v>0</v>
      </c>
      <c r="V1130" s="9">
        <v>1</v>
      </c>
      <c r="W1130" s="9">
        <v>2</v>
      </c>
      <c r="X1130" s="9">
        <v>0</v>
      </c>
      <c r="Y1130" s="9">
        <v>0</v>
      </c>
      <c r="Z1130" s="9">
        <v>1</v>
      </c>
      <c r="AA1130" s="9">
        <v>0</v>
      </c>
      <c r="AB1130" s="9">
        <v>0</v>
      </c>
      <c r="AC1130" s="9">
        <v>0</v>
      </c>
      <c r="AD1130" s="53" t="e">
        <f>#REF!*D1130</f>
        <v>#REF!</v>
      </c>
      <c r="AE1130" s="53" t="e">
        <f>AD1130-#REF!</f>
        <v>#REF!</v>
      </c>
      <c r="AF1130" s="9"/>
      <c r="AG1130" s="33" t="e">
        <f>#REF!-D1130</f>
        <v>#REF!</v>
      </c>
    </row>
    <row r="1131" spans="1:33" s="16" customFormat="1" ht="20.399999999999999" outlineLevel="1" x14ac:dyDescent="0.2">
      <c r="A1131" s="62" t="s">
        <v>1355</v>
      </c>
      <c r="B1131" s="80" t="s">
        <v>1338</v>
      </c>
      <c r="C1131" s="9" t="s">
        <v>47</v>
      </c>
      <c r="D1131" s="25">
        <f t="shared" si="264"/>
        <v>26</v>
      </c>
      <c r="E1131" s="54"/>
      <c r="F1131" s="78"/>
      <c r="G1131" s="9">
        <v>0</v>
      </c>
      <c r="H1131" s="9">
        <v>7</v>
      </c>
      <c r="I1131" s="9">
        <v>1</v>
      </c>
      <c r="J1131" s="9">
        <v>2</v>
      </c>
      <c r="K1131" s="9">
        <v>1</v>
      </c>
      <c r="L1131" s="9">
        <v>1</v>
      </c>
      <c r="M1131" s="9">
        <v>1</v>
      </c>
      <c r="N1131" s="9">
        <v>1</v>
      </c>
      <c r="O1131" s="9">
        <v>1</v>
      </c>
      <c r="P1131" s="9">
        <v>2</v>
      </c>
      <c r="Q1131" s="9">
        <v>1</v>
      </c>
      <c r="R1131" s="9">
        <v>0</v>
      </c>
      <c r="S1131" s="9">
        <v>0</v>
      </c>
      <c r="T1131" s="9">
        <v>0</v>
      </c>
      <c r="U1131" s="9">
        <v>0</v>
      </c>
      <c r="V1131" s="9">
        <v>1</v>
      </c>
      <c r="W1131" s="9">
        <v>2</v>
      </c>
      <c r="X1131" s="9">
        <v>1</v>
      </c>
      <c r="Y1131" s="9">
        <v>2</v>
      </c>
      <c r="Z1131" s="9">
        <v>1</v>
      </c>
      <c r="AA1131" s="9">
        <v>1</v>
      </c>
      <c r="AB1131" s="9">
        <v>0</v>
      </c>
      <c r="AC1131" s="9">
        <v>0</v>
      </c>
      <c r="AD1131" s="53" t="e">
        <f>#REF!*D1131</f>
        <v>#REF!</v>
      </c>
      <c r="AE1131" s="53" t="e">
        <f>AD1131-#REF!</f>
        <v>#REF!</v>
      </c>
      <c r="AF1131" s="9"/>
      <c r="AG1131" s="33" t="e">
        <f>#REF!-D1131</f>
        <v>#REF!</v>
      </c>
    </row>
    <row r="1132" spans="1:33" s="16" customFormat="1" ht="20.399999999999999" outlineLevel="1" x14ac:dyDescent="0.2">
      <c r="A1132" s="62" t="s">
        <v>1356</v>
      </c>
      <c r="B1132" s="80" t="s">
        <v>1362</v>
      </c>
      <c r="C1132" s="9" t="s">
        <v>47</v>
      </c>
      <c r="D1132" s="25">
        <f t="shared" si="264"/>
        <v>18</v>
      </c>
      <c r="E1132" s="54"/>
      <c r="F1132" s="9"/>
      <c r="G1132" s="9">
        <v>0</v>
      </c>
      <c r="H1132" s="9">
        <v>1</v>
      </c>
      <c r="I1132" s="9">
        <v>2</v>
      </c>
      <c r="J1132" s="9">
        <v>2</v>
      </c>
      <c r="K1132" s="9">
        <v>1</v>
      </c>
      <c r="L1132" s="9">
        <v>1</v>
      </c>
      <c r="M1132" s="9">
        <v>1</v>
      </c>
      <c r="N1132" s="9">
        <v>1</v>
      </c>
      <c r="O1132" s="9">
        <v>1</v>
      </c>
      <c r="P1132" s="9">
        <v>2</v>
      </c>
      <c r="Q1132" s="9">
        <v>0</v>
      </c>
      <c r="R1132" s="9">
        <v>0</v>
      </c>
      <c r="S1132" s="9">
        <v>0</v>
      </c>
      <c r="T1132" s="9">
        <v>0</v>
      </c>
      <c r="U1132" s="9">
        <v>0</v>
      </c>
      <c r="V1132" s="9">
        <v>1</v>
      </c>
      <c r="W1132" s="9">
        <v>0</v>
      </c>
      <c r="X1132" s="9">
        <v>1</v>
      </c>
      <c r="Y1132" s="9">
        <v>2</v>
      </c>
      <c r="Z1132" s="9">
        <v>1</v>
      </c>
      <c r="AA1132" s="9">
        <v>1</v>
      </c>
      <c r="AB1132" s="9">
        <v>0</v>
      </c>
      <c r="AC1132" s="9">
        <v>0</v>
      </c>
      <c r="AD1132" s="53" t="e">
        <f>#REF!*D1132</f>
        <v>#REF!</v>
      </c>
      <c r="AE1132" s="53" t="e">
        <f>AD1132-#REF!</f>
        <v>#REF!</v>
      </c>
      <c r="AF1132" s="9"/>
      <c r="AG1132" s="33" t="e">
        <f>#REF!-D1132</f>
        <v>#REF!</v>
      </c>
    </row>
    <row r="1133" spans="1:33" s="16" customFormat="1" ht="20.399999999999999" outlineLevel="1" x14ac:dyDescent="0.2">
      <c r="A1133" s="62" t="s">
        <v>1357</v>
      </c>
      <c r="B1133" s="47" t="s">
        <v>1924</v>
      </c>
      <c r="C1133" s="9" t="s">
        <v>47</v>
      </c>
      <c r="D1133" s="25">
        <f t="shared" si="264"/>
        <v>2</v>
      </c>
      <c r="E1133" s="54"/>
      <c r="F1133" s="9"/>
      <c r="G1133" s="9">
        <v>0</v>
      </c>
      <c r="H1133" s="9">
        <v>0</v>
      </c>
      <c r="I1133" s="9">
        <v>0</v>
      </c>
      <c r="J1133" s="9">
        <v>0</v>
      </c>
      <c r="K1133" s="9">
        <v>0</v>
      </c>
      <c r="L1133" s="9">
        <v>0</v>
      </c>
      <c r="M1133" s="9">
        <v>0</v>
      </c>
      <c r="N1133" s="9">
        <v>0</v>
      </c>
      <c r="O1133" s="9">
        <v>0</v>
      </c>
      <c r="P1133" s="9">
        <v>0</v>
      </c>
      <c r="Q1133" s="9">
        <v>0</v>
      </c>
      <c r="R1133" s="9">
        <v>0</v>
      </c>
      <c r="S1133" s="9">
        <v>0</v>
      </c>
      <c r="T1133" s="9">
        <v>0</v>
      </c>
      <c r="U1133" s="9">
        <v>0</v>
      </c>
      <c r="V1133" s="9">
        <v>0</v>
      </c>
      <c r="W1133" s="9">
        <v>2</v>
      </c>
      <c r="X1133" s="9">
        <v>0</v>
      </c>
      <c r="Y1133" s="9">
        <v>0</v>
      </c>
      <c r="Z1133" s="9">
        <v>0</v>
      </c>
      <c r="AA1133" s="9">
        <v>0</v>
      </c>
      <c r="AB1133" s="9">
        <v>0</v>
      </c>
      <c r="AC1133" s="9">
        <v>0</v>
      </c>
      <c r="AD1133" s="53" t="e">
        <f>#REF!*D1133</f>
        <v>#REF!</v>
      </c>
      <c r="AE1133" s="53" t="e">
        <f>AD1133-#REF!</f>
        <v>#REF!</v>
      </c>
      <c r="AF1133" s="9"/>
      <c r="AG1133" s="33" t="e">
        <f>#REF!-D1133</f>
        <v>#REF!</v>
      </c>
    </row>
    <row r="1134" spans="1:33" s="16" customFormat="1" ht="20.399999999999999" outlineLevel="1" x14ac:dyDescent="0.2">
      <c r="A1134" s="62" t="s">
        <v>1358</v>
      </c>
      <c r="B1134" s="80" t="s">
        <v>362</v>
      </c>
      <c r="C1134" s="9" t="s">
        <v>47</v>
      </c>
      <c r="D1134" s="25">
        <f t="shared" si="264"/>
        <v>2</v>
      </c>
      <c r="E1134" s="54"/>
      <c r="F1134" s="9"/>
      <c r="G1134" s="9">
        <v>0</v>
      </c>
      <c r="H1134" s="9">
        <v>2</v>
      </c>
      <c r="I1134" s="9">
        <v>0</v>
      </c>
      <c r="J1134" s="9">
        <v>0</v>
      </c>
      <c r="K1134" s="9">
        <v>0</v>
      </c>
      <c r="L1134" s="9">
        <v>0</v>
      </c>
      <c r="M1134" s="9">
        <v>0</v>
      </c>
      <c r="N1134" s="9">
        <v>0</v>
      </c>
      <c r="O1134" s="9">
        <v>0</v>
      </c>
      <c r="P1134" s="9">
        <v>0</v>
      </c>
      <c r="Q1134" s="9">
        <v>0</v>
      </c>
      <c r="R1134" s="9">
        <v>0</v>
      </c>
      <c r="S1134" s="9">
        <v>0</v>
      </c>
      <c r="T1134" s="9">
        <v>0</v>
      </c>
      <c r="U1134" s="9">
        <v>0</v>
      </c>
      <c r="V1134" s="9">
        <v>0</v>
      </c>
      <c r="W1134" s="9">
        <v>0</v>
      </c>
      <c r="X1134" s="9">
        <v>0</v>
      </c>
      <c r="Y1134" s="9">
        <v>0</v>
      </c>
      <c r="Z1134" s="9">
        <v>0</v>
      </c>
      <c r="AA1134" s="9">
        <v>0</v>
      </c>
      <c r="AB1134" s="9">
        <v>0</v>
      </c>
      <c r="AC1134" s="9">
        <v>0</v>
      </c>
      <c r="AD1134" s="53" t="e">
        <f>#REF!*D1134</f>
        <v>#REF!</v>
      </c>
      <c r="AE1134" s="53" t="e">
        <f>AD1134-#REF!</f>
        <v>#REF!</v>
      </c>
      <c r="AF1134" s="9"/>
      <c r="AG1134" s="33" t="e">
        <f>#REF!-D1134</f>
        <v>#REF!</v>
      </c>
    </row>
    <row r="1135" spans="1:33" s="16" customFormat="1" ht="11.4" outlineLevel="1" x14ac:dyDescent="0.2">
      <c r="A1135" s="62" t="s">
        <v>1359</v>
      </c>
      <c r="B1135" s="11" t="s">
        <v>105</v>
      </c>
      <c r="C1135" s="8" t="s">
        <v>50</v>
      </c>
      <c r="D1135" s="25">
        <f t="shared" si="264"/>
        <v>155</v>
      </c>
      <c r="E1135" s="54"/>
      <c r="F1135" s="78"/>
      <c r="G1135" s="73">
        <f t="shared" ref="G1135:AC1135" si="273">MROUND(SUM(G1126:G1131)/12.5,1)</f>
        <v>0</v>
      </c>
      <c r="H1135" s="73">
        <f t="shared" si="273"/>
        <v>17</v>
      </c>
      <c r="I1135" s="73">
        <f t="shared" si="273"/>
        <v>9</v>
      </c>
      <c r="J1135" s="73">
        <f t="shared" si="273"/>
        <v>13</v>
      </c>
      <c r="K1135" s="73">
        <f t="shared" si="273"/>
        <v>6</v>
      </c>
      <c r="L1135" s="73">
        <f t="shared" si="273"/>
        <v>11</v>
      </c>
      <c r="M1135" s="73">
        <f t="shared" si="273"/>
        <v>10</v>
      </c>
      <c r="N1135" s="73">
        <f t="shared" si="273"/>
        <v>10</v>
      </c>
      <c r="O1135" s="73">
        <f t="shared" si="273"/>
        <v>12</v>
      </c>
      <c r="P1135" s="73">
        <f t="shared" si="273"/>
        <v>13</v>
      </c>
      <c r="Q1135" s="73">
        <f t="shared" si="273"/>
        <v>7</v>
      </c>
      <c r="R1135" s="73">
        <f t="shared" si="273"/>
        <v>0</v>
      </c>
      <c r="S1135" s="73">
        <f t="shared" si="273"/>
        <v>0</v>
      </c>
      <c r="T1135" s="73">
        <f t="shared" si="273"/>
        <v>0</v>
      </c>
      <c r="U1135" s="73">
        <f t="shared" si="273"/>
        <v>7</v>
      </c>
      <c r="V1135" s="73">
        <f t="shared" si="273"/>
        <v>6</v>
      </c>
      <c r="W1135" s="73">
        <f t="shared" si="273"/>
        <v>5</v>
      </c>
      <c r="X1135" s="73">
        <f t="shared" si="273"/>
        <v>7</v>
      </c>
      <c r="Y1135" s="73">
        <f t="shared" si="273"/>
        <v>7</v>
      </c>
      <c r="Z1135" s="73">
        <f t="shared" si="273"/>
        <v>7</v>
      </c>
      <c r="AA1135" s="73">
        <f t="shared" si="273"/>
        <v>7</v>
      </c>
      <c r="AB1135" s="73">
        <f t="shared" si="273"/>
        <v>1</v>
      </c>
      <c r="AC1135" s="73">
        <f t="shared" si="273"/>
        <v>0</v>
      </c>
      <c r="AD1135" s="53" t="e">
        <f>#REF!*D1135</f>
        <v>#REF!</v>
      </c>
      <c r="AE1135" s="53" t="e">
        <f>AD1135-#REF!</f>
        <v>#REF!</v>
      </c>
      <c r="AF1135" s="9"/>
      <c r="AG1135" s="33" t="e">
        <f>#REF!-D1135</f>
        <v>#REF!</v>
      </c>
    </row>
    <row r="1136" spans="1:33" s="16" customFormat="1" ht="11.4" outlineLevel="1" x14ac:dyDescent="0.2">
      <c r="A1136" s="62" t="s">
        <v>1360</v>
      </c>
      <c r="B1136" s="11" t="s">
        <v>1339</v>
      </c>
      <c r="C1136" s="9" t="s">
        <v>0</v>
      </c>
      <c r="D1136" s="25">
        <f t="shared" si="264"/>
        <v>260</v>
      </c>
      <c r="E1136" s="54"/>
      <c r="F1136" s="78"/>
      <c r="G1136" s="73">
        <f t="shared" ref="G1136:AC1136" si="274">MROUND(SUM(G1105:G1126)*3.5/90,1)</f>
        <v>0</v>
      </c>
      <c r="H1136" s="73">
        <f t="shared" si="274"/>
        <v>27</v>
      </c>
      <c r="I1136" s="73">
        <f t="shared" si="274"/>
        <v>14</v>
      </c>
      <c r="J1136" s="73">
        <f t="shared" si="274"/>
        <v>21</v>
      </c>
      <c r="K1136" s="73">
        <f t="shared" si="274"/>
        <v>8</v>
      </c>
      <c r="L1136" s="73">
        <f t="shared" si="274"/>
        <v>19</v>
      </c>
      <c r="M1136" s="73">
        <f t="shared" si="274"/>
        <v>20</v>
      </c>
      <c r="N1136" s="73">
        <f t="shared" si="274"/>
        <v>20</v>
      </c>
      <c r="O1136" s="73">
        <f t="shared" si="274"/>
        <v>23</v>
      </c>
      <c r="P1136" s="73">
        <f t="shared" si="274"/>
        <v>22</v>
      </c>
      <c r="Q1136" s="73">
        <f t="shared" si="274"/>
        <v>11</v>
      </c>
      <c r="R1136" s="73">
        <f t="shared" si="274"/>
        <v>0</v>
      </c>
      <c r="S1136" s="73">
        <f t="shared" si="274"/>
        <v>0</v>
      </c>
      <c r="T1136" s="73">
        <f t="shared" si="274"/>
        <v>0</v>
      </c>
      <c r="U1136" s="73">
        <f t="shared" si="274"/>
        <v>10</v>
      </c>
      <c r="V1136" s="73">
        <f t="shared" si="274"/>
        <v>8</v>
      </c>
      <c r="W1136" s="73">
        <f t="shared" si="274"/>
        <v>8</v>
      </c>
      <c r="X1136" s="73">
        <f t="shared" si="274"/>
        <v>13</v>
      </c>
      <c r="Y1136" s="73">
        <f t="shared" si="274"/>
        <v>11</v>
      </c>
      <c r="Z1136" s="73">
        <f t="shared" si="274"/>
        <v>12</v>
      </c>
      <c r="AA1136" s="73">
        <f t="shared" si="274"/>
        <v>11</v>
      </c>
      <c r="AB1136" s="73">
        <f t="shared" si="274"/>
        <v>2</v>
      </c>
      <c r="AC1136" s="73">
        <f t="shared" si="274"/>
        <v>0</v>
      </c>
      <c r="AD1136" s="53" t="e">
        <f>#REF!*D1136</f>
        <v>#REF!</v>
      </c>
      <c r="AE1136" s="53" t="e">
        <f>AD1136-#REF!</f>
        <v>#REF!</v>
      </c>
      <c r="AF1136" s="9"/>
      <c r="AG1136" s="33" t="e">
        <f>#REF!-D1136</f>
        <v>#REF!</v>
      </c>
    </row>
    <row r="1137" spans="1:37" s="16" customFormat="1" ht="20.399999999999999" outlineLevel="1" x14ac:dyDescent="0.2">
      <c r="A1137" s="62" t="s">
        <v>1361</v>
      </c>
      <c r="B1137" s="14" t="s">
        <v>106</v>
      </c>
      <c r="C1137" s="8" t="s">
        <v>49</v>
      </c>
      <c r="D1137" s="25">
        <f t="shared" si="264"/>
        <v>23</v>
      </c>
      <c r="E1137" s="54"/>
      <c r="F1137" s="78"/>
      <c r="G1137" s="73">
        <f t="shared" ref="G1137:AC1137" si="275">MROUND(G1136*0.075,1)</f>
        <v>0</v>
      </c>
      <c r="H1137" s="73">
        <f t="shared" si="275"/>
        <v>2</v>
      </c>
      <c r="I1137" s="73">
        <f t="shared" si="275"/>
        <v>1</v>
      </c>
      <c r="J1137" s="73">
        <f t="shared" si="275"/>
        <v>2</v>
      </c>
      <c r="K1137" s="73">
        <f t="shared" si="275"/>
        <v>1</v>
      </c>
      <c r="L1137" s="73">
        <f t="shared" si="275"/>
        <v>1</v>
      </c>
      <c r="M1137" s="73">
        <f t="shared" si="275"/>
        <v>2</v>
      </c>
      <c r="N1137" s="73">
        <f t="shared" si="275"/>
        <v>2</v>
      </c>
      <c r="O1137" s="73">
        <f t="shared" si="275"/>
        <v>2</v>
      </c>
      <c r="P1137" s="73">
        <f t="shared" si="275"/>
        <v>2</v>
      </c>
      <c r="Q1137" s="73">
        <f t="shared" si="275"/>
        <v>1</v>
      </c>
      <c r="R1137" s="73">
        <f t="shared" si="275"/>
        <v>0</v>
      </c>
      <c r="S1137" s="73">
        <f t="shared" si="275"/>
        <v>0</v>
      </c>
      <c r="T1137" s="73">
        <f t="shared" si="275"/>
        <v>0</v>
      </c>
      <c r="U1137" s="73">
        <f t="shared" si="275"/>
        <v>1</v>
      </c>
      <c r="V1137" s="73">
        <f t="shared" si="275"/>
        <v>1</v>
      </c>
      <c r="W1137" s="73">
        <f t="shared" si="275"/>
        <v>1</v>
      </c>
      <c r="X1137" s="73">
        <f t="shared" si="275"/>
        <v>1</v>
      </c>
      <c r="Y1137" s="73">
        <f t="shared" si="275"/>
        <v>1</v>
      </c>
      <c r="Z1137" s="73">
        <f t="shared" si="275"/>
        <v>1</v>
      </c>
      <c r="AA1137" s="73">
        <f t="shared" si="275"/>
        <v>1</v>
      </c>
      <c r="AB1137" s="73">
        <f t="shared" si="275"/>
        <v>0</v>
      </c>
      <c r="AC1137" s="73">
        <f t="shared" si="275"/>
        <v>0</v>
      </c>
      <c r="AD1137" s="53" t="e">
        <f>#REF!*D1137</f>
        <v>#REF!</v>
      </c>
      <c r="AE1137" s="53" t="e">
        <f>AD1137-#REF!</f>
        <v>#REF!</v>
      </c>
      <c r="AF1137" s="9"/>
      <c r="AG1137" s="33" t="e">
        <f>#REF!-D1137</f>
        <v>#REF!</v>
      </c>
    </row>
    <row r="1138" spans="1:37" s="16" customFormat="1" ht="11.4" outlineLevel="1" x14ac:dyDescent="0.2">
      <c r="A1138" s="62" t="s">
        <v>1363</v>
      </c>
      <c r="B1138" s="11" t="s">
        <v>108</v>
      </c>
      <c r="C1138" s="8" t="s">
        <v>47</v>
      </c>
      <c r="D1138" s="25">
        <f t="shared" si="264"/>
        <v>92</v>
      </c>
      <c r="E1138" s="54"/>
      <c r="F1138" s="78"/>
      <c r="G1138" s="73">
        <f t="shared" ref="G1138:AC1138" si="276">G1137*4</f>
        <v>0</v>
      </c>
      <c r="H1138" s="73">
        <f t="shared" si="276"/>
        <v>8</v>
      </c>
      <c r="I1138" s="73">
        <f t="shared" si="276"/>
        <v>4</v>
      </c>
      <c r="J1138" s="73">
        <f t="shared" si="276"/>
        <v>8</v>
      </c>
      <c r="K1138" s="73">
        <f t="shared" si="276"/>
        <v>4</v>
      </c>
      <c r="L1138" s="73">
        <f t="shared" si="276"/>
        <v>4</v>
      </c>
      <c r="M1138" s="73">
        <f t="shared" si="276"/>
        <v>8</v>
      </c>
      <c r="N1138" s="73">
        <f t="shared" si="276"/>
        <v>8</v>
      </c>
      <c r="O1138" s="73">
        <f t="shared" si="276"/>
        <v>8</v>
      </c>
      <c r="P1138" s="73">
        <f t="shared" si="276"/>
        <v>8</v>
      </c>
      <c r="Q1138" s="73">
        <f t="shared" si="276"/>
        <v>4</v>
      </c>
      <c r="R1138" s="73">
        <f t="shared" si="276"/>
        <v>0</v>
      </c>
      <c r="S1138" s="73">
        <f t="shared" si="276"/>
        <v>0</v>
      </c>
      <c r="T1138" s="73">
        <f t="shared" si="276"/>
        <v>0</v>
      </c>
      <c r="U1138" s="73">
        <f t="shared" si="276"/>
        <v>4</v>
      </c>
      <c r="V1138" s="73">
        <f t="shared" si="276"/>
        <v>4</v>
      </c>
      <c r="W1138" s="73">
        <f t="shared" si="276"/>
        <v>4</v>
      </c>
      <c r="X1138" s="73">
        <f t="shared" si="276"/>
        <v>4</v>
      </c>
      <c r="Y1138" s="73">
        <f t="shared" si="276"/>
        <v>4</v>
      </c>
      <c r="Z1138" s="73">
        <f t="shared" si="276"/>
        <v>4</v>
      </c>
      <c r="AA1138" s="73">
        <f t="shared" si="276"/>
        <v>4</v>
      </c>
      <c r="AB1138" s="73">
        <f t="shared" si="276"/>
        <v>0</v>
      </c>
      <c r="AC1138" s="73">
        <f t="shared" si="276"/>
        <v>0</v>
      </c>
      <c r="AD1138" s="53" t="e">
        <f>#REF!*D1138</f>
        <v>#REF!</v>
      </c>
      <c r="AE1138" s="53" t="e">
        <f>AD1138-#REF!</f>
        <v>#REF!</v>
      </c>
      <c r="AF1138" s="9"/>
      <c r="AG1138" s="33" t="e">
        <f>#REF!-D1138</f>
        <v>#REF!</v>
      </c>
    </row>
    <row r="1139" spans="1:37" s="16" customFormat="1" ht="11.4" outlineLevel="1" x14ac:dyDescent="0.2">
      <c r="A1139" s="62" t="s">
        <v>1364</v>
      </c>
      <c r="B1139" s="11" t="s">
        <v>107</v>
      </c>
      <c r="C1139" s="8" t="s">
        <v>47</v>
      </c>
      <c r="D1139" s="25">
        <f t="shared" si="264"/>
        <v>34.5</v>
      </c>
      <c r="E1139" s="54"/>
      <c r="F1139" s="78"/>
      <c r="G1139" s="73">
        <f t="shared" ref="G1139:AC1139" si="277">G1137*1.5</f>
        <v>0</v>
      </c>
      <c r="H1139" s="73">
        <f t="shared" si="277"/>
        <v>3</v>
      </c>
      <c r="I1139" s="73">
        <f t="shared" si="277"/>
        <v>1.5</v>
      </c>
      <c r="J1139" s="73">
        <f t="shared" si="277"/>
        <v>3</v>
      </c>
      <c r="K1139" s="73">
        <f t="shared" si="277"/>
        <v>1.5</v>
      </c>
      <c r="L1139" s="73">
        <f t="shared" si="277"/>
        <v>1.5</v>
      </c>
      <c r="M1139" s="73">
        <f t="shared" si="277"/>
        <v>3</v>
      </c>
      <c r="N1139" s="73">
        <f t="shared" si="277"/>
        <v>3</v>
      </c>
      <c r="O1139" s="73">
        <f t="shared" si="277"/>
        <v>3</v>
      </c>
      <c r="P1139" s="73">
        <f t="shared" si="277"/>
        <v>3</v>
      </c>
      <c r="Q1139" s="73">
        <f t="shared" si="277"/>
        <v>1.5</v>
      </c>
      <c r="R1139" s="73">
        <f t="shared" si="277"/>
        <v>0</v>
      </c>
      <c r="S1139" s="73">
        <f t="shared" si="277"/>
        <v>0</v>
      </c>
      <c r="T1139" s="73">
        <f t="shared" si="277"/>
        <v>0</v>
      </c>
      <c r="U1139" s="73">
        <f t="shared" si="277"/>
        <v>1.5</v>
      </c>
      <c r="V1139" s="73">
        <f t="shared" si="277"/>
        <v>1.5</v>
      </c>
      <c r="W1139" s="73">
        <f t="shared" si="277"/>
        <v>1.5</v>
      </c>
      <c r="X1139" s="73">
        <f t="shared" si="277"/>
        <v>1.5</v>
      </c>
      <c r="Y1139" s="73">
        <f t="shared" si="277"/>
        <v>1.5</v>
      </c>
      <c r="Z1139" s="73">
        <f t="shared" si="277"/>
        <v>1.5</v>
      </c>
      <c r="AA1139" s="73">
        <f t="shared" si="277"/>
        <v>1.5</v>
      </c>
      <c r="AB1139" s="73">
        <f t="shared" si="277"/>
        <v>0</v>
      </c>
      <c r="AC1139" s="73">
        <f t="shared" si="277"/>
        <v>0</v>
      </c>
      <c r="AD1139" s="53" t="e">
        <f>#REF!*D1139</f>
        <v>#REF!</v>
      </c>
      <c r="AE1139" s="53" t="e">
        <f>AD1139-#REF!</f>
        <v>#REF!</v>
      </c>
      <c r="AF1139" s="9"/>
      <c r="AG1139" s="33" t="e">
        <f>#REF!-D1139</f>
        <v>#REF!</v>
      </c>
    </row>
    <row r="1140" spans="1:37" s="16" customFormat="1" ht="11.4" outlineLevel="1" x14ac:dyDescent="0.2">
      <c r="A1140" s="62" t="s">
        <v>1365</v>
      </c>
      <c r="B1140" s="11" t="s">
        <v>109</v>
      </c>
      <c r="C1140" s="8" t="s">
        <v>47</v>
      </c>
      <c r="D1140" s="25">
        <f t="shared" si="264"/>
        <v>130</v>
      </c>
      <c r="E1140" s="54"/>
      <c r="F1140" s="78"/>
      <c r="G1140" s="73">
        <f t="shared" ref="G1140:AC1140" si="278">G1136*0.5</f>
        <v>0</v>
      </c>
      <c r="H1140" s="73">
        <f t="shared" si="278"/>
        <v>13.5</v>
      </c>
      <c r="I1140" s="73">
        <f t="shared" si="278"/>
        <v>7</v>
      </c>
      <c r="J1140" s="73">
        <f t="shared" si="278"/>
        <v>10.5</v>
      </c>
      <c r="K1140" s="73">
        <f t="shared" si="278"/>
        <v>4</v>
      </c>
      <c r="L1140" s="73">
        <f t="shared" si="278"/>
        <v>9.5</v>
      </c>
      <c r="M1140" s="73">
        <f t="shared" si="278"/>
        <v>10</v>
      </c>
      <c r="N1140" s="73">
        <f t="shared" si="278"/>
        <v>10</v>
      </c>
      <c r="O1140" s="73">
        <f t="shared" si="278"/>
        <v>11.5</v>
      </c>
      <c r="P1140" s="73">
        <f t="shared" si="278"/>
        <v>11</v>
      </c>
      <c r="Q1140" s="73">
        <f t="shared" si="278"/>
        <v>5.5</v>
      </c>
      <c r="R1140" s="73">
        <f t="shared" si="278"/>
        <v>0</v>
      </c>
      <c r="S1140" s="73">
        <f t="shared" si="278"/>
        <v>0</v>
      </c>
      <c r="T1140" s="73">
        <f t="shared" si="278"/>
        <v>0</v>
      </c>
      <c r="U1140" s="73">
        <f t="shared" si="278"/>
        <v>5</v>
      </c>
      <c r="V1140" s="73">
        <f t="shared" si="278"/>
        <v>4</v>
      </c>
      <c r="W1140" s="73">
        <f t="shared" si="278"/>
        <v>4</v>
      </c>
      <c r="X1140" s="73">
        <f t="shared" si="278"/>
        <v>6.5</v>
      </c>
      <c r="Y1140" s="73">
        <f t="shared" si="278"/>
        <v>5.5</v>
      </c>
      <c r="Z1140" s="73">
        <f t="shared" si="278"/>
        <v>6</v>
      </c>
      <c r="AA1140" s="73">
        <f t="shared" si="278"/>
        <v>5.5</v>
      </c>
      <c r="AB1140" s="73">
        <f t="shared" si="278"/>
        <v>1</v>
      </c>
      <c r="AC1140" s="73">
        <f t="shared" si="278"/>
        <v>0</v>
      </c>
      <c r="AD1140" s="53" t="e">
        <f>#REF!*D1140</f>
        <v>#REF!</v>
      </c>
      <c r="AE1140" s="53" t="e">
        <f>AD1140-#REF!</f>
        <v>#REF!</v>
      </c>
      <c r="AF1140" s="9"/>
      <c r="AG1140" s="33" t="e">
        <f>#REF!-D1140</f>
        <v>#REF!</v>
      </c>
    </row>
    <row r="1141" spans="1:37" s="16" customFormat="1" ht="11.4" outlineLevel="1" x14ac:dyDescent="0.2">
      <c r="A1141" s="62"/>
      <c r="B1141" s="11"/>
      <c r="C1141" s="8"/>
      <c r="D1141" s="25"/>
      <c r="E1141" s="54"/>
      <c r="F1141" s="78"/>
      <c r="G1141" s="73"/>
      <c r="H1141" s="73"/>
      <c r="I1141" s="73"/>
      <c r="J1141" s="73"/>
      <c r="K1141" s="73"/>
      <c r="L1141" s="73"/>
      <c r="M1141" s="73"/>
      <c r="N1141" s="73"/>
      <c r="O1141" s="73"/>
      <c r="P1141" s="73"/>
      <c r="Q1141" s="73"/>
      <c r="R1141" s="73"/>
      <c r="S1141" s="73"/>
      <c r="T1141" s="73"/>
      <c r="U1141" s="73"/>
      <c r="V1141" s="73"/>
      <c r="W1141" s="73"/>
      <c r="X1141" s="73"/>
      <c r="Y1141" s="73"/>
      <c r="Z1141" s="73"/>
      <c r="AA1141" s="73"/>
      <c r="AB1141" s="73"/>
      <c r="AC1141" s="73"/>
      <c r="AD1141" s="53" t="e">
        <f>#REF!*D1141</f>
        <v>#REF!</v>
      </c>
      <c r="AE1141" s="53" t="e">
        <f>AD1141-#REF!</f>
        <v>#REF!</v>
      </c>
      <c r="AF1141" s="9"/>
      <c r="AG1141" s="33" t="e">
        <f>#REF!-D1141</f>
        <v>#REF!</v>
      </c>
    </row>
    <row r="1142" spans="1:37" x14ac:dyDescent="0.25">
      <c r="A1142" s="18" t="s">
        <v>1325</v>
      </c>
      <c r="B1142" s="35" t="s">
        <v>2380</v>
      </c>
      <c r="C1142" s="18" t="s">
        <v>41</v>
      </c>
      <c r="D1142" s="52" t="e">
        <f>#REF!/#REF!*100</f>
        <v>#REF!</v>
      </c>
      <c r="G1142" s="9"/>
      <c r="H1142" s="74"/>
      <c r="I1142" s="74"/>
      <c r="N1142" s="74"/>
      <c r="U1142" s="74"/>
      <c r="V1142" s="74"/>
      <c r="AA1142" s="74"/>
      <c r="AD1142" s="53" t="e">
        <f>#REF!*D1142</f>
        <v>#REF!</v>
      </c>
      <c r="AE1142" s="53" t="e">
        <f>AD1142-#REF!</f>
        <v>#REF!</v>
      </c>
      <c r="AG1142" s="33" t="e">
        <f>#REF!-D1142</f>
        <v>#REF!</v>
      </c>
      <c r="AH1142" s="2"/>
      <c r="AI1142" s="2"/>
      <c r="AJ1142" s="2"/>
      <c r="AK1142" s="2"/>
    </row>
    <row r="1143" spans="1:37" s="16" customFormat="1" ht="20.399999999999999" outlineLevel="1" x14ac:dyDescent="0.2">
      <c r="A1143" s="62" t="s">
        <v>1372</v>
      </c>
      <c r="B1143" s="80" t="s">
        <v>1366</v>
      </c>
      <c r="C1143" s="9" t="s">
        <v>48</v>
      </c>
      <c r="D1143" s="25">
        <f t="shared" ref="D1143:D1155" si="279">SUM(G1143:AC1143)</f>
        <v>621</v>
      </c>
      <c r="E1143" s="54"/>
      <c r="F1143" s="78"/>
      <c r="G1143" s="9">
        <v>0</v>
      </c>
      <c r="H1143" s="9">
        <f>27-6</f>
        <v>21</v>
      </c>
      <c r="I1143" s="9">
        <v>15</v>
      </c>
      <c r="J1143" s="9">
        <v>36</v>
      </c>
      <c r="K1143" s="9">
        <v>0</v>
      </c>
      <c r="L1143" s="9">
        <v>69</v>
      </c>
      <c r="M1143" s="9">
        <v>60</v>
      </c>
      <c r="N1143" s="9">
        <v>60</v>
      </c>
      <c r="O1143" s="9">
        <v>66</v>
      </c>
      <c r="P1143" s="9">
        <v>48</v>
      </c>
      <c r="Q1143" s="9">
        <v>18</v>
      </c>
      <c r="R1143" s="9">
        <v>0</v>
      </c>
      <c r="S1143" s="9">
        <v>0</v>
      </c>
      <c r="T1143" s="9">
        <v>0</v>
      </c>
      <c r="U1143" s="9">
        <v>0</v>
      </c>
      <c r="V1143" s="9">
        <f t="shared" ref="V1143:AA1143" si="280">V1154*3</f>
        <v>6</v>
      </c>
      <c r="W1143" s="9">
        <f t="shared" si="280"/>
        <v>30</v>
      </c>
      <c r="X1143" s="9">
        <f t="shared" si="280"/>
        <v>42</v>
      </c>
      <c r="Y1143" s="9">
        <f t="shared" si="280"/>
        <v>51</v>
      </c>
      <c r="Z1143" s="9">
        <f t="shared" si="280"/>
        <v>54</v>
      </c>
      <c r="AA1143" s="9">
        <f t="shared" si="280"/>
        <v>45</v>
      </c>
      <c r="AB1143" s="9">
        <v>0</v>
      </c>
      <c r="AC1143" s="9">
        <v>0</v>
      </c>
      <c r="AD1143" s="53" t="e">
        <f>#REF!*D1143</f>
        <v>#REF!</v>
      </c>
      <c r="AE1143" s="53" t="e">
        <f>AD1143-#REF!</f>
        <v>#REF!</v>
      </c>
      <c r="AF1143" s="9"/>
      <c r="AG1143" s="33" t="e">
        <f>#REF!-D1143</f>
        <v>#REF!</v>
      </c>
    </row>
    <row r="1144" spans="1:37" s="16" customFormat="1" ht="11.4" outlineLevel="1" x14ac:dyDescent="0.2">
      <c r="A1144" s="62" t="s">
        <v>1373</v>
      </c>
      <c r="B1144" s="80" t="s">
        <v>1367</v>
      </c>
      <c r="C1144" s="8" t="s">
        <v>47</v>
      </c>
      <c r="D1144" s="25">
        <f t="shared" si="279"/>
        <v>270</v>
      </c>
      <c r="E1144" s="54"/>
      <c r="F1144" s="78"/>
      <c r="G1144" s="9">
        <v>0</v>
      </c>
      <c r="H1144" s="9">
        <f>13-4</f>
        <v>9</v>
      </c>
      <c r="I1144" s="9">
        <v>7</v>
      </c>
      <c r="J1144" s="9">
        <f>J1143/2</f>
        <v>18</v>
      </c>
      <c r="K1144" s="9">
        <f>K1143/2</f>
        <v>0</v>
      </c>
      <c r="L1144" s="9">
        <v>34</v>
      </c>
      <c r="M1144" s="9">
        <f>M1143/2</f>
        <v>30</v>
      </c>
      <c r="N1144" s="9">
        <f>N1143/2</f>
        <v>30</v>
      </c>
      <c r="O1144" s="9">
        <f>O1143/2</f>
        <v>33</v>
      </c>
      <c r="P1144" s="9">
        <f>P1143/2</f>
        <v>24</v>
      </c>
      <c r="Q1144" s="9">
        <v>9</v>
      </c>
      <c r="R1144" s="9">
        <v>0</v>
      </c>
      <c r="S1144" s="9">
        <v>0</v>
      </c>
      <c r="T1144" s="9">
        <v>0</v>
      </c>
      <c r="U1144" s="9">
        <v>0</v>
      </c>
      <c r="V1144" s="49">
        <f t="shared" ref="V1144:AA1144" si="281">V1143/3</f>
        <v>2</v>
      </c>
      <c r="W1144" s="49">
        <f t="shared" si="281"/>
        <v>10</v>
      </c>
      <c r="X1144" s="49">
        <f t="shared" si="281"/>
        <v>14</v>
      </c>
      <c r="Y1144" s="49">
        <f t="shared" si="281"/>
        <v>17</v>
      </c>
      <c r="Z1144" s="49">
        <f t="shared" si="281"/>
        <v>18</v>
      </c>
      <c r="AA1144" s="49">
        <f t="shared" si="281"/>
        <v>15</v>
      </c>
      <c r="AB1144" s="9">
        <v>0</v>
      </c>
      <c r="AC1144" s="9">
        <v>0</v>
      </c>
      <c r="AD1144" s="53" t="e">
        <f>#REF!*D1144</f>
        <v>#REF!</v>
      </c>
      <c r="AE1144" s="53" t="e">
        <f>AD1144-#REF!</f>
        <v>#REF!</v>
      </c>
      <c r="AF1144" s="9"/>
      <c r="AG1144" s="33" t="e">
        <f>#REF!-D1144</f>
        <v>#REF!</v>
      </c>
    </row>
    <row r="1145" spans="1:37" s="16" customFormat="1" ht="20.399999999999999" outlineLevel="1" x14ac:dyDescent="0.2">
      <c r="A1145" s="62" t="s">
        <v>1374</v>
      </c>
      <c r="B1145" s="80" t="s">
        <v>1368</v>
      </c>
      <c r="C1145" s="9" t="s">
        <v>47</v>
      </c>
      <c r="D1145" s="25">
        <f t="shared" si="279"/>
        <v>184</v>
      </c>
      <c r="E1145" s="54"/>
      <c r="F1145" s="78"/>
      <c r="G1145" s="9">
        <v>0</v>
      </c>
      <c r="H1145" s="9">
        <v>1</v>
      </c>
      <c r="I1145" s="9">
        <v>4</v>
      </c>
      <c r="J1145" s="9">
        <v>10</v>
      </c>
      <c r="K1145" s="9">
        <v>0</v>
      </c>
      <c r="L1145" s="9">
        <v>19</v>
      </c>
      <c r="M1145" s="9">
        <v>17</v>
      </c>
      <c r="N1145" s="9">
        <v>17</v>
      </c>
      <c r="O1145" s="9">
        <v>18</v>
      </c>
      <c r="P1145" s="9">
        <v>14</v>
      </c>
      <c r="Q1145" s="9">
        <f>8</f>
        <v>8</v>
      </c>
      <c r="R1145" s="9">
        <v>0</v>
      </c>
      <c r="S1145" s="9">
        <v>0</v>
      </c>
      <c r="T1145" s="9">
        <v>0</v>
      </c>
      <c r="U1145" s="9">
        <v>0</v>
      </c>
      <c r="V1145" s="49">
        <f t="shared" ref="V1145:AA1145" si="282">V1154</f>
        <v>2</v>
      </c>
      <c r="W1145" s="49">
        <f t="shared" si="282"/>
        <v>10</v>
      </c>
      <c r="X1145" s="49">
        <f t="shared" si="282"/>
        <v>14</v>
      </c>
      <c r="Y1145" s="49">
        <f t="shared" si="282"/>
        <v>17</v>
      </c>
      <c r="Z1145" s="49">
        <f t="shared" si="282"/>
        <v>18</v>
      </c>
      <c r="AA1145" s="49">
        <f t="shared" si="282"/>
        <v>15</v>
      </c>
      <c r="AB1145" s="9">
        <v>0</v>
      </c>
      <c r="AC1145" s="9">
        <v>0</v>
      </c>
      <c r="AD1145" s="53" t="e">
        <f>#REF!*D1145</f>
        <v>#REF!</v>
      </c>
      <c r="AE1145" s="53" t="e">
        <f>AD1145-#REF!</f>
        <v>#REF!</v>
      </c>
      <c r="AF1145" s="9"/>
      <c r="AG1145" s="33" t="e">
        <f>#REF!-D1145</f>
        <v>#REF!</v>
      </c>
    </row>
    <row r="1146" spans="1:37" s="16" customFormat="1" ht="20.399999999999999" outlineLevel="1" x14ac:dyDescent="0.2">
      <c r="A1146" s="62" t="s">
        <v>1375</v>
      </c>
      <c r="B1146" s="80" t="s">
        <v>1381</v>
      </c>
      <c r="C1146" s="9" t="s">
        <v>47</v>
      </c>
      <c r="D1146" s="25">
        <f t="shared" si="279"/>
        <v>2</v>
      </c>
      <c r="E1146" s="54"/>
      <c r="F1146" s="78"/>
      <c r="G1146" s="9">
        <v>0</v>
      </c>
      <c r="H1146" s="9">
        <v>2</v>
      </c>
      <c r="I1146" s="9">
        <v>0</v>
      </c>
      <c r="J1146" s="9">
        <v>0</v>
      </c>
      <c r="K1146" s="9">
        <v>0</v>
      </c>
      <c r="L1146" s="9">
        <v>0</v>
      </c>
      <c r="M1146" s="9">
        <v>0</v>
      </c>
      <c r="N1146" s="9">
        <v>0</v>
      </c>
      <c r="O1146" s="9">
        <v>0</v>
      </c>
      <c r="P1146" s="9">
        <v>0</v>
      </c>
      <c r="Q1146" s="9">
        <v>0</v>
      </c>
      <c r="R1146" s="9">
        <v>0</v>
      </c>
      <c r="S1146" s="9">
        <v>0</v>
      </c>
      <c r="T1146" s="9">
        <v>0</v>
      </c>
      <c r="U1146" s="9">
        <v>0</v>
      </c>
      <c r="V1146" s="9">
        <v>0</v>
      </c>
      <c r="W1146" s="9">
        <v>0</v>
      </c>
      <c r="X1146" s="9">
        <v>0</v>
      </c>
      <c r="Y1146" s="9">
        <v>0</v>
      </c>
      <c r="Z1146" s="9">
        <v>0</v>
      </c>
      <c r="AA1146" s="9">
        <v>0</v>
      </c>
      <c r="AB1146" s="9">
        <v>0</v>
      </c>
      <c r="AC1146" s="9">
        <v>0</v>
      </c>
      <c r="AD1146" s="53" t="e">
        <f>#REF!*D1146</f>
        <v>#REF!</v>
      </c>
      <c r="AE1146" s="53" t="e">
        <f>AD1146-#REF!</f>
        <v>#REF!</v>
      </c>
      <c r="AF1146" s="9"/>
      <c r="AG1146" s="33" t="e">
        <f>#REF!-D1146</f>
        <v>#REF!</v>
      </c>
    </row>
    <row r="1147" spans="1:37" s="16" customFormat="1" ht="11.4" outlineLevel="1" x14ac:dyDescent="0.2">
      <c r="A1147" s="62" t="s">
        <v>1376</v>
      </c>
      <c r="B1147" s="80" t="s">
        <v>1369</v>
      </c>
      <c r="C1147" s="9" t="s">
        <v>47</v>
      </c>
      <c r="D1147" s="25">
        <f t="shared" si="279"/>
        <v>364</v>
      </c>
      <c r="E1147" s="54"/>
      <c r="F1147" s="78"/>
      <c r="G1147" s="9">
        <v>0</v>
      </c>
      <c r="H1147" s="9">
        <v>6</v>
      </c>
      <c r="I1147" s="9">
        <v>8</v>
      </c>
      <c r="J1147" s="9">
        <v>20</v>
      </c>
      <c r="K1147" s="9">
        <v>0</v>
      </c>
      <c r="L1147" s="9">
        <v>38</v>
      </c>
      <c r="M1147" s="9">
        <v>34</v>
      </c>
      <c r="N1147" s="9">
        <v>34</v>
      </c>
      <c r="O1147" s="9">
        <v>36</v>
      </c>
      <c r="P1147" s="9">
        <v>28</v>
      </c>
      <c r="Q1147" s="9">
        <v>8</v>
      </c>
      <c r="R1147" s="9">
        <v>0</v>
      </c>
      <c r="S1147" s="9">
        <v>0</v>
      </c>
      <c r="T1147" s="9">
        <v>0</v>
      </c>
      <c r="U1147" s="9">
        <v>0</v>
      </c>
      <c r="V1147" s="49">
        <f t="shared" ref="V1147:AA1147" si="283">V1154*2</f>
        <v>4</v>
      </c>
      <c r="W1147" s="49">
        <f t="shared" si="283"/>
        <v>20</v>
      </c>
      <c r="X1147" s="49">
        <f t="shared" si="283"/>
        <v>28</v>
      </c>
      <c r="Y1147" s="49">
        <f t="shared" si="283"/>
        <v>34</v>
      </c>
      <c r="Z1147" s="49">
        <f t="shared" si="283"/>
        <v>36</v>
      </c>
      <c r="AA1147" s="49">
        <f t="shared" si="283"/>
        <v>30</v>
      </c>
      <c r="AB1147" s="9">
        <v>0</v>
      </c>
      <c r="AC1147" s="9">
        <v>0</v>
      </c>
      <c r="AD1147" s="53" t="e">
        <f>#REF!*D1147</f>
        <v>#REF!</v>
      </c>
      <c r="AE1147" s="53" t="e">
        <f>AD1147-#REF!</f>
        <v>#REF!</v>
      </c>
      <c r="AF1147" s="9"/>
      <c r="AG1147" s="33" t="e">
        <f>#REF!-D1147</f>
        <v>#REF!</v>
      </c>
    </row>
    <row r="1148" spans="1:37" s="16" customFormat="1" ht="11.4" outlineLevel="1" x14ac:dyDescent="0.2">
      <c r="A1148" s="62" t="s">
        <v>1377</v>
      </c>
      <c r="B1148" s="80" t="s">
        <v>1370</v>
      </c>
      <c r="C1148" s="9" t="s">
        <v>47</v>
      </c>
      <c r="D1148" s="25">
        <f t="shared" si="279"/>
        <v>3</v>
      </c>
      <c r="E1148" s="54"/>
      <c r="F1148" s="78"/>
      <c r="G1148" s="9">
        <v>0</v>
      </c>
      <c r="H1148" s="9">
        <v>1</v>
      </c>
      <c r="I1148" s="9">
        <v>0</v>
      </c>
      <c r="J1148" s="9">
        <v>0</v>
      </c>
      <c r="K1148" s="9">
        <v>0</v>
      </c>
      <c r="L1148" s="9">
        <v>0</v>
      </c>
      <c r="M1148" s="9">
        <v>1</v>
      </c>
      <c r="N1148" s="9">
        <v>1</v>
      </c>
      <c r="O1148" s="9">
        <v>0</v>
      </c>
      <c r="P1148" s="9">
        <v>0</v>
      </c>
      <c r="Q1148" s="9">
        <v>0</v>
      </c>
      <c r="R1148" s="9">
        <v>0</v>
      </c>
      <c r="S1148" s="9">
        <v>0</v>
      </c>
      <c r="T1148" s="9">
        <v>0</v>
      </c>
      <c r="U1148" s="9">
        <v>0</v>
      </c>
      <c r="V1148" s="9">
        <v>0</v>
      </c>
      <c r="W1148" s="9">
        <v>0</v>
      </c>
      <c r="X1148" s="9">
        <v>0</v>
      </c>
      <c r="Y1148" s="9">
        <v>0</v>
      </c>
      <c r="Z1148" s="9">
        <v>0</v>
      </c>
      <c r="AA1148" s="9">
        <v>0</v>
      </c>
      <c r="AB1148" s="9">
        <v>0</v>
      </c>
      <c r="AC1148" s="9">
        <v>0</v>
      </c>
      <c r="AD1148" s="53" t="e">
        <f>#REF!*D1148</f>
        <v>#REF!</v>
      </c>
      <c r="AE1148" s="53" t="e">
        <f>AD1148-#REF!</f>
        <v>#REF!</v>
      </c>
      <c r="AF1148" s="9"/>
      <c r="AG1148" s="33" t="e">
        <f>#REF!-D1148</f>
        <v>#REF!</v>
      </c>
    </row>
    <row r="1149" spans="1:37" s="16" customFormat="1" ht="20.399999999999999" outlineLevel="1" x14ac:dyDescent="0.2">
      <c r="A1149" s="62" t="s">
        <v>1378</v>
      </c>
      <c r="B1149" s="80" t="s">
        <v>1371</v>
      </c>
      <c r="C1149" s="9" t="s">
        <v>47</v>
      </c>
      <c r="D1149" s="25">
        <f t="shared" si="279"/>
        <v>872</v>
      </c>
      <c r="E1149" s="54"/>
      <c r="F1149" s="78"/>
      <c r="G1149" s="49">
        <f t="shared" ref="G1149:AC1149" si="284">G1152*2+G1154*3</f>
        <v>0</v>
      </c>
      <c r="H1149" s="49">
        <f t="shared" si="284"/>
        <v>15</v>
      </c>
      <c r="I1149" s="49">
        <f t="shared" si="284"/>
        <v>20</v>
      </c>
      <c r="J1149" s="49">
        <f t="shared" si="284"/>
        <v>47</v>
      </c>
      <c r="K1149" s="49">
        <f t="shared" si="284"/>
        <v>0</v>
      </c>
      <c r="L1149" s="49">
        <f t="shared" si="284"/>
        <v>98</v>
      </c>
      <c r="M1149" s="49">
        <f t="shared" si="284"/>
        <v>88</v>
      </c>
      <c r="N1149" s="49">
        <f t="shared" si="284"/>
        <v>85</v>
      </c>
      <c r="O1149" s="49">
        <f t="shared" si="284"/>
        <v>72</v>
      </c>
      <c r="P1149" s="49">
        <f t="shared" si="284"/>
        <v>64</v>
      </c>
      <c r="Q1149" s="49">
        <f t="shared" si="284"/>
        <v>21</v>
      </c>
      <c r="R1149" s="49">
        <f t="shared" si="284"/>
        <v>0</v>
      </c>
      <c r="S1149" s="49">
        <f t="shared" si="284"/>
        <v>0</v>
      </c>
      <c r="T1149" s="49">
        <f t="shared" si="284"/>
        <v>0</v>
      </c>
      <c r="U1149" s="49">
        <f t="shared" si="284"/>
        <v>0</v>
      </c>
      <c r="V1149" s="49">
        <f t="shared" si="284"/>
        <v>10</v>
      </c>
      <c r="W1149" s="49">
        <f t="shared" si="284"/>
        <v>34</v>
      </c>
      <c r="X1149" s="49">
        <f t="shared" si="284"/>
        <v>70</v>
      </c>
      <c r="Y1149" s="49">
        <f t="shared" si="284"/>
        <v>85</v>
      </c>
      <c r="Z1149" s="49">
        <f t="shared" si="284"/>
        <v>88</v>
      </c>
      <c r="AA1149" s="49">
        <f t="shared" si="284"/>
        <v>75</v>
      </c>
      <c r="AB1149" s="49">
        <f t="shared" si="284"/>
        <v>0</v>
      </c>
      <c r="AC1149" s="49">
        <f t="shared" si="284"/>
        <v>0</v>
      </c>
      <c r="AD1149" s="53" t="e">
        <f>#REF!*D1149</f>
        <v>#REF!</v>
      </c>
      <c r="AE1149" s="53" t="e">
        <f>AD1149-#REF!</f>
        <v>#REF!</v>
      </c>
      <c r="AF1149" s="9"/>
      <c r="AG1149" s="33" t="e">
        <f>#REF!-D1149</f>
        <v>#REF!</v>
      </c>
    </row>
    <row r="1150" spans="1:37" s="16" customFormat="1" ht="20.399999999999999" outlineLevel="1" x14ac:dyDescent="0.2">
      <c r="A1150" s="62" t="s">
        <v>1379</v>
      </c>
      <c r="B1150" s="80" t="s">
        <v>1382</v>
      </c>
      <c r="C1150" s="9" t="s">
        <v>47</v>
      </c>
      <c r="D1150" s="25">
        <f t="shared" si="279"/>
        <v>176</v>
      </c>
      <c r="E1150" s="54"/>
      <c r="F1150" s="78"/>
      <c r="G1150" s="49">
        <f t="shared" ref="G1150:AC1150" si="285">G1154*1</f>
        <v>0</v>
      </c>
      <c r="H1150" s="49">
        <f t="shared" si="285"/>
        <v>3</v>
      </c>
      <c r="I1150" s="49">
        <f t="shared" si="285"/>
        <v>4</v>
      </c>
      <c r="J1150" s="49">
        <f t="shared" si="285"/>
        <v>9</v>
      </c>
      <c r="K1150" s="49">
        <f t="shared" si="285"/>
        <v>0</v>
      </c>
      <c r="L1150" s="49">
        <f t="shared" si="285"/>
        <v>20</v>
      </c>
      <c r="M1150" s="49">
        <f t="shared" si="285"/>
        <v>18</v>
      </c>
      <c r="N1150" s="49">
        <f t="shared" si="285"/>
        <v>17</v>
      </c>
      <c r="O1150" s="49">
        <f t="shared" si="285"/>
        <v>12</v>
      </c>
      <c r="P1150" s="49">
        <f t="shared" si="285"/>
        <v>12</v>
      </c>
      <c r="Q1150" s="49">
        <f t="shared" si="285"/>
        <v>5</v>
      </c>
      <c r="R1150" s="49">
        <f t="shared" si="285"/>
        <v>0</v>
      </c>
      <c r="S1150" s="49">
        <f t="shared" si="285"/>
        <v>0</v>
      </c>
      <c r="T1150" s="49">
        <f t="shared" si="285"/>
        <v>0</v>
      </c>
      <c r="U1150" s="49">
        <f t="shared" si="285"/>
        <v>0</v>
      </c>
      <c r="V1150" s="49">
        <f t="shared" si="285"/>
        <v>2</v>
      </c>
      <c r="W1150" s="49">
        <f t="shared" si="285"/>
        <v>10</v>
      </c>
      <c r="X1150" s="49">
        <f t="shared" si="285"/>
        <v>14</v>
      </c>
      <c r="Y1150" s="49">
        <f t="shared" si="285"/>
        <v>17</v>
      </c>
      <c r="Z1150" s="49">
        <f t="shared" si="285"/>
        <v>18</v>
      </c>
      <c r="AA1150" s="49">
        <f t="shared" si="285"/>
        <v>15</v>
      </c>
      <c r="AB1150" s="49">
        <f t="shared" si="285"/>
        <v>0</v>
      </c>
      <c r="AC1150" s="49">
        <f t="shared" si="285"/>
        <v>0</v>
      </c>
      <c r="AD1150" s="53" t="e">
        <f>#REF!*D1150</f>
        <v>#REF!</v>
      </c>
      <c r="AE1150" s="53" t="e">
        <f>AD1150-#REF!</f>
        <v>#REF!</v>
      </c>
      <c r="AF1150" s="9"/>
      <c r="AG1150" s="33" t="e">
        <f>#REF!-D1150</f>
        <v>#REF!</v>
      </c>
    </row>
    <row r="1151" spans="1:37" s="16" customFormat="1" ht="11.4" outlineLevel="1" x14ac:dyDescent="0.2">
      <c r="A1151" s="62" t="s">
        <v>1380</v>
      </c>
      <c r="B1151" s="11" t="s">
        <v>102</v>
      </c>
      <c r="C1151" s="9" t="s">
        <v>47</v>
      </c>
      <c r="D1151" s="25">
        <f t="shared" si="279"/>
        <v>184</v>
      </c>
      <c r="E1151" s="54"/>
      <c r="F1151" s="78"/>
      <c r="G1151" s="49">
        <f t="shared" ref="G1151:AC1151" si="286">G1145</f>
        <v>0</v>
      </c>
      <c r="H1151" s="49">
        <f t="shared" si="286"/>
        <v>1</v>
      </c>
      <c r="I1151" s="49">
        <f t="shared" si="286"/>
        <v>4</v>
      </c>
      <c r="J1151" s="49">
        <f t="shared" si="286"/>
        <v>10</v>
      </c>
      <c r="K1151" s="49">
        <f t="shared" si="286"/>
        <v>0</v>
      </c>
      <c r="L1151" s="49">
        <f t="shared" si="286"/>
        <v>19</v>
      </c>
      <c r="M1151" s="49">
        <f t="shared" si="286"/>
        <v>17</v>
      </c>
      <c r="N1151" s="49">
        <f t="shared" si="286"/>
        <v>17</v>
      </c>
      <c r="O1151" s="49">
        <f t="shared" si="286"/>
        <v>18</v>
      </c>
      <c r="P1151" s="49">
        <f t="shared" si="286"/>
        <v>14</v>
      </c>
      <c r="Q1151" s="49">
        <f t="shared" si="286"/>
        <v>8</v>
      </c>
      <c r="R1151" s="49">
        <f t="shared" si="286"/>
        <v>0</v>
      </c>
      <c r="S1151" s="49">
        <f t="shared" si="286"/>
        <v>0</v>
      </c>
      <c r="T1151" s="49">
        <f t="shared" si="286"/>
        <v>0</v>
      </c>
      <c r="U1151" s="49">
        <f t="shared" si="286"/>
        <v>0</v>
      </c>
      <c r="V1151" s="49">
        <f t="shared" si="286"/>
        <v>2</v>
      </c>
      <c r="W1151" s="49">
        <f t="shared" si="286"/>
        <v>10</v>
      </c>
      <c r="X1151" s="49">
        <f t="shared" si="286"/>
        <v>14</v>
      </c>
      <c r="Y1151" s="49">
        <f t="shared" si="286"/>
        <v>17</v>
      </c>
      <c r="Z1151" s="49">
        <f t="shared" si="286"/>
        <v>18</v>
      </c>
      <c r="AA1151" s="49">
        <f t="shared" si="286"/>
        <v>15</v>
      </c>
      <c r="AB1151" s="49">
        <f t="shared" si="286"/>
        <v>0</v>
      </c>
      <c r="AC1151" s="49">
        <f t="shared" si="286"/>
        <v>0</v>
      </c>
      <c r="AD1151" s="53" t="e">
        <f>#REF!*D1151</f>
        <v>#REF!</v>
      </c>
      <c r="AE1151" s="53" t="e">
        <f>AD1151-#REF!</f>
        <v>#REF!</v>
      </c>
      <c r="AF1151" s="9"/>
      <c r="AG1151" s="33" t="e">
        <f>#REF!-D1151</f>
        <v>#REF!</v>
      </c>
    </row>
    <row r="1152" spans="1:37" s="16" customFormat="1" ht="20.399999999999999" outlineLevel="1" x14ac:dyDescent="0.2">
      <c r="A1152" s="62" t="s">
        <v>1545</v>
      </c>
      <c r="B1152" s="80" t="s">
        <v>1336</v>
      </c>
      <c r="C1152" s="9" t="s">
        <v>47</v>
      </c>
      <c r="D1152" s="25">
        <f t="shared" si="279"/>
        <v>172</v>
      </c>
      <c r="E1152" s="54"/>
      <c r="F1152" s="78"/>
      <c r="G1152" s="9">
        <v>0</v>
      </c>
      <c r="H1152" s="9">
        <v>3</v>
      </c>
      <c r="I1152" s="9">
        <v>4</v>
      </c>
      <c r="J1152" s="9">
        <v>10</v>
      </c>
      <c r="K1152" s="9">
        <v>0</v>
      </c>
      <c r="L1152" s="9">
        <v>19</v>
      </c>
      <c r="M1152" s="9">
        <v>17</v>
      </c>
      <c r="N1152" s="9">
        <v>17</v>
      </c>
      <c r="O1152" s="9">
        <v>18</v>
      </c>
      <c r="P1152" s="9">
        <v>14</v>
      </c>
      <c r="Q1152" s="9">
        <v>3</v>
      </c>
      <c r="R1152" s="9">
        <v>0</v>
      </c>
      <c r="S1152" s="9">
        <v>0</v>
      </c>
      <c r="T1152" s="9">
        <v>0</v>
      </c>
      <c r="U1152" s="9">
        <v>0</v>
      </c>
      <c r="V1152" s="9">
        <v>2</v>
      </c>
      <c r="W1152" s="9">
        <v>2</v>
      </c>
      <c r="X1152" s="9">
        <v>14</v>
      </c>
      <c r="Y1152" s="9">
        <v>17</v>
      </c>
      <c r="Z1152" s="9">
        <v>17</v>
      </c>
      <c r="AA1152" s="9">
        <v>15</v>
      </c>
      <c r="AB1152" s="9">
        <v>0</v>
      </c>
      <c r="AC1152" s="9">
        <v>0</v>
      </c>
      <c r="AD1152" s="53" t="e">
        <f>#REF!*D1152</f>
        <v>#REF!</v>
      </c>
      <c r="AE1152" s="53" t="e">
        <f>AD1152-#REF!</f>
        <v>#REF!</v>
      </c>
      <c r="AF1152" s="9"/>
      <c r="AG1152" s="33" t="e">
        <f>#REF!-D1152</f>
        <v>#REF!</v>
      </c>
    </row>
    <row r="1153" spans="1:37" s="16" customFormat="1" ht="20.399999999999999" outlineLevel="1" x14ac:dyDescent="0.2">
      <c r="A1153" s="62" t="s">
        <v>1546</v>
      </c>
      <c r="B1153" s="80" t="s">
        <v>1338</v>
      </c>
      <c r="C1153" s="9" t="s">
        <v>47</v>
      </c>
      <c r="D1153" s="25">
        <f t="shared" si="279"/>
        <v>2</v>
      </c>
      <c r="E1153" s="54"/>
      <c r="F1153" s="78"/>
      <c r="G1153" s="9">
        <v>0</v>
      </c>
      <c r="H1153" s="9">
        <v>0</v>
      </c>
      <c r="I1153" s="9">
        <v>0</v>
      </c>
      <c r="J1153" s="9">
        <v>0</v>
      </c>
      <c r="K1153" s="9">
        <v>0</v>
      </c>
      <c r="L1153" s="9">
        <v>0</v>
      </c>
      <c r="M1153" s="9">
        <v>0</v>
      </c>
      <c r="N1153" s="9">
        <v>0</v>
      </c>
      <c r="O1153" s="9">
        <v>0</v>
      </c>
      <c r="P1153" s="9">
        <v>0</v>
      </c>
      <c r="Q1153" s="9">
        <v>0</v>
      </c>
      <c r="R1153" s="9">
        <v>0</v>
      </c>
      <c r="S1153" s="9">
        <v>0</v>
      </c>
      <c r="T1153" s="9">
        <v>0</v>
      </c>
      <c r="U1153" s="9">
        <v>0</v>
      </c>
      <c r="V1153" s="9">
        <v>0</v>
      </c>
      <c r="W1153" s="9">
        <v>2</v>
      </c>
      <c r="X1153" s="9">
        <v>0</v>
      </c>
      <c r="Y1153" s="9">
        <v>0</v>
      </c>
      <c r="Z1153" s="9">
        <v>0</v>
      </c>
      <c r="AA1153" s="9">
        <v>0</v>
      </c>
      <c r="AB1153" s="9">
        <v>0</v>
      </c>
      <c r="AC1153" s="9">
        <v>0</v>
      </c>
      <c r="AD1153" s="53" t="e">
        <f>#REF!*D1153</f>
        <v>#REF!</v>
      </c>
      <c r="AE1153" s="53" t="e">
        <f>AD1153-#REF!</f>
        <v>#REF!</v>
      </c>
      <c r="AF1153" s="9"/>
      <c r="AG1153" s="33" t="e">
        <f>#REF!-D1153</f>
        <v>#REF!</v>
      </c>
    </row>
    <row r="1154" spans="1:37" s="16" customFormat="1" ht="24.75" customHeight="1" outlineLevel="1" x14ac:dyDescent="0.2">
      <c r="A1154" s="62" t="s">
        <v>1547</v>
      </c>
      <c r="B1154" s="84" t="s">
        <v>2360</v>
      </c>
      <c r="C1154" s="9" t="s">
        <v>47</v>
      </c>
      <c r="D1154" s="25">
        <f t="shared" si="279"/>
        <v>176</v>
      </c>
      <c r="E1154" s="54"/>
      <c r="F1154" s="78"/>
      <c r="G1154" s="9">
        <v>0</v>
      </c>
      <c r="H1154" s="49">
        <f t="shared" ref="H1154:R1154" si="287">H1704</f>
        <v>3</v>
      </c>
      <c r="I1154" s="49">
        <f t="shared" si="287"/>
        <v>4</v>
      </c>
      <c r="J1154" s="49">
        <f t="shared" si="287"/>
        <v>9</v>
      </c>
      <c r="K1154" s="49">
        <f t="shared" si="287"/>
        <v>0</v>
      </c>
      <c r="L1154" s="49">
        <f t="shared" si="287"/>
        <v>20</v>
      </c>
      <c r="M1154" s="49">
        <f t="shared" si="287"/>
        <v>18</v>
      </c>
      <c r="N1154" s="49">
        <f t="shared" si="287"/>
        <v>17</v>
      </c>
      <c r="O1154" s="49">
        <f t="shared" si="287"/>
        <v>12</v>
      </c>
      <c r="P1154" s="49">
        <f t="shared" si="287"/>
        <v>12</v>
      </c>
      <c r="Q1154" s="49">
        <f t="shared" si="287"/>
        <v>5</v>
      </c>
      <c r="R1154" s="49">
        <f t="shared" si="287"/>
        <v>0</v>
      </c>
      <c r="S1154" s="9">
        <v>0</v>
      </c>
      <c r="T1154" s="9">
        <v>0</v>
      </c>
      <c r="U1154" s="49">
        <f t="shared" ref="U1154:AA1154" si="288">U1704</f>
        <v>0</v>
      </c>
      <c r="V1154" s="49">
        <f t="shared" si="288"/>
        <v>2</v>
      </c>
      <c r="W1154" s="49">
        <f t="shared" si="288"/>
        <v>10</v>
      </c>
      <c r="X1154" s="49">
        <f t="shared" si="288"/>
        <v>14</v>
      </c>
      <c r="Y1154" s="49">
        <f t="shared" si="288"/>
        <v>17</v>
      </c>
      <c r="Z1154" s="49">
        <f t="shared" si="288"/>
        <v>18</v>
      </c>
      <c r="AA1154" s="49">
        <f t="shared" si="288"/>
        <v>15</v>
      </c>
      <c r="AB1154" s="9">
        <v>0</v>
      </c>
      <c r="AC1154" s="9">
        <v>0</v>
      </c>
      <c r="AD1154" s="53" t="e">
        <f>#REF!*D1154</f>
        <v>#REF!</v>
      </c>
      <c r="AE1154" s="53" t="e">
        <f>AD1154-#REF!</f>
        <v>#REF!</v>
      </c>
      <c r="AF1154" s="9"/>
      <c r="AG1154" s="33" t="e">
        <f>#REF!-D1154</f>
        <v>#REF!</v>
      </c>
    </row>
    <row r="1155" spans="1:37" s="16" customFormat="1" ht="11.4" outlineLevel="1" x14ac:dyDescent="0.2">
      <c r="A1155" s="62" t="s">
        <v>2869</v>
      </c>
      <c r="B1155" s="11" t="s">
        <v>105</v>
      </c>
      <c r="C1155" s="8" t="s">
        <v>50</v>
      </c>
      <c r="D1155" s="25">
        <f t="shared" si="279"/>
        <v>51</v>
      </c>
      <c r="E1155" s="54"/>
      <c r="F1155" s="78"/>
      <c r="G1155" s="9">
        <f>(G1151+G1152+G1154)/12</f>
        <v>0</v>
      </c>
      <c r="H1155" s="9">
        <v>1</v>
      </c>
      <c r="I1155" s="9">
        <v>1</v>
      </c>
      <c r="J1155" s="9">
        <v>3</v>
      </c>
      <c r="K1155" s="9">
        <f>(K1151+K1152+K1154)/12</f>
        <v>0</v>
      </c>
      <c r="L1155" s="9">
        <v>5</v>
      </c>
      <c r="M1155" s="9">
        <v>5</v>
      </c>
      <c r="N1155" s="9">
        <v>5</v>
      </c>
      <c r="O1155" s="9">
        <v>5</v>
      </c>
      <c r="P1155" s="9">
        <v>5</v>
      </c>
      <c r="Q1155" s="9">
        <v>2</v>
      </c>
      <c r="R1155" s="9">
        <f>(R1151+R1152+R1154)/12</f>
        <v>0</v>
      </c>
      <c r="S1155" s="9">
        <f>(S1151+S1152+S1154)/12</f>
        <v>0</v>
      </c>
      <c r="T1155" s="9">
        <f>(T1151+T1152+T1154)/12</f>
        <v>0</v>
      </c>
      <c r="U1155" s="9">
        <v>0</v>
      </c>
      <c r="V1155" s="9">
        <v>1</v>
      </c>
      <c r="W1155" s="9">
        <v>2</v>
      </c>
      <c r="X1155" s="9">
        <v>4</v>
      </c>
      <c r="Y1155" s="9">
        <v>4</v>
      </c>
      <c r="Z1155" s="9">
        <v>4</v>
      </c>
      <c r="AA1155" s="9">
        <v>4</v>
      </c>
      <c r="AB1155" s="9">
        <v>0</v>
      </c>
      <c r="AC1155" s="9">
        <v>0</v>
      </c>
      <c r="AD1155" s="53" t="e">
        <f>#REF!*D1155</f>
        <v>#REF!</v>
      </c>
      <c r="AE1155" s="53" t="e">
        <f>AD1155-#REF!</f>
        <v>#REF!</v>
      </c>
      <c r="AF1155" s="9"/>
      <c r="AG1155" s="33" t="e">
        <f>#REF!-D1155</f>
        <v>#REF!</v>
      </c>
    </row>
    <row r="1156" spans="1:37" s="16" customFormat="1" ht="11.4" outlineLevel="1" x14ac:dyDescent="0.2">
      <c r="A1156" s="62"/>
      <c r="B1156" s="11"/>
      <c r="C1156" s="8"/>
      <c r="D1156" s="25"/>
      <c r="E1156" s="54"/>
      <c r="F1156" s="78"/>
      <c r="G1156" s="9"/>
      <c r="H1156" s="9"/>
      <c r="I1156" s="9"/>
      <c r="J1156" s="9"/>
      <c r="K1156" s="9"/>
      <c r="L1156" s="9"/>
      <c r="M1156" s="9"/>
      <c r="N1156" s="9"/>
      <c r="O1156" s="9"/>
      <c r="P1156" s="9"/>
      <c r="Q1156" s="9"/>
      <c r="R1156" s="9"/>
      <c r="S1156" s="9"/>
      <c r="T1156" s="9"/>
      <c r="U1156" s="9"/>
      <c r="V1156" s="9"/>
      <c r="W1156" s="9"/>
      <c r="X1156" s="9"/>
      <c r="Y1156" s="9"/>
      <c r="Z1156" s="9"/>
      <c r="AA1156" s="9"/>
      <c r="AB1156" s="9"/>
      <c r="AC1156" s="9"/>
      <c r="AD1156" s="53" t="e">
        <f>#REF!*D1156</f>
        <v>#REF!</v>
      </c>
      <c r="AE1156" s="53" t="e">
        <f>AD1156-#REF!</f>
        <v>#REF!</v>
      </c>
      <c r="AF1156" s="9"/>
      <c r="AG1156" s="33" t="e">
        <f>#REF!-D1156</f>
        <v>#REF!</v>
      </c>
    </row>
    <row r="1157" spans="1:37" x14ac:dyDescent="0.25">
      <c r="A1157" s="18" t="s">
        <v>1326</v>
      </c>
      <c r="B1157" s="35" t="s">
        <v>2379</v>
      </c>
      <c r="C1157" s="18" t="s">
        <v>41</v>
      </c>
      <c r="D1157" s="52" t="e">
        <f>#REF!/#REF!*100</f>
        <v>#REF!</v>
      </c>
      <c r="G1157" s="9"/>
      <c r="H1157" s="74"/>
      <c r="I1157" s="74"/>
      <c r="N1157" s="74"/>
      <c r="U1157" s="74"/>
      <c r="V1157" s="74"/>
      <c r="AA1157" s="74"/>
      <c r="AB1157" s="214" t="s">
        <v>375</v>
      </c>
      <c r="AD1157" s="53" t="e">
        <f>#REF!*D1157</f>
        <v>#REF!</v>
      </c>
      <c r="AE1157" s="53" t="e">
        <f>AD1157-#REF!</f>
        <v>#REF!</v>
      </c>
      <c r="AG1157" s="33" t="e">
        <f>#REF!-D1157</f>
        <v>#REF!</v>
      </c>
      <c r="AH1157" s="2"/>
      <c r="AI1157" s="2"/>
      <c r="AJ1157" s="2"/>
      <c r="AK1157" s="2"/>
    </row>
    <row r="1158" spans="1:37" s="16" customFormat="1" ht="20.399999999999999" outlineLevel="1" x14ac:dyDescent="0.2">
      <c r="A1158" s="62" t="s">
        <v>1385</v>
      </c>
      <c r="B1158" s="14" t="s">
        <v>72</v>
      </c>
      <c r="C1158" s="8" t="s">
        <v>48</v>
      </c>
      <c r="D1158" s="25">
        <f t="shared" ref="D1158:D1165" si="289">SUM(G1158:AC1158)*6</f>
        <v>2046</v>
      </c>
      <c r="E1158" s="54"/>
      <c r="F1158" s="78"/>
      <c r="G1158" s="9">
        <v>0</v>
      </c>
      <c r="H1158" s="9">
        <f>40-12</f>
        <v>28</v>
      </c>
      <c r="I1158" s="9">
        <f>32-7</f>
        <v>25</v>
      </c>
      <c r="J1158" s="9">
        <f>31-9</f>
        <v>22</v>
      </c>
      <c r="K1158" s="9">
        <v>10</v>
      </c>
      <c r="L1158" s="9">
        <v>24</v>
      </c>
      <c r="M1158" s="9">
        <v>20</v>
      </c>
      <c r="N1158" s="9">
        <v>18</v>
      </c>
      <c r="O1158" s="9">
        <v>21</v>
      </c>
      <c r="P1158" s="9">
        <v>27</v>
      </c>
      <c r="Q1158" s="9">
        <v>0</v>
      </c>
      <c r="R1158" s="9">
        <v>14</v>
      </c>
      <c r="S1158" s="9">
        <v>0</v>
      </c>
      <c r="T1158" s="9">
        <v>0</v>
      </c>
      <c r="U1158" s="9">
        <v>17</v>
      </c>
      <c r="V1158" s="9">
        <v>12</v>
      </c>
      <c r="W1158" s="9">
        <v>5.5</v>
      </c>
      <c r="X1158" s="9">
        <v>23</v>
      </c>
      <c r="Y1158" s="9">
        <v>23.5</v>
      </c>
      <c r="Z1158" s="9">
        <v>22</v>
      </c>
      <c r="AA1158" s="9">
        <v>24</v>
      </c>
      <c r="AB1158" s="9">
        <v>5</v>
      </c>
      <c r="AC1158" s="9">
        <v>0</v>
      </c>
      <c r="AD1158" s="53" t="e">
        <f>#REF!*D1158</f>
        <v>#REF!</v>
      </c>
      <c r="AE1158" s="53" t="e">
        <f>AD1158-#REF!</f>
        <v>#REF!</v>
      </c>
      <c r="AF1158" s="9"/>
      <c r="AG1158" s="33" t="e">
        <f>#REF!-D1158</f>
        <v>#REF!</v>
      </c>
    </row>
    <row r="1159" spans="1:37" s="12" customFormat="1" ht="20.399999999999999" outlineLevel="1" x14ac:dyDescent="0.2">
      <c r="A1159" s="62" t="s">
        <v>1386</v>
      </c>
      <c r="B1159" s="14" t="s">
        <v>73</v>
      </c>
      <c r="C1159" s="8" t="s">
        <v>48</v>
      </c>
      <c r="D1159" s="25">
        <f t="shared" si="289"/>
        <v>495</v>
      </c>
      <c r="E1159" s="54"/>
      <c r="F1159" s="9"/>
      <c r="G1159" s="9">
        <v>0</v>
      </c>
      <c r="H1159" s="9">
        <f>34-10</f>
        <v>24</v>
      </c>
      <c r="I1159" s="9">
        <v>4</v>
      </c>
      <c r="J1159" s="9">
        <v>2</v>
      </c>
      <c r="K1159" s="9">
        <v>2</v>
      </c>
      <c r="L1159" s="9">
        <v>4</v>
      </c>
      <c r="M1159" s="9">
        <v>3</v>
      </c>
      <c r="N1159" s="9">
        <v>2</v>
      </c>
      <c r="O1159" s="9">
        <v>1</v>
      </c>
      <c r="P1159" s="9">
        <v>6</v>
      </c>
      <c r="Q1159" s="9">
        <v>0</v>
      </c>
      <c r="R1159" s="9">
        <v>0</v>
      </c>
      <c r="S1159" s="9">
        <v>0</v>
      </c>
      <c r="T1159" s="9">
        <v>0</v>
      </c>
      <c r="U1159" s="9">
        <v>7</v>
      </c>
      <c r="V1159" s="9">
        <v>2</v>
      </c>
      <c r="W1159" s="9">
        <v>5.5</v>
      </c>
      <c r="X1159" s="9">
        <v>4</v>
      </c>
      <c r="Y1159" s="9">
        <v>2.5</v>
      </c>
      <c r="Z1159" s="9">
        <v>5.5</v>
      </c>
      <c r="AA1159" s="9">
        <v>2</v>
      </c>
      <c r="AB1159" s="9">
        <v>6</v>
      </c>
      <c r="AC1159" s="9">
        <v>0</v>
      </c>
      <c r="AD1159" s="53" t="e">
        <f>#REF!*D1159</f>
        <v>#REF!</v>
      </c>
      <c r="AE1159" s="53" t="e">
        <f>AD1159-#REF!</f>
        <v>#REF!</v>
      </c>
      <c r="AF1159" s="8"/>
      <c r="AG1159" s="33" t="e">
        <f>#REF!-D1159</f>
        <v>#REF!</v>
      </c>
      <c r="AH1159" s="8"/>
      <c r="AI1159" s="8"/>
      <c r="AJ1159" s="8"/>
      <c r="AK1159" s="8"/>
    </row>
    <row r="1160" spans="1:37" s="16" customFormat="1" ht="20.399999999999999" outlineLevel="1" x14ac:dyDescent="0.2">
      <c r="A1160" s="62" t="s">
        <v>1387</v>
      </c>
      <c r="B1160" s="14" t="s">
        <v>74</v>
      </c>
      <c r="C1160" s="8" t="s">
        <v>48</v>
      </c>
      <c r="D1160" s="25">
        <f t="shared" si="289"/>
        <v>540</v>
      </c>
      <c r="E1160" s="54"/>
      <c r="F1160" s="9"/>
      <c r="G1160" s="9">
        <v>0</v>
      </c>
      <c r="H1160" s="9">
        <f>13-4</f>
        <v>9</v>
      </c>
      <c r="I1160" s="9">
        <v>2</v>
      </c>
      <c r="J1160" s="9">
        <v>10</v>
      </c>
      <c r="K1160" s="9">
        <v>4</v>
      </c>
      <c r="L1160" s="9">
        <v>5</v>
      </c>
      <c r="M1160" s="9">
        <v>6</v>
      </c>
      <c r="N1160" s="9">
        <v>3</v>
      </c>
      <c r="O1160" s="9">
        <v>3</v>
      </c>
      <c r="P1160" s="9">
        <v>3</v>
      </c>
      <c r="Q1160" s="9">
        <v>0</v>
      </c>
      <c r="R1160" s="9">
        <v>0</v>
      </c>
      <c r="S1160" s="9">
        <v>0</v>
      </c>
      <c r="T1160" s="9">
        <v>1</v>
      </c>
      <c r="U1160" s="9">
        <f>30/6</f>
        <v>5</v>
      </c>
      <c r="V1160" s="9">
        <v>6</v>
      </c>
      <c r="W1160" s="9">
        <f>42/6</f>
        <v>7</v>
      </c>
      <c r="X1160" s="9">
        <v>1.5</v>
      </c>
      <c r="Y1160" s="9">
        <v>5.5</v>
      </c>
      <c r="Z1160" s="9">
        <v>2</v>
      </c>
      <c r="AA1160" s="9">
        <v>1</v>
      </c>
      <c r="AB1160" s="9">
        <v>16</v>
      </c>
      <c r="AC1160" s="9">
        <v>0</v>
      </c>
      <c r="AD1160" s="53" t="e">
        <f>#REF!*D1160</f>
        <v>#REF!</v>
      </c>
      <c r="AE1160" s="53" t="e">
        <f>AD1160-#REF!</f>
        <v>#REF!</v>
      </c>
      <c r="AF1160" s="9"/>
      <c r="AG1160" s="33" t="e">
        <f>#REF!-D1160</f>
        <v>#REF!</v>
      </c>
    </row>
    <row r="1161" spans="1:37" s="16" customFormat="1" ht="20.399999999999999" outlineLevel="1" x14ac:dyDescent="0.2">
      <c r="A1161" s="62" t="s">
        <v>1388</v>
      </c>
      <c r="B1161" s="14" t="s">
        <v>75</v>
      </c>
      <c r="C1161" s="8" t="s">
        <v>48</v>
      </c>
      <c r="D1161" s="25">
        <f t="shared" si="289"/>
        <v>504</v>
      </c>
      <c r="E1161" s="54"/>
      <c r="F1161" s="9"/>
      <c r="G1161" s="9">
        <v>27</v>
      </c>
      <c r="H1161" s="9">
        <v>6</v>
      </c>
      <c r="I1161" s="9">
        <v>3</v>
      </c>
      <c r="J1161" s="9">
        <v>5</v>
      </c>
      <c r="K1161" s="9">
        <v>1</v>
      </c>
      <c r="L1161" s="9">
        <v>2</v>
      </c>
      <c r="M1161" s="9">
        <v>3</v>
      </c>
      <c r="N1161" s="9">
        <v>4</v>
      </c>
      <c r="O1161" s="9">
        <v>6</v>
      </c>
      <c r="P1161" s="9">
        <v>4</v>
      </c>
      <c r="Q1161" s="9">
        <v>0</v>
      </c>
      <c r="R1161" s="9">
        <v>0</v>
      </c>
      <c r="S1161" s="9">
        <v>0</v>
      </c>
      <c r="T1161" s="9">
        <v>1</v>
      </c>
      <c r="U1161" s="9">
        <v>0</v>
      </c>
      <c r="V1161" s="9">
        <f>24/6</f>
        <v>4</v>
      </c>
      <c r="W1161" s="9">
        <v>4</v>
      </c>
      <c r="X1161" s="9">
        <v>3</v>
      </c>
      <c r="Y1161" s="9">
        <v>2</v>
      </c>
      <c r="Z1161" s="9">
        <v>5</v>
      </c>
      <c r="AA1161" s="9">
        <v>4</v>
      </c>
      <c r="AB1161" s="9">
        <v>0</v>
      </c>
      <c r="AC1161" s="9">
        <v>0</v>
      </c>
      <c r="AD1161" s="53" t="e">
        <f>#REF!*D1161</f>
        <v>#REF!</v>
      </c>
      <c r="AE1161" s="53" t="e">
        <f>AD1161-#REF!</f>
        <v>#REF!</v>
      </c>
      <c r="AF1161" s="9"/>
      <c r="AG1161" s="33" t="e">
        <f>#REF!-D1161</f>
        <v>#REF!</v>
      </c>
    </row>
    <row r="1162" spans="1:37" s="16" customFormat="1" ht="20.399999999999999" outlineLevel="1" x14ac:dyDescent="0.2">
      <c r="A1162" s="62" t="s">
        <v>1389</v>
      </c>
      <c r="B1162" s="14" t="s">
        <v>76</v>
      </c>
      <c r="C1162" s="8" t="s">
        <v>48</v>
      </c>
      <c r="D1162" s="25">
        <f t="shared" si="289"/>
        <v>483</v>
      </c>
      <c r="E1162" s="54"/>
      <c r="F1162" s="9"/>
      <c r="G1162" s="9">
        <v>6</v>
      </c>
      <c r="H1162" s="9">
        <v>18</v>
      </c>
      <c r="I1162" s="9">
        <f>48/6</f>
        <v>8</v>
      </c>
      <c r="J1162" s="9">
        <f>42/6</f>
        <v>7</v>
      </c>
      <c r="K1162" s="9">
        <v>3</v>
      </c>
      <c r="L1162" s="9">
        <v>14</v>
      </c>
      <c r="M1162" s="9">
        <v>2</v>
      </c>
      <c r="N1162" s="9">
        <v>1</v>
      </c>
      <c r="O1162" s="9">
        <v>2</v>
      </c>
      <c r="P1162" s="9">
        <v>4</v>
      </c>
      <c r="Q1162" s="9">
        <v>0</v>
      </c>
      <c r="R1162" s="9">
        <v>7</v>
      </c>
      <c r="S1162" s="9">
        <v>0</v>
      </c>
      <c r="T1162" s="9">
        <v>1</v>
      </c>
      <c r="U1162" s="9">
        <v>0</v>
      </c>
      <c r="V1162" s="9">
        <v>0</v>
      </c>
      <c r="W1162" s="9">
        <v>0</v>
      </c>
      <c r="X1162" s="9">
        <v>2</v>
      </c>
      <c r="Y1162" s="9">
        <v>2</v>
      </c>
      <c r="Z1162" s="9">
        <v>1.5</v>
      </c>
      <c r="AA1162" s="9">
        <v>2</v>
      </c>
      <c r="AB1162" s="9">
        <v>0</v>
      </c>
      <c r="AC1162" s="9">
        <v>0</v>
      </c>
      <c r="AD1162" s="53" t="e">
        <f>#REF!*D1162</f>
        <v>#REF!</v>
      </c>
      <c r="AE1162" s="53" t="e">
        <f>AD1162-#REF!</f>
        <v>#REF!</v>
      </c>
      <c r="AF1162" s="9"/>
      <c r="AG1162" s="33" t="e">
        <f>#REF!-D1162</f>
        <v>#REF!</v>
      </c>
    </row>
    <row r="1163" spans="1:37" s="16" customFormat="1" ht="20.399999999999999" outlineLevel="1" x14ac:dyDescent="0.2">
      <c r="A1163" s="62" t="s">
        <v>1390</v>
      </c>
      <c r="B1163" s="14" t="s">
        <v>204</v>
      </c>
      <c r="C1163" s="8" t="s">
        <v>48</v>
      </c>
      <c r="D1163" s="25">
        <f t="shared" si="289"/>
        <v>417</v>
      </c>
      <c r="E1163" s="54"/>
      <c r="F1163" s="9"/>
      <c r="G1163" s="9">
        <v>30</v>
      </c>
      <c r="H1163" s="9">
        <v>6</v>
      </c>
      <c r="I1163" s="9">
        <v>0</v>
      </c>
      <c r="J1163" s="9">
        <v>1</v>
      </c>
      <c r="K1163" s="9">
        <v>2</v>
      </c>
      <c r="L1163" s="9">
        <v>4</v>
      </c>
      <c r="M1163" s="9">
        <v>4</v>
      </c>
      <c r="N1163" s="9">
        <v>3</v>
      </c>
      <c r="O1163" s="9">
        <v>3</v>
      </c>
      <c r="P1163" s="9">
        <v>2</v>
      </c>
      <c r="Q1163" s="9">
        <v>0</v>
      </c>
      <c r="R1163" s="9">
        <v>3</v>
      </c>
      <c r="S1163" s="9">
        <v>0</v>
      </c>
      <c r="T1163" s="9">
        <v>2</v>
      </c>
      <c r="U1163" s="9">
        <v>0</v>
      </c>
      <c r="V1163" s="9">
        <v>0</v>
      </c>
      <c r="W1163" s="9">
        <v>9.5</v>
      </c>
      <c r="X1163" s="9">
        <v>0</v>
      </c>
      <c r="Y1163" s="9">
        <v>0</v>
      </c>
      <c r="Z1163" s="9">
        <v>0</v>
      </c>
      <c r="AA1163" s="9">
        <v>0</v>
      </c>
      <c r="AB1163" s="9">
        <v>0</v>
      </c>
      <c r="AC1163" s="9">
        <v>0</v>
      </c>
      <c r="AD1163" s="53" t="e">
        <f>#REF!*D1163</f>
        <v>#REF!</v>
      </c>
      <c r="AE1163" s="53" t="e">
        <f>AD1163-#REF!</f>
        <v>#REF!</v>
      </c>
      <c r="AF1163" s="9"/>
      <c r="AG1163" s="33" t="e">
        <f>#REF!-D1163</f>
        <v>#REF!</v>
      </c>
    </row>
    <row r="1164" spans="1:37" s="16" customFormat="1" ht="20.399999999999999" outlineLevel="1" x14ac:dyDescent="0.2">
      <c r="A1164" s="62" t="s">
        <v>1391</v>
      </c>
      <c r="B1164" s="14" t="s">
        <v>1383</v>
      </c>
      <c r="C1164" s="8" t="s">
        <v>48</v>
      </c>
      <c r="D1164" s="25">
        <f t="shared" si="289"/>
        <v>138</v>
      </c>
      <c r="E1164" s="54"/>
      <c r="F1164" s="9"/>
      <c r="G1164" s="9">
        <v>0</v>
      </c>
      <c r="H1164" s="9">
        <f>18/6</f>
        <v>3</v>
      </c>
      <c r="I1164" s="9">
        <v>0</v>
      </c>
      <c r="J1164" s="9">
        <v>0</v>
      </c>
      <c r="K1164" s="9">
        <v>0</v>
      </c>
      <c r="L1164" s="9">
        <v>0</v>
      </c>
      <c r="M1164" s="9">
        <v>0</v>
      </c>
      <c r="N1164" s="9">
        <v>0</v>
      </c>
      <c r="O1164" s="9">
        <v>0</v>
      </c>
      <c r="P1164" s="9">
        <v>0</v>
      </c>
      <c r="Q1164" s="9">
        <v>0</v>
      </c>
      <c r="R1164" s="9">
        <v>12</v>
      </c>
      <c r="S1164" s="9">
        <v>0</v>
      </c>
      <c r="T1164" s="9">
        <v>2</v>
      </c>
      <c r="U1164" s="9">
        <v>0</v>
      </c>
      <c r="V1164" s="9">
        <v>0</v>
      </c>
      <c r="W1164" s="9">
        <v>0</v>
      </c>
      <c r="X1164" s="9">
        <v>0</v>
      </c>
      <c r="Y1164" s="9">
        <v>0</v>
      </c>
      <c r="Z1164" s="9">
        <v>0</v>
      </c>
      <c r="AA1164" s="9">
        <v>0</v>
      </c>
      <c r="AB1164" s="9">
        <v>6</v>
      </c>
      <c r="AC1164" s="9">
        <v>0</v>
      </c>
      <c r="AD1164" s="53" t="e">
        <f>#REF!*D1164</f>
        <v>#REF!</v>
      </c>
      <c r="AE1164" s="53" t="e">
        <f>AD1164-#REF!</f>
        <v>#REF!</v>
      </c>
      <c r="AF1164" s="9"/>
      <c r="AG1164" s="33" t="e">
        <f>#REF!-D1164</f>
        <v>#REF!</v>
      </c>
    </row>
    <row r="1165" spans="1:37" s="16" customFormat="1" ht="20.399999999999999" outlineLevel="1" x14ac:dyDescent="0.2">
      <c r="A1165" s="62" t="s">
        <v>1392</v>
      </c>
      <c r="B1165" s="14" t="s">
        <v>331</v>
      </c>
      <c r="C1165" s="8" t="s">
        <v>48</v>
      </c>
      <c r="D1165" s="25">
        <f t="shared" si="289"/>
        <v>24</v>
      </c>
      <c r="E1165" s="54"/>
      <c r="F1165" s="9"/>
      <c r="G1165" s="9">
        <v>0</v>
      </c>
      <c r="H1165" s="9">
        <v>0</v>
      </c>
      <c r="I1165" s="9">
        <v>0</v>
      </c>
      <c r="J1165" s="9">
        <v>0</v>
      </c>
      <c r="K1165" s="9">
        <v>0</v>
      </c>
      <c r="L1165" s="9">
        <v>0</v>
      </c>
      <c r="M1165" s="9">
        <v>0</v>
      </c>
      <c r="N1165" s="9">
        <v>0</v>
      </c>
      <c r="O1165" s="9">
        <v>0</v>
      </c>
      <c r="P1165" s="9">
        <v>0</v>
      </c>
      <c r="Q1165" s="9">
        <v>0</v>
      </c>
      <c r="R1165" s="9">
        <v>3</v>
      </c>
      <c r="S1165" s="9">
        <v>0</v>
      </c>
      <c r="T1165" s="9">
        <v>1</v>
      </c>
      <c r="U1165" s="9">
        <v>0</v>
      </c>
      <c r="V1165" s="9">
        <v>0</v>
      </c>
      <c r="W1165" s="9">
        <v>0</v>
      </c>
      <c r="X1165" s="9">
        <v>0</v>
      </c>
      <c r="Y1165" s="9">
        <v>0</v>
      </c>
      <c r="Z1165" s="9">
        <v>0</v>
      </c>
      <c r="AA1165" s="9">
        <v>0</v>
      </c>
      <c r="AB1165" s="9">
        <v>0</v>
      </c>
      <c r="AC1165" s="9">
        <v>0</v>
      </c>
      <c r="AD1165" s="53" t="e">
        <f>#REF!*D1165</f>
        <v>#REF!</v>
      </c>
      <c r="AE1165" s="53" t="e">
        <f>AD1165-#REF!</f>
        <v>#REF!</v>
      </c>
      <c r="AF1165" s="9"/>
      <c r="AG1165" s="33" t="e">
        <f>#REF!-D1165</f>
        <v>#REF!</v>
      </c>
    </row>
    <row r="1166" spans="1:37" s="16" customFormat="1" ht="20.399999999999999" outlineLevel="1" x14ac:dyDescent="0.2">
      <c r="A1166" s="62" t="s">
        <v>1393</v>
      </c>
      <c r="B1166" s="14" t="s">
        <v>186</v>
      </c>
      <c r="C1166" s="9" t="s">
        <v>47</v>
      </c>
      <c r="D1166" s="25">
        <f t="shared" ref="D1166:D1197" si="290">SUM(G1166:AC1166)</f>
        <v>4</v>
      </c>
      <c r="E1166" s="54"/>
      <c r="F1166" s="9"/>
      <c r="G1166" s="9">
        <v>4</v>
      </c>
      <c r="H1166" s="9">
        <v>0</v>
      </c>
      <c r="I1166" s="9">
        <v>0</v>
      </c>
      <c r="J1166" s="9">
        <v>0</v>
      </c>
      <c r="K1166" s="9">
        <v>0</v>
      </c>
      <c r="L1166" s="9">
        <v>0</v>
      </c>
      <c r="M1166" s="9">
        <v>0</v>
      </c>
      <c r="N1166" s="9">
        <v>0</v>
      </c>
      <c r="O1166" s="9">
        <v>0</v>
      </c>
      <c r="P1166" s="9">
        <v>0</v>
      </c>
      <c r="Q1166" s="9">
        <v>0</v>
      </c>
      <c r="R1166" s="9">
        <v>0</v>
      </c>
      <c r="S1166" s="9">
        <v>0</v>
      </c>
      <c r="T1166" s="9">
        <v>0</v>
      </c>
      <c r="U1166" s="9">
        <v>0</v>
      </c>
      <c r="V1166" s="9">
        <v>0</v>
      </c>
      <c r="W1166" s="9">
        <v>0</v>
      </c>
      <c r="X1166" s="9">
        <v>0</v>
      </c>
      <c r="Y1166" s="9">
        <v>0</v>
      </c>
      <c r="Z1166" s="9">
        <v>0</v>
      </c>
      <c r="AA1166" s="9">
        <v>0</v>
      </c>
      <c r="AB1166" s="9">
        <v>0</v>
      </c>
      <c r="AC1166" s="9">
        <v>0</v>
      </c>
      <c r="AD1166" s="53" t="e">
        <f>#REF!*D1166</f>
        <v>#REF!</v>
      </c>
      <c r="AE1166" s="53" t="e">
        <f>AD1166-#REF!</f>
        <v>#REF!</v>
      </c>
      <c r="AF1166" s="9"/>
      <c r="AG1166" s="33" t="e">
        <f>#REF!-D1166</f>
        <v>#REF!</v>
      </c>
    </row>
    <row r="1167" spans="1:37" s="16" customFormat="1" ht="20.399999999999999" outlineLevel="1" x14ac:dyDescent="0.2">
      <c r="A1167" s="62" t="s">
        <v>1394</v>
      </c>
      <c r="B1167" s="14" t="s">
        <v>81</v>
      </c>
      <c r="C1167" s="9" t="s">
        <v>47</v>
      </c>
      <c r="D1167" s="25">
        <f t="shared" si="290"/>
        <v>172.5</v>
      </c>
      <c r="E1167" s="54"/>
      <c r="F1167" s="9"/>
      <c r="G1167" s="49">
        <f t="shared" ref="G1167:T1167" si="291">G1158/2</f>
        <v>0</v>
      </c>
      <c r="H1167" s="49">
        <f t="shared" si="291"/>
        <v>14</v>
      </c>
      <c r="I1167" s="49">
        <f t="shared" si="291"/>
        <v>12.5</v>
      </c>
      <c r="J1167" s="49">
        <f t="shared" si="291"/>
        <v>11</v>
      </c>
      <c r="K1167" s="49">
        <f t="shared" si="291"/>
        <v>5</v>
      </c>
      <c r="L1167" s="49">
        <f t="shared" si="291"/>
        <v>12</v>
      </c>
      <c r="M1167" s="49">
        <f t="shared" si="291"/>
        <v>10</v>
      </c>
      <c r="N1167" s="49">
        <f t="shared" si="291"/>
        <v>9</v>
      </c>
      <c r="O1167" s="49">
        <f t="shared" si="291"/>
        <v>10.5</v>
      </c>
      <c r="P1167" s="49">
        <f t="shared" si="291"/>
        <v>13.5</v>
      </c>
      <c r="Q1167" s="49">
        <f t="shared" si="291"/>
        <v>0</v>
      </c>
      <c r="R1167" s="49">
        <f t="shared" si="291"/>
        <v>7</v>
      </c>
      <c r="S1167" s="49">
        <f t="shared" si="291"/>
        <v>0</v>
      </c>
      <c r="T1167" s="49">
        <f t="shared" si="291"/>
        <v>0</v>
      </c>
      <c r="U1167" s="49">
        <f t="shared" ref="U1167:AC1167" si="292">MROUND(U1158/2,1)</f>
        <v>9</v>
      </c>
      <c r="V1167" s="49">
        <f t="shared" si="292"/>
        <v>6</v>
      </c>
      <c r="W1167" s="49">
        <f t="shared" si="292"/>
        <v>3</v>
      </c>
      <c r="X1167" s="49">
        <f t="shared" si="292"/>
        <v>12</v>
      </c>
      <c r="Y1167" s="49">
        <f t="shared" si="292"/>
        <v>12</v>
      </c>
      <c r="Z1167" s="49">
        <f t="shared" si="292"/>
        <v>11</v>
      </c>
      <c r="AA1167" s="49">
        <f t="shared" si="292"/>
        <v>12</v>
      </c>
      <c r="AB1167" s="49">
        <f t="shared" si="292"/>
        <v>3</v>
      </c>
      <c r="AC1167" s="49">
        <f t="shared" si="292"/>
        <v>0</v>
      </c>
      <c r="AD1167" s="53" t="e">
        <f>#REF!*D1167</f>
        <v>#REF!</v>
      </c>
      <c r="AE1167" s="53" t="e">
        <f>AD1167-#REF!</f>
        <v>#REF!</v>
      </c>
      <c r="AF1167" s="9"/>
      <c r="AG1167" s="33" t="e">
        <f>#REF!-D1167</f>
        <v>#REF!</v>
      </c>
    </row>
    <row r="1168" spans="1:37" s="12" customFormat="1" ht="20.399999999999999" outlineLevel="1" x14ac:dyDescent="0.2">
      <c r="A1168" s="62" t="s">
        <v>1395</v>
      </c>
      <c r="B1168" s="14" t="s">
        <v>82</v>
      </c>
      <c r="C1168" s="8" t="s">
        <v>47</v>
      </c>
      <c r="D1168" s="25">
        <f t="shared" si="290"/>
        <v>42</v>
      </c>
      <c r="E1168" s="54"/>
      <c r="F1168" s="9"/>
      <c r="G1168" s="49">
        <f t="shared" ref="G1168:T1168" si="293">G1159/2</f>
        <v>0</v>
      </c>
      <c r="H1168" s="49">
        <f t="shared" si="293"/>
        <v>12</v>
      </c>
      <c r="I1168" s="49">
        <f t="shared" si="293"/>
        <v>2</v>
      </c>
      <c r="J1168" s="49">
        <f t="shared" si="293"/>
        <v>1</v>
      </c>
      <c r="K1168" s="49">
        <f t="shared" si="293"/>
        <v>1</v>
      </c>
      <c r="L1168" s="49">
        <f t="shared" si="293"/>
        <v>2</v>
      </c>
      <c r="M1168" s="49">
        <f t="shared" si="293"/>
        <v>1.5</v>
      </c>
      <c r="N1168" s="49">
        <f t="shared" si="293"/>
        <v>1</v>
      </c>
      <c r="O1168" s="49">
        <f t="shared" si="293"/>
        <v>0.5</v>
      </c>
      <c r="P1168" s="49">
        <f t="shared" si="293"/>
        <v>3</v>
      </c>
      <c r="Q1168" s="49">
        <f t="shared" si="293"/>
        <v>0</v>
      </c>
      <c r="R1168" s="49">
        <f t="shared" si="293"/>
        <v>0</v>
      </c>
      <c r="S1168" s="49">
        <f t="shared" si="293"/>
        <v>0</v>
      </c>
      <c r="T1168" s="49">
        <f t="shared" si="293"/>
        <v>0</v>
      </c>
      <c r="U1168" s="49">
        <f t="shared" ref="U1168:AC1168" si="294">MROUND(U1159/2,1)</f>
        <v>4</v>
      </c>
      <c r="V1168" s="49">
        <f t="shared" si="294"/>
        <v>1</v>
      </c>
      <c r="W1168" s="49">
        <f t="shared" si="294"/>
        <v>3</v>
      </c>
      <c r="X1168" s="49">
        <f t="shared" si="294"/>
        <v>2</v>
      </c>
      <c r="Y1168" s="49">
        <f t="shared" si="294"/>
        <v>1</v>
      </c>
      <c r="Z1168" s="49">
        <f t="shared" si="294"/>
        <v>3</v>
      </c>
      <c r="AA1168" s="49">
        <f t="shared" si="294"/>
        <v>1</v>
      </c>
      <c r="AB1168" s="49">
        <f t="shared" si="294"/>
        <v>3</v>
      </c>
      <c r="AC1168" s="49">
        <f t="shared" si="294"/>
        <v>0</v>
      </c>
      <c r="AD1168" s="53" t="e">
        <f>#REF!*D1168</f>
        <v>#REF!</v>
      </c>
      <c r="AE1168" s="53" t="e">
        <f>AD1168-#REF!</f>
        <v>#REF!</v>
      </c>
      <c r="AF1168" s="8"/>
      <c r="AG1168" s="33" t="e">
        <f>#REF!-D1168</f>
        <v>#REF!</v>
      </c>
      <c r="AH1168" s="8"/>
      <c r="AI1168" s="8"/>
      <c r="AJ1168" s="8"/>
      <c r="AK1168" s="8"/>
    </row>
    <row r="1169" spans="1:37" s="16" customFormat="1" ht="20.399999999999999" outlineLevel="1" x14ac:dyDescent="0.2">
      <c r="A1169" s="62" t="s">
        <v>1396</v>
      </c>
      <c r="B1169" s="14" t="s">
        <v>83</v>
      </c>
      <c r="C1169" s="9" t="s">
        <v>47</v>
      </c>
      <c r="D1169" s="25">
        <f t="shared" si="290"/>
        <v>47</v>
      </c>
      <c r="E1169" s="54"/>
      <c r="F1169" s="9"/>
      <c r="G1169" s="49">
        <f t="shared" ref="G1169:T1169" si="295">G1160/2</f>
        <v>0</v>
      </c>
      <c r="H1169" s="49">
        <f t="shared" si="295"/>
        <v>4.5</v>
      </c>
      <c r="I1169" s="49">
        <f t="shared" si="295"/>
        <v>1</v>
      </c>
      <c r="J1169" s="49">
        <f t="shared" si="295"/>
        <v>5</v>
      </c>
      <c r="K1169" s="49">
        <f t="shared" si="295"/>
        <v>2</v>
      </c>
      <c r="L1169" s="49">
        <f t="shared" si="295"/>
        <v>2.5</v>
      </c>
      <c r="M1169" s="49">
        <f t="shared" si="295"/>
        <v>3</v>
      </c>
      <c r="N1169" s="49">
        <f t="shared" si="295"/>
        <v>1.5</v>
      </c>
      <c r="O1169" s="49">
        <f t="shared" si="295"/>
        <v>1.5</v>
      </c>
      <c r="P1169" s="49">
        <f t="shared" si="295"/>
        <v>1.5</v>
      </c>
      <c r="Q1169" s="49">
        <f t="shared" si="295"/>
        <v>0</v>
      </c>
      <c r="R1169" s="49">
        <f t="shared" si="295"/>
        <v>0</v>
      </c>
      <c r="S1169" s="49">
        <f t="shared" si="295"/>
        <v>0</v>
      </c>
      <c r="T1169" s="49">
        <f t="shared" si="295"/>
        <v>0.5</v>
      </c>
      <c r="U1169" s="49">
        <f t="shared" ref="U1169:AC1169" si="296">MROUND(U1160/2,1)</f>
        <v>3</v>
      </c>
      <c r="V1169" s="49">
        <f t="shared" si="296"/>
        <v>3</v>
      </c>
      <c r="W1169" s="49">
        <f t="shared" si="296"/>
        <v>4</v>
      </c>
      <c r="X1169" s="49">
        <f t="shared" si="296"/>
        <v>1</v>
      </c>
      <c r="Y1169" s="49">
        <f t="shared" si="296"/>
        <v>3</v>
      </c>
      <c r="Z1169" s="49">
        <f t="shared" si="296"/>
        <v>1</v>
      </c>
      <c r="AA1169" s="49">
        <f t="shared" si="296"/>
        <v>1</v>
      </c>
      <c r="AB1169" s="49">
        <f t="shared" si="296"/>
        <v>8</v>
      </c>
      <c r="AC1169" s="49">
        <f t="shared" si="296"/>
        <v>0</v>
      </c>
      <c r="AD1169" s="53" t="e">
        <f>#REF!*D1169</f>
        <v>#REF!</v>
      </c>
      <c r="AE1169" s="53" t="e">
        <f>AD1169-#REF!</f>
        <v>#REF!</v>
      </c>
      <c r="AF1169" s="9"/>
      <c r="AG1169" s="33" t="e">
        <f>#REF!-D1169</f>
        <v>#REF!</v>
      </c>
    </row>
    <row r="1170" spans="1:37" s="16" customFormat="1" ht="20.399999999999999" outlineLevel="1" x14ac:dyDescent="0.2">
      <c r="A1170" s="62" t="s">
        <v>1397</v>
      </c>
      <c r="B1170" s="14" t="s">
        <v>84</v>
      </c>
      <c r="C1170" s="9" t="s">
        <v>47</v>
      </c>
      <c r="D1170" s="25">
        <f t="shared" si="290"/>
        <v>43</v>
      </c>
      <c r="E1170" s="54"/>
      <c r="F1170" s="9"/>
      <c r="G1170" s="49">
        <f t="shared" ref="G1170:T1170" si="297">G1161/2</f>
        <v>13.5</v>
      </c>
      <c r="H1170" s="49">
        <f t="shared" si="297"/>
        <v>3</v>
      </c>
      <c r="I1170" s="49">
        <f t="shared" si="297"/>
        <v>1.5</v>
      </c>
      <c r="J1170" s="49">
        <f t="shared" si="297"/>
        <v>2.5</v>
      </c>
      <c r="K1170" s="49">
        <f t="shared" si="297"/>
        <v>0.5</v>
      </c>
      <c r="L1170" s="49">
        <f t="shared" si="297"/>
        <v>1</v>
      </c>
      <c r="M1170" s="49">
        <f t="shared" si="297"/>
        <v>1.5</v>
      </c>
      <c r="N1170" s="49">
        <f t="shared" si="297"/>
        <v>2</v>
      </c>
      <c r="O1170" s="49">
        <f t="shared" si="297"/>
        <v>3</v>
      </c>
      <c r="P1170" s="49">
        <f t="shared" si="297"/>
        <v>2</v>
      </c>
      <c r="Q1170" s="49">
        <f t="shared" si="297"/>
        <v>0</v>
      </c>
      <c r="R1170" s="49">
        <f t="shared" si="297"/>
        <v>0</v>
      </c>
      <c r="S1170" s="49">
        <f t="shared" si="297"/>
        <v>0</v>
      </c>
      <c r="T1170" s="49">
        <f t="shared" si="297"/>
        <v>0.5</v>
      </c>
      <c r="U1170" s="49">
        <f t="shared" ref="U1170:AC1170" si="298">MROUND(U1161/2,1)</f>
        <v>0</v>
      </c>
      <c r="V1170" s="49">
        <f t="shared" si="298"/>
        <v>2</v>
      </c>
      <c r="W1170" s="49">
        <f t="shared" si="298"/>
        <v>2</v>
      </c>
      <c r="X1170" s="49">
        <f t="shared" si="298"/>
        <v>2</v>
      </c>
      <c r="Y1170" s="49">
        <f t="shared" si="298"/>
        <v>1</v>
      </c>
      <c r="Z1170" s="49">
        <f t="shared" si="298"/>
        <v>3</v>
      </c>
      <c r="AA1170" s="49">
        <f t="shared" si="298"/>
        <v>2</v>
      </c>
      <c r="AB1170" s="49">
        <f t="shared" si="298"/>
        <v>0</v>
      </c>
      <c r="AC1170" s="49">
        <f t="shared" si="298"/>
        <v>0</v>
      </c>
      <c r="AD1170" s="53" t="e">
        <f>#REF!*D1170</f>
        <v>#REF!</v>
      </c>
      <c r="AE1170" s="53" t="e">
        <f>AD1170-#REF!</f>
        <v>#REF!</v>
      </c>
      <c r="AF1170" s="9"/>
      <c r="AG1170" s="33" t="e">
        <f>#REF!-D1170</f>
        <v>#REF!</v>
      </c>
    </row>
    <row r="1171" spans="1:37" s="16" customFormat="1" ht="20.399999999999999" outlineLevel="1" x14ac:dyDescent="0.2">
      <c r="A1171" s="62" t="s">
        <v>1398</v>
      </c>
      <c r="B1171" s="14" t="s">
        <v>85</v>
      </c>
      <c r="C1171" s="9" t="s">
        <v>47</v>
      </c>
      <c r="D1171" s="25">
        <f t="shared" si="290"/>
        <v>40.5</v>
      </c>
      <c r="E1171" s="54"/>
      <c r="F1171" s="9"/>
      <c r="G1171" s="49">
        <f t="shared" ref="G1171:T1171" si="299">G1162/2</f>
        <v>3</v>
      </c>
      <c r="H1171" s="49">
        <f t="shared" si="299"/>
        <v>9</v>
      </c>
      <c r="I1171" s="49">
        <f t="shared" si="299"/>
        <v>4</v>
      </c>
      <c r="J1171" s="49">
        <f t="shared" si="299"/>
        <v>3.5</v>
      </c>
      <c r="K1171" s="49">
        <f t="shared" si="299"/>
        <v>1.5</v>
      </c>
      <c r="L1171" s="49">
        <f t="shared" si="299"/>
        <v>7</v>
      </c>
      <c r="M1171" s="49">
        <f t="shared" si="299"/>
        <v>1</v>
      </c>
      <c r="N1171" s="49">
        <f t="shared" si="299"/>
        <v>0.5</v>
      </c>
      <c r="O1171" s="49">
        <f t="shared" si="299"/>
        <v>1</v>
      </c>
      <c r="P1171" s="49">
        <f t="shared" si="299"/>
        <v>2</v>
      </c>
      <c r="Q1171" s="49">
        <f t="shared" si="299"/>
        <v>0</v>
      </c>
      <c r="R1171" s="49">
        <f t="shared" si="299"/>
        <v>3.5</v>
      </c>
      <c r="S1171" s="49">
        <f t="shared" si="299"/>
        <v>0</v>
      </c>
      <c r="T1171" s="49">
        <f t="shared" si="299"/>
        <v>0.5</v>
      </c>
      <c r="U1171" s="49">
        <f t="shared" ref="U1171:AC1171" si="300">MROUND(U1162/2,1)</f>
        <v>0</v>
      </c>
      <c r="V1171" s="49">
        <f t="shared" si="300"/>
        <v>0</v>
      </c>
      <c r="W1171" s="49">
        <f t="shared" si="300"/>
        <v>0</v>
      </c>
      <c r="X1171" s="49">
        <f t="shared" si="300"/>
        <v>1</v>
      </c>
      <c r="Y1171" s="49">
        <f t="shared" si="300"/>
        <v>1</v>
      </c>
      <c r="Z1171" s="49">
        <f t="shared" si="300"/>
        <v>1</v>
      </c>
      <c r="AA1171" s="49">
        <f t="shared" si="300"/>
        <v>1</v>
      </c>
      <c r="AB1171" s="49">
        <f t="shared" si="300"/>
        <v>0</v>
      </c>
      <c r="AC1171" s="49">
        <f t="shared" si="300"/>
        <v>0</v>
      </c>
      <c r="AD1171" s="53" t="e">
        <f>#REF!*D1171</f>
        <v>#REF!</v>
      </c>
      <c r="AE1171" s="53" t="e">
        <f>AD1171-#REF!</f>
        <v>#REF!</v>
      </c>
      <c r="AF1171" s="9"/>
      <c r="AG1171" s="33" t="e">
        <f>#REF!-D1171</f>
        <v>#REF!</v>
      </c>
    </row>
    <row r="1172" spans="1:37" s="16" customFormat="1" ht="20.399999999999999" outlineLevel="1" x14ac:dyDescent="0.2">
      <c r="A1172" s="62" t="s">
        <v>1399</v>
      </c>
      <c r="B1172" s="14" t="s">
        <v>340</v>
      </c>
      <c r="C1172" s="9" t="s">
        <v>47</v>
      </c>
      <c r="D1172" s="25">
        <f t="shared" si="290"/>
        <v>35</v>
      </c>
      <c r="E1172" s="54"/>
      <c r="F1172" s="9"/>
      <c r="G1172" s="49">
        <f t="shared" ref="G1172:T1172" si="301">G1163/2</f>
        <v>15</v>
      </c>
      <c r="H1172" s="49">
        <f t="shared" si="301"/>
        <v>3</v>
      </c>
      <c r="I1172" s="49">
        <f t="shared" si="301"/>
        <v>0</v>
      </c>
      <c r="J1172" s="49">
        <f t="shared" si="301"/>
        <v>0.5</v>
      </c>
      <c r="K1172" s="49">
        <f t="shared" si="301"/>
        <v>1</v>
      </c>
      <c r="L1172" s="49">
        <f t="shared" si="301"/>
        <v>2</v>
      </c>
      <c r="M1172" s="49">
        <f t="shared" si="301"/>
        <v>2</v>
      </c>
      <c r="N1172" s="49">
        <f t="shared" si="301"/>
        <v>1.5</v>
      </c>
      <c r="O1172" s="49">
        <f t="shared" si="301"/>
        <v>1.5</v>
      </c>
      <c r="P1172" s="49">
        <f t="shared" si="301"/>
        <v>1</v>
      </c>
      <c r="Q1172" s="49">
        <f t="shared" si="301"/>
        <v>0</v>
      </c>
      <c r="R1172" s="49">
        <f t="shared" si="301"/>
        <v>1.5</v>
      </c>
      <c r="S1172" s="49">
        <f t="shared" si="301"/>
        <v>0</v>
      </c>
      <c r="T1172" s="49">
        <f t="shared" si="301"/>
        <v>1</v>
      </c>
      <c r="U1172" s="49">
        <f t="shared" ref="U1172:AC1172" si="302">MROUND(U1163/2,1)</f>
        <v>0</v>
      </c>
      <c r="V1172" s="49">
        <f t="shared" si="302"/>
        <v>0</v>
      </c>
      <c r="W1172" s="49">
        <f t="shared" si="302"/>
        <v>5</v>
      </c>
      <c r="X1172" s="49">
        <f t="shared" si="302"/>
        <v>0</v>
      </c>
      <c r="Y1172" s="49">
        <f t="shared" si="302"/>
        <v>0</v>
      </c>
      <c r="Z1172" s="49">
        <f t="shared" si="302"/>
        <v>0</v>
      </c>
      <c r="AA1172" s="49">
        <f t="shared" si="302"/>
        <v>0</v>
      </c>
      <c r="AB1172" s="49">
        <f t="shared" si="302"/>
        <v>0</v>
      </c>
      <c r="AC1172" s="49">
        <f t="shared" si="302"/>
        <v>0</v>
      </c>
      <c r="AD1172" s="53" t="e">
        <f>#REF!*D1172</f>
        <v>#REF!</v>
      </c>
      <c r="AE1172" s="53" t="e">
        <f>AD1172-#REF!</f>
        <v>#REF!</v>
      </c>
      <c r="AF1172" s="9"/>
      <c r="AG1172" s="33" t="e">
        <f>#REF!-D1172</f>
        <v>#REF!</v>
      </c>
    </row>
    <row r="1173" spans="1:37" s="16" customFormat="1" ht="20.399999999999999" outlineLevel="1" x14ac:dyDescent="0.2">
      <c r="A1173" s="62" t="s">
        <v>1400</v>
      </c>
      <c r="B1173" s="14" t="s">
        <v>1384</v>
      </c>
      <c r="C1173" s="9" t="s">
        <v>47</v>
      </c>
      <c r="D1173" s="25">
        <f t="shared" si="290"/>
        <v>11.5</v>
      </c>
      <c r="E1173" s="54"/>
      <c r="F1173" s="9"/>
      <c r="G1173" s="49">
        <f t="shared" ref="G1173:T1173" si="303">G1164/2</f>
        <v>0</v>
      </c>
      <c r="H1173" s="49">
        <f t="shared" si="303"/>
        <v>1.5</v>
      </c>
      <c r="I1173" s="49">
        <f t="shared" si="303"/>
        <v>0</v>
      </c>
      <c r="J1173" s="49">
        <f t="shared" si="303"/>
        <v>0</v>
      </c>
      <c r="K1173" s="49">
        <f t="shared" si="303"/>
        <v>0</v>
      </c>
      <c r="L1173" s="49">
        <f t="shared" si="303"/>
        <v>0</v>
      </c>
      <c r="M1173" s="49">
        <f t="shared" si="303"/>
        <v>0</v>
      </c>
      <c r="N1173" s="49">
        <f t="shared" si="303"/>
        <v>0</v>
      </c>
      <c r="O1173" s="49">
        <f t="shared" si="303"/>
        <v>0</v>
      </c>
      <c r="P1173" s="49">
        <f t="shared" si="303"/>
        <v>0</v>
      </c>
      <c r="Q1173" s="49">
        <f t="shared" si="303"/>
        <v>0</v>
      </c>
      <c r="R1173" s="49">
        <f t="shared" si="303"/>
        <v>6</v>
      </c>
      <c r="S1173" s="49">
        <f t="shared" si="303"/>
        <v>0</v>
      </c>
      <c r="T1173" s="49">
        <f t="shared" si="303"/>
        <v>1</v>
      </c>
      <c r="U1173" s="49">
        <f t="shared" ref="U1173:AC1173" si="304">U1164/2</f>
        <v>0</v>
      </c>
      <c r="V1173" s="49">
        <f t="shared" si="304"/>
        <v>0</v>
      </c>
      <c r="W1173" s="49">
        <f t="shared" si="304"/>
        <v>0</v>
      </c>
      <c r="X1173" s="49">
        <f t="shared" si="304"/>
        <v>0</v>
      </c>
      <c r="Y1173" s="49">
        <f t="shared" si="304"/>
        <v>0</v>
      </c>
      <c r="Z1173" s="49">
        <f t="shared" si="304"/>
        <v>0</v>
      </c>
      <c r="AA1173" s="49">
        <f t="shared" si="304"/>
        <v>0</v>
      </c>
      <c r="AB1173" s="49">
        <f t="shared" si="304"/>
        <v>3</v>
      </c>
      <c r="AC1173" s="49">
        <f t="shared" si="304"/>
        <v>0</v>
      </c>
      <c r="AD1173" s="53" t="e">
        <f>#REF!*D1173</f>
        <v>#REF!</v>
      </c>
      <c r="AE1173" s="53" t="e">
        <f>AD1173-#REF!</f>
        <v>#REF!</v>
      </c>
      <c r="AF1173" s="9"/>
      <c r="AG1173" s="33" t="e">
        <f>#REF!-D1173</f>
        <v>#REF!</v>
      </c>
    </row>
    <row r="1174" spans="1:37" s="16" customFormat="1" ht="20.399999999999999" outlineLevel="1" x14ac:dyDescent="0.2">
      <c r="A1174" s="62" t="s">
        <v>1401</v>
      </c>
      <c r="B1174" s="14" t="s">
        <v>341</v>
      </c>
      <c r="C1174" s="9" t="s">
        <v>47</v>
      </c>
      <c r="D1174" s="25">
        <f t="shared" si="290"/>
        <v>2</v>
      </c>
      <c r="E1174" s="54"/>
      <c r="F1174" s="9"/>
      <c r="G1174" s="49">
        <f t="shared" ref="G1174:T1174" si="305">G1165/2</f>
        <v>0</v>
      </c>
      <c r="H1174" s="49">
        <f t="shared" si="305"/>
        <v>0</v>
      </c>
      <c r="I1174" s="49">
        <f t="shared" si="305"/>
        <v>0</v>
      </c>
      <c r="J1174" s="49">
        <f t="shared" si="305"/>
        <v>0</v>
      </c>
      <c r="K1174" s="49">
        <f t="shared" si="305"/>
        <v>0</v>
      </c>
      <c r="L1174" s="49">
        <f t="shared" si="305"/>
        <v>0</v>
      </c>
      <c r="M1174" s="49">
        <f t="shared" si="305"/>
        <v>0</v>
      </c>
      <c r="N1174" s="49">
        <f t="shared" si="305"/>
        <v>0</v>
      </c>
      <c r="O1174" s="49">
        <f t="shared" si="305"/>
        <v>0</v>
      </c>
      <c r="P1174" s="49">
        <f t="shared" si="305"/>
        <v>0</v>
      </c>
      <c r="Q1174" s="49">
        <f t="shared" si="305"/>
        <v>0</v>
      </c>
      <c r="R1174" s="49">
        <f t="shared" si="305"/>
        <v>1.5</v>
      </c>
      <c r="S1174" s="49">
        <f t="shared" si="305"/>
        <v>0</v>
      </c>
      <c r="T1174" s="49">
        <f t="shared" si="305"/>
        <v>0.5</v>
      </c>
      <c r="U1174" s="49">
        <f t="shared" ref="U1174:AC1174" si="306">U1165/2</f>
        <v>0</v>
      </c>
      <c r="V1174" s="49">
        <f t="shared" si="306"/>
        <v>0</v>
      </c>
      <c r="W1174" s="49">
        <f t="shared" si="306"/>
        <v>0</v>
      </c>
      <c r="X1174" s="49">
        <f t="shared" si="306"/>
        <v>0</v>
      </c>
      <c r="Y1174" s="49">
        <f t="shared" si="306"/>
        <v>0</v>
      </c>
      <c r="Z1174" s="49">
        <f t="shared" si="306"/>
        <v>0</v>
      </c>
      <c r="AA1174" s="49">
        <f t="shared" si="306"/>
        <v>0</v>
      </c>
      <c r="AB1174" s="49">
        <f t="shared" si="306"/>
        <v>0</v>
      </c>
      <c r="AC1174" s="49">
        <f t="shared" si="306"/>
        <v>0</v>
      </c>
      <c r="AD1174" s="53" t="e">
        <f>#REF!*D1174</f>
        <v>#REF!</v>
      </c>
      <c r="AE1174" s="53" t="e">
        <f>AD1174-#REF!</f>
        <v>#REF!</v>
      </c>
      <c r="AF1174" s="9"/>
      <c r="AG1174" s="33" t="e">
        <f>#REF!-D1174</f>
        <v>#REF!</v>
      </c>
    </row>
    <row r="1175" spans="1:37" s="16" customFormat="1" ht="21.6" outlineLevel="1" x14ac:dyDescent="0.2">
      <c r="A1175" s="62" t="s">
        <v>1402</v>
      </c>
      <c r="B1175" s="14" t="s">
        <v>86</v>
      </c>
      <c r="C1175" s="9" t="s">
        <v>47</v>
      </c>
      <c r="D1175" s="25">
        <f t="shared" si="290"/>
        <v>5</v>
      </c>
      <c r="E1175" s="54"/>
      <c r="F1175" s="9"/>
      <c r="G1175" s="9">
        <v>0</v>
      </c>
      <c r="H1175" s="9">
        <v>3</v>
      </c>
      <c r="I1175" s="9">
        <v>0</v>
      </c>
      <c r="J1175" s="9">
        <v>0</v>
      </c>
      <c r="K1175" s="9">
        <v>0</v>
      </c>
      <c r="L1175" s="9">
        <v>0</v>
      </c>
      <c r="M1175" s="9">
        <v>0</v>
      </c>
      <c r="N1175" s="9">
        <v>0</v>
      </c>
      <c r="O1175" s="9">
        <v>0</v>
      </c>
      <c r="P1175" s="9">
        <v>0</v>
      </c>
      <c r="Q1175" s="9">
        <v>0</v>
      </c>
      <c r="R1175" s="9">
        <v>0</v>
      </c>
      <c r="S1175" s="9">
        <v>0</v>
      </c>
      <c r="T1175" s="9">
        <v>0</v>
      </c>
      <c r="U1175" s="9">
        <v>2</v>
      </c>
      <c r="V1175" s="9">
        <v>0</v>
      </c>
      <c r="W1175" s="9">
        <v>0</v>
      </c>
      <c r="X1175" s="9">
        <v>0</v>
      </c>
      <c r="Y1175" s="9">
        <v>0</v>
      </c>
      <c r="Z1175" s="9">
        <v>0</v>
      </c>
      <c r="AA1175" s="9">
        <v>0</v>
      </c>
      <c r="AB1175" s="9">
        <v>0</v>
      </c>
      <c r="AC1175" s="9">
        <v>0</v>
      </c>
      <c r="AD1175" s="53" t="e">
        <f>#REF!*D1175</f>
        <v>#REF!</v>
      </c>
      <c r="AE1175" s="53" t="e">
        <f>AD1175-#REF!</f>
        <v>#REF!</v>
      </c>
      <c r="AF1175" s="9"/>
      <c r="AG1175" s="33" t="e">
        <f>#REF!-D1175</f>
        <v>#REF!</v>
      </c>
    </row>
    <row r="1176" spans="1:37" s="16" customFormat="1" ht="21.6" outlineLevel="1" x14ac:dyDescent="0.2">
      <c r="A1176" s="62" t="s">
        <v>1403</v>
      </c>
      <c r="B1176" s="14" t="s">
        <v>87</v>
      </c>
      <c r="C1176" s="9" t="s">
        <v>47</v>
      </c>
      <c r="D1176" s="25">
        <f t="shared" si="290"/>
        <v>58</v>
      </c>
      <c r="E1176" s="54"/>
      <c r="F1176" s="9"/>
      <c r="G1176" s="9">
        <v>0</v>
      </c>
      <c r="H1176" s="9">
        <v>9</v>
      </c>
      <c r="I1176" s="9">
        <v>9</v>
      </c>
      <c r="J1176" s="9">
        <v>4</v>
      </c>
      <c r="K1176" s="9">
        <v>3</v>
      </c>
      <c r="L1176" s="9">
        <v>4</v>
      </c>
      <c r="M1176" s="9">
        <v>4</v>
      </c>
      <c r="N1176" s="9">
        <v>4</v>
      </c>
      <c r="O1176" s="9">
        <v>7</v>
      </c>
      <c r="P1176" s="9">
        <v>5</v>
      </c>
      <c r="Q1176" s="9">
        <v>0</v>
      </c>
      <c r="R1176" s="9">
        <v>3</v>
      </c>
      <c r="S1176" s="9">
        <v>0</v>
      </c>
      <c r="T1176" s="9">
        <v>0</v>
      </c>
      <c r="U1176" s="9">
        <v>3</v>
      </c>
      <c r="V1176" s="9">
        <v>0</v>
      </c>
      <c r="W1176" s="9">
        <v>2</v>
      </c>
      <c r="X1176" s="9">
        <v>0</v>
      </c>
      <c r="Y1176" s="9">
        <v>1</v>
      </c>
      <c r="Z1176" s="9">
        <v>0</v>
      </c>
      <c r="AA1176" s="9">
        <v>0</v>
      </c>
      <c r="AB1176" s="9">
        <v>0</v>
      </c>
      <c r="AC1176" s="9">
        <v>0</v>
      </c>
      <c r="AD1176" s="53" t="e">
        <f>#REF!*D1176</f>
        <v>#REF!</v>
      </c>
      <c r="AE1176" s="53" t="e">
        <f>AD1176-#REF!</f>
        <v>#REF!</v>
      </c>
      <c r="AF1176" s="9"/>
      <c r="AG1176" s="33" t="e">
        <f>#REF!-D1176</f>
        <v>#REF!</v>
      </c>
    </row>
    <row r="1177" spans="1:37" s="16" customFormat="1" ht="21.6" outlineLevel="1" x14ac:dyDescent="0.2">
      <c r="A1177" s="62" t="s">
        <v>1404</v>
      </c>
      <c r="B1177" s="14" t="s">
        <v>88</v>
      </c>
      <c r="C1177" s="9" t="s">
        <v>47</v>
      </c>
      <c r="D1177" s="25">
        <f t="shared" si="290"/>
        <v>655</v>
      </c>
      <c r="E1177" s="54"/>
      <c r="F1177" s="9"/>
      <c r="G1177" s="9">
        <v>0</v>
      </c>
      <c r="H1177" s="9">
        <f>50-15</f>
        <v>35</v>
      </c>
      <c r="I1177" s="9">
        <v>30</v>
      </c>
      <c r="J1177" s="9">
        <f>38-11</f>
        <v>27</v>
      </c>
      <c r="K1177" s="9">
        <v>10</v>
      </c>
      <c r="L1177" s="9">
        <f>42-14</f>
        <v>28</v>
      </c>
      <c r="M1177" s="9">
        <v>37</v>
      </c>
      <c r="N1177" s="9">
        <v>31</v>
      </c>
      <c r="O1177" s="9">
        <v>35</v>
      </c>
      <c r="P1177" s="9">
        <v>35</v>
      </c>
      <c r="Q1177" s="9">
        <v>0</v>
      </c>
      <c r="R1177" s="9">
        <v>12</v>
      </c>
      <c r="S1177" s="9">
        <v>0</v>
      </c>
      <c r="T1177" s="9">
        <v>0</v>
      </c>
      <c r="U1177" s="9">
        <v>38</v>
      </c>
      <c r="V1177" s="9">
        <v>32</v>
      </c>
      <c r="W1177" s="9">
        <v>15</v>
      </c>
      <c r="X1177" s="9">
        <v>75</v>
      </c>
      <c r="Y1177" s="9">
        <v>70</v>
      </c>
      <c r="Z1177" s="9">
        <v>70</v>
      </c>
      <c r="AA1177" s="9">
        <v>64</v>
      </c>
      <c r="AB1177" s="9">
        <v>11</v>
      </c>
      <c r="AC1177" s="9">
        <v>0</v>
      </c>
      <c r="AD1177" s="53" t="e">
        <f>#REF!*D1177</f>
        <v>#REF!</v>
      </c>
      <c r="AE1177" s="53" t="e">
        <f>AD1177-#REF!</f>
        <v>#REF!</v>
      </c>
      <c r="AF1177" s="9"/>
      <c r="AG1177" s="33" t="e">
        <f>#REF!-D1177</f>
        <v>#REF!</v>
      </c>
    </row>
    <row r="1178" spans="1:37" s="12" customFormat="1" ht="21.6" outlineLevel="1" x14ac:dyDescent="0.2">
      <c r="A1178" s="62" t="s">
        <v>1405</v>
      </c>
      <c r="B1178" s="14" t="s">
        <v>89</v>
      </c>
      <c r="C1178" s="8" t="s">
        <v>47</v>
      </c>
      <c r="D1178" s="25">
        <f t="shared" si="290"/>
        <v>47</v>
      </c>
      <c r="E1178" s="54"/>
      <c r="F1178" s="9"/>
      <c r="G1178" s="9">
        <v>0</v>
      </c>
      <c r="H1178" s="9">
        <f>21-6</f>
        <v>15</v>
      </c>
      <c r="I1178" s="9">
        <v>0</v>
      </c>
      <c r="J1178" s="9">
        <v>1</v>
      </c>
      <c r="K1178" s="9">
        <v>0</v>
      </c>
      <c r="L1178" s="9">
        <v>1</v>
      </c>
      <c r="M1178" s="9">
        <v>4</v>
      </c>
      <c r="N1178" s="9">
        <v>0</v>
      </c>
      <c r="O1178" s="9">
        <v>0</v>
      </c>
      <c r="P1178" s="9">
        <v>1</v>
      </c>
      <c r="Q1178" s="9">
        <v>0</v>
      </c>
      <c r="R1178" s="9">
        <v>0</v>
      </c>
      <c r="S1178" s="9">
        <v>0</v>
      </c>
      <c r="T1178" s="9">
        <v>0</v>
      </c>
      <c r="U1178" s="9">
        <v>6</v>
      </c>
      <c r="V1178" s="9">
        <v>2</v>
      </c>
      <c r="W1178" s="9">
        <v>1</v>
      </c>
      <c r="X1178" s="9">
        <v>1</v>
      </c>
      <c r="Y1178" s="9">
        <v>0</v>
      </c>
      <c r="Z1178" s="9">
        <v>0</v>
      </c>
      <c r="AA1178" s="9">
        <v>2</v>
      </c>
      <c r="AB1178" s="9">
        <v>13</v>
      </c>
      <c r="AC1178" s="9">
        <v>0</v>
      </c>
      <c r="AD1178" s="53" t="e">
        <f>#REF!*D1178</f>
        <v>#REF!</v>
      </c>
      <c r="AE1178" s="53" t="e">
        <f>AD1178-#REF!</f>
        <v>#REF!</v>
      </c>
      <c r="AF1178" s="8"/>
      <c r="AG1178" s="33" t="e">
        <f>#REF!-D1178</f>
        <v>#REF!</v>
      </c>
      <c r="AH1178" s="8"/>
      <c r="AI1178" s="8"/>
      <c r="AJ1178" s="8"/>
      <c r="AK1178" s="8"/>
    </row>
    <row r="1179" spans="1:37" s="16" customFormat="1" ht="21.6" outlineLevel="1" x14ac:dyDescent="0.2">
      <c r="A1179" s="62" t="s">
        <v>1406</v>
      </c>
      <c r="B1179" s="14" t="s">
        <v>90</v>
      </c>
      <c r="C1179" s="9" t="s">
        <v>47</v>
      </c>
      <c r="D1179" s="25">
        <f t="shared" si="290"/>
        <v>48</v>
      </c>
      <c r="E1179" s="54"/>
      <c r="F1179" s="9"/>
      <c r="G1179" s="9">
        <v>0</v>
      </c>
      <c r="H1179" s="9">
        <v>2</v>
      </c>
      <c r="I1179" s="9">
        <v>0</v>
      </c>
      <c r="J1179" s="9">
        <v>4</v>
      </c>
      <c r="K1179" s="9">
        <v>2</v>
      </c>
      <c r="L1179" s="9">
        <v>4</v>
      </c>
      <c r="M1179" s="9">
        <v>3</v>
      </c>
      <c r="N1179" s="9">
        <v>0</v>
      </c>
      <c r="O1179" s="9">
        <v>1</v>
      </c>
      <c r="P1179" s="9">
        <v>0</v>
      </c>
      <c r="Q1179" s="9">
        <v>0</v>
      </c>
      <c r="R1179" s="9">
        <v>0</v>
      </c>
      <c r="S1179" s="9">
        <v>0</v>
      </c>
      <c r="T1179" s="9">
        <v>4</v>
      </c>
      <c r="U1179" s="9">
        <v>4</v>
      </c>
      <c r="V1179" s="9">
        <v>4</v>
      </c>
      <c r="W1179" s="9">
        <v>6</v>
      </c>
      <c r="X1179" s="9">
        <v>3</v>
      </c>
      <c r="Y1179" s="9">
        <v>0</v>
      </c>
      <c r="Z1179" s="9">
        <v>0</v>
      </c>
      <c r="AA1179" s="9">
        <v>3</v>
      </c>
      <c r="AB1179" s="9">
        <v>8</v>
      </c>
      <c r="AC1179" s="9">
        <v>0</v>
      </c>
      <c r="AD1179" s="53" t="e">
        <f>#REF!*D1179</f>
        <v>#REF!</v>
      </c>
      <c r="AE1179" s="53" t="e">
        <f>AD1179-#REF!</f>
        <v>#REF!</v>
      </c>
      <c r="AF1179" s="9"/>
      <c r="AG1179" s="33" t="e">
        <f>#REF!-D1179</f>
        <v>#REF!</v>
      </c>
    </row>
    <row r="1180" spans="1:37" s="16" customFormat="1" ht="21.6" outlineLevel="1" x14ac:dyDescent="0.2">
      <c r="A1180" s="62" t="s">
        <v>1407</v>
      </c>
      <c r="B1180" s="14" t="s">
        <v>202</v>
      </c>
      <c r="C1180" s="9" t="s">
        <v>47</v>
      </c>
      <c r="D1180" s="25">
        <f t="shared" si="290"/>
        <v>25</v>
      </c>
      <c r="E1180" s="54"/>
      <c r="F1180" s="9"/>
      <c r="G1180" s="9">
        <v>17</v>
      </c>
      <c r="H1180" s="9">
        <v>0</v>
      </c>
      <c r="I1180" s="9">
        <v>0</v>
      </c>
      <c r="J1180" s="9">
        <v>1</v>
      </c>
      <c r="K1180" s="9">
        <v>0</v>
      </c>
      <c r="L1180" s="9">
        <v>0</v>
      </c>
      <c r="M1180" s="9">
        <v>0</v>
      </c>
      <c r="N1180" s="9">
        <v>0</v>
      </c>
      <c r="O1180" s="9">
        <v>1</v>
      </c>
      <c r="P1180" s="9">
        <v>0</v>
      </c>
      <c r="Q1180" s="9">
        <v>0</v>
      </c>
      <c r="R1180" s="9">
        <v>0</v>
      </c>
      <c r="S1180" s="9">
        <v>0</v>
      </c>
      <c r="T1180" s="9">
        <v>4</v>
      </c>
      <c r="U1180" s="9">
        <v>0</v>
      </c>
      <c r="V1180" s="9">
        <v>1</v>
      </c>
      <c r="W1180" s="9">
        <v>1</v>
      </c>
      <c r="X1180" s="9">
        <v>0</v>
      </c>
      <c r="Y1180" s="9">
        <v>0</v>
      </c>
      <c r="Z1180" s="9">
        <v>0</v>
      </c>
      <c r="AA1180" s="9">
        <v>0</v>
      </c>
      <c r="AB1180" s="9">
        <v>0</v>
      </c>
      <c r="AC1180" s="9">
        <v>0</v>
      </c>
      <c r="AD1180" s="53" t="e">
        <f>#REF!*D1180</f>
        <v>#REF!</v>
      </c>
      <c r="AE1180" s="53" t="e">
        <f>AD1180-#REF!</f>
        <v>#REF!</v>
      </c>
      <c r="AF1180" s="9"/>
      <c r="AG1180" s="33" t="e">
        <f>#REF!-D1180</f>
        <v>#REF!</v>
      </c>
    </row>
    <row r="1181" spans="1:37" s="16" customFormat="1" ht="21.6" outlineLevel="1" x14ac:dyDescent="0.2">
      <c r="A1181" s="62" t="s">
        <v>1408</v>
      </c>
      <c r="B1181" s="14" t="s">
        <v>91</v>
      </c>
      <c r="C1181" s="9" t="s">
        <v>47</v>
      </c>
      <c r="D1181" s="25">
        <f t="shared" si="290"/>
        <v>40</v>
      </c>
      <c r="E1181" s="54"/>
      <c r="F1181" s="9"/>
      <c r="G1181" s="9">
        <v>13</v>
      </c>
      <c r="H1181" s="9">
        <v>3</v>
      </c>
      <c r="I1181" s="9">
        <v>1</v>
      </c>
      <c r="J1181" s="9">
        <v>1</v>
      </c>
      <c r="K1181" s="9">
        <v>1</v>
      </c>
      <c r="L1181" s="9">
        <v>9</v>
      </c>
      <c r="M1181" s="9">
        <v>0</v>
      </c>
      <c r="N1181" s="9">
        <v>0</v>
      </c>
      <c r="O1181" s="9">
        <v>0</v>
      </c>
      <c r="P1181" s="9">
        <v>0</v>
      </c>
      <c r="Q1181" s="9">
        <v>0</v>
      </c>
      <c r="R1181" s="9">
        <v>4</v>
      </c>
      <c r="S1181" s="9">
        <v>0</v>
      </c>
      <c r="T1181" s="9">
        <v>1</v>
      </c>
      <c r="U1181" s="9">
        <v>0</v>
      </c>
      <c r="V1181" s="9">
        <v>0</v>
      </c>
      <c r="W1181" s="9">
        <v>0</v>
      </c>
      <c r="X1181" s="9">
        <v>2</v>
      </c>
      <c r="Y1181" s="9">
        <v>1</v>
      </c>
      <c r="Z1181" s="9">
        <v>2</v>
      </c>
      <c r="AA1181" s="9">
        <v>2</v>
      </c>
      <c r="AB1181" s="9">
        <v>0</v>
      </c>
      <c r="AC1181" s="9">
        <v>0</v>
      </c>
      <c r="AD1181" s="53" t="e">
        <f>#REF!*D1181</f>
        <v>#REF!</v>
      </c>
      <c r="AE1181" s="53" t="e">
        <f>AD1181-#REF!</f>
        <v>#REF!</v>
      </c>
      <c r="AF1181" s="9"/>
      <c r="AG1181" s="33" t="e">
        <f>#REF!-D1181</f>
        <v>#REF!</v>
      </c>
    </row>
    <row r="1182" spans="1:37" s="16" customFormat="1" ht="21.6" outlineLevel="1" x14ac:dyDescent="0.2">
      <c r="A1182" s="62" t="s">
        <v>1409</v>
      </c>
      <c r="B1182" s="14" t="s">
        <v>205</v>
      </c>
      <c r="C1182" s="9" t="s">
        <v>47</v>
      </c>
      <c r="D1182" s="25">
        <f t="shared" si="290"/>
        <v>39</v>
      </c>
      <c r="E1182" s="54"/>
      <c r="F1182" s="9"/>
      <c r="G1182" s="9">
        <v>6</v>
      </c>
      <c r="H1182" s="9">
        <v>1</v>
      </c>
      <c r="I1182" s="9">
        <v>0</v>
      </c>
      <c r="J1182" s="9">
        <v>1</v>
      </c>
      <c r="K1182" s="9">
        <v>1</v>
      </c>
      <c r="L1182" s="9">
        <v>4</v>
      </c>
      <c r="M1182" s="9">
        <v>3</v>
      </c>
      <c r="N1182" s="9">
        <v>3</v>
      </c>
      <c r="O1182" s="9">
        <v>2</v>
      </c>
      <c r="P1182" s="9">
        <v>1</v>
      </c>
      <c r="Q1182" s="9">
        <v>0</v>
      </c>
      <c r="R1182" s="9">
        <v>3</v>
      </c>
      <c r="S1182" s="9">
        <v>0</v>
      </c>
      <c r="T1182" s="9">
        <v>12</v>
      </c>
      <c r="U1182" s="9">
        <v>0</v>
      </c>
      <c r="V1182" s="9">
        <v>0</v>
      </c>
      <c r="W1182" s="9">
        <v>2</v>
      </c>
      <c r="X1182" s="9">
        <v>0</v>
      </c>
      <c r="Y1182" s="9">
        <v>0</v>
      </c>
      <c r="Z1182" s="9">
        <v>0</v>
      </c>
      <c r="AA1182" s="9">
        <v>0</v>
      </c>
      <c r="AB1182" s="9">
        <v>0</v>
      </c>
      <c r="AC1182" s="9">
        <v>0</v>
      </c>
      <c r="AD1182" s="53" t="e">
        <f>#REF!*D1182</f>
        <v>#REF!</v>
      </c>
      <c r="AE1182" s="53" t="e">
        <f>AD1182-#REF!</f>
        <v>#REF!</v>
      </c>
      <c r="AF1182" s="9"/>
      <c r="AG1182" s="33" t="e">
        <f>#REF!-D1182</f>
        <v>#REF!</v>
      </c>
    </row>
    <row r="1183" spans="1:37" s="16" customFormat="1" ht="21.6" outlineLevel="1" x14ac:dyDescent="0.2">
      <c r="A1183" s="62" t="s">
        <v>1410</v>
      </c>
      <c r="B1183" s="14" t="s">
        <v>1447</v>
      </c>
      <c r="C1183" s="9" t="s">
        <v>47</v>
      </c>
      <c r="D1183" s="25">
        <f t="shared" si="290"/>
        <v>18</v>
      </c>
      <c r="E1183" s="54"/>
      <c r="F1183" s="9"/>
      <c r="G1183" s="9">
        <v>0</v>
      </c>
      <c r="H1183" s="9">
        <v>6</v>
      </c>
      <c r="I1183" s="9">
        <v>0</v>
      </c>
      <c r="J1183" s="9">
        <v>0</v>
      </c>
      <c r="K1183" s="9">
        <v>0</v>
      </c>
      <c r="L1183" s="9">
        <v>0</v>
      </c>
      <c r="M1183" s="9">
        <v>0</v>
      </c>
      <c r="N1183" s="9">
        <v>0</v>
      </c>
      <c r="O1183" s="9">
        <v>0</v>
      </c>
      <c r="P1183" s="9">
        <v>0</v>
      </c>
      <c r="Q1183" s="9">
        <v>0</v>
      </c>
      <c r="R1183" s="9">
        <v>6</v>
      </c>
      <c r="S1183" s="9">
        <v>0</v>
      </c>
      <c r="T1183" s="9">
        <v>2</v>
      </c>
      <c r="U1183" s="9">
        <v>0</v>
      </c>
      <c r="V1183" s="9">
        <v>0</v>
      </c>
      <c r="W1183" s="9">
        <v>0</v>
      </c>
      <c r="X1183" s="9">
        <v>0</v>
      </c>
      <c r="Y1183" s="9">
        <v>0</v>
      </c>
      <c r="Z1183" s="9">
        <v>0</v>
      </c>
      <c r="AA1183" s="9">
        <v>0</v>
      </c>
      <c r="AB1183" s="9">
        <v>4</v>
      </c>
      <c r="AC1183" s="9">
        <v>0</v>
      </c>
      <c r="AD1183" s="53" t="e">
        <f>#REF!*D1183</f>
        <v>#REF!</v>
      </c>
      <c r="AE1183" s="53" t="e">
        <f>AD1183-#REF!</f>
        <v>#REF!</v>
      </c>
      <c r="AF1183" s="9"/>
      <c r="AG1183" s="33" t="e">
        <f>#REF!-D1183</f>
        <v>#REF!</v>
      </c>
    </row>
    <row r="1184" spans="1:37" s="16" customFormat="1" ht="21.6" outlineLevel="1" x14ac:dyDescent="0.2">
      <c r="A1184" s="62" t="s">
        <v>1411</v>
      </c>
      <c r="B1184" s="14" t="s">
        <v>334</v>
      </c>
      <c r="C1184" s="9" t="s">
        <v>47</v>
      </c>
      <c r="D1184" s="25">
        <f t="shared" si="290"/>
        <v>3</v>
      </c>
      <c r="E1184" s="54"/>
      <c r="F1184" s="9"/>
      <c r="G1184" s="9">
        <v>0</v>
      </c>
      <c r="H1184" s="9">
        <v>0</v>
      </c>
      <c r="I1184" s="9">
        <v>0</v>
      </c>
      <c r="J1184" s="9">
        <v>0</v>
      </c>
      <c r="K1184" s="9">
        <v>0</v>
      </c>
      <c r="L1184" s="9">
        <v>0</v>
      </c>
      <c r="M1184" s="9">
        <v>0</v>
      </c>
      <c r="N1184" s="9">
        <v>0</v>
      </c>
      <c r="O1184" s="9">
        <v>0</v>
      </c>
      <c r="P1184" s="9">
        <v>0</v>
      </c>
      <c r="Q1184" s="9">
        <v>0</v>
      </c>
      <c r="R1184" s="9">
        <v>3</v>
      </c>
      <c r="S1184" s="9">
        <v>0</v>
      </c>
      <c r="T1184" s="9">
        <v>0</v>
      </c>
      <c r="U1184" s="9">
        <v>0</v>
      </c>
      <c r="V1184" s="9">
        <v>0</v>
      </c>
      <c r="W1184" s="9">
        <v>0</v>
      </c>
      <c r="X1184" s="9">
        <v>0</v>
      </c>
      <c r="Y1184" s="9">
        <v>0</v>
      </c>
      <c r="Z1184" s="9">
        <v>0</v>
      </c>
      <c r="AA1184" s="9">
        <v>0</v>
      </c>
      <c r="AB1184" s="9">
        <v>0</v>
      </c>
      <c r="AC1184" s="9">
        <v>0</v>
      </c>
      <c r="AD1184" s="53" t="e">
        <f>#REF!*D1184</f>
        <v>#REF!</v>
      </c>
      <c r="AE1184" s="53" t="e">
        <f>AD1184-#REF!</f>
        <v>#REF!</v>
      </c>
      <c r="AF1184" s="9"/>
      <c r="AG1184" s="33" t="e">
        <f>#REF!-D1184</f>
        <v>#REF!</v>
      </c>
    </row>
    <row r="1185" spans="1:37" s="16" customFormat="1" ht="21.6" outlineLevel="1" x14ac:dyDescent="0.2">
      <c r="A1185" s="62" t="s">
        <v>1412</v>
      </c>
      <c r="B1185" s="14" t="s">
        <v>1542</v>
      </c>
      <c r="C1185" s="9" t="s">
        <v>47</v>
      </c>
      <c r="D1185" s="25">
        <f t="shared" si="290"/>
        <v>8</v>
      </c>
      <c r="E1185" s="54"/>
      <c r="F1185" s="9"/>
      <c r="G1185" s="9">
        <v>7</v>
      </c>
      <c r="H1185" s="9">
        <v>0</v>
      </c>
      <c r="I1185" s="9">
        <v>0</v>
      </c>
      <c r="J1185" s="9">
        <v>0</v>
      </c>
      <c r="K1185" s="9">
        <v>0</v>
      </c>
      <c r="L1185" s="9">
        <v>0</v>
      </c>
      <c r="M1185" s="9">
        <v>0</v>
      </c>
      <c r="N1185" s="9">
        <v>0</v>
      </c>
      <c r="O1185" s="9">
        <v>0</v>
      </c>
      <c r="P1185" s="9">
        <v>0</v>
      </c>
      <c r="Q1185" s="9">
        <v>0</v>
      </c>
      <c r="R1185" s="9">
        <v>0</v>
      </c>
      <c r="S1185" s="9">
        <v>0</v>
      </c>
      <c r="T1185" s="9">
        <v>0</v>
      </c>
      <c r="U1185" s="9">
        <v>0</v>
      </c>
      <c r="V1185" s="9">
        <v>0</v>
      </c>
      <c r="W1185" s="9">
        <v>1</v>
      </c>
      <c r="X1185" s="9">
        <v>0</v>
      </c>
      <c r="Y1185" s="9">
        <v>0</v>
      </c>
      <c r="Z1185" s="9">
        <v>0</v>
      </c>
      <c r="AA1185" s="9">
        <v>0</v>
      </c>
      <c r="AB1185" s="9">
        <v>0</v>
      </c>
      <c r="AC1185" s="9">
        <v>0</v>
      </c>
      <c r="AD1185" s="53" t="e">
        <f>#REF!*D1185</f>
        <v>#REF!</v>
      </c>
      <c r="AE1185" s="53" t="e">
        <f>AD1185-#REF!</f>
        <v>#REF!</v>
      </c>
      <c r="AF1185" s="9"/>
      <c r="AG1185" s="33" t="e">
        <f>#REF!-D1185</f>
        <v>#REF!</v>
      </c>
    </row>
    <row r="1186" spans="1:37" s="16" customFormat="1" ht="13.5" customHeight="1" outlineLevel="1" x14ac:dyDescent="0.2">
      <c r="A1186" s="62" t="s">
        <v>1413</v>
      </c>
      <c r="B1186" s="14" t="s">
        <v>92</v>
      </c>
      <c r="C1186" s="9" t="s">
        <v>47</v>
      </c>
      <c r="D1186" s="25">
        <f t="shared" si="290"/>
        <v>226</v>
      </c>
      <c r="E1186" s="54"/>
      <c r="F1186" s="9"/>
      <c r="G1186" s="9">
        <v>0</v>
      </c>
      <c r="H1186" s="9">
        <v>9</v>
      </c>
      <c r="I1186" s="9">
        <v>13</v>
      </c>
      <c r="J1186" s="9">
        <v>16</v>
      </c>
      <c r="K1186" s="9">
        <v>10</v>
      </c>
      <c r="L1186" s="9">
        <v>12</v>
      </c>
      <c r="M1186" s="9">
        <v>9</v>
      </c>
      <c r="N1186" s="9">
        <v>9</v>
      </c>
      <c r="O1186" s="9">
        <v>6</v>
      </c>
      <c r="P1186" s="9">
        <v>25</v>
      </c>
      <c r="Q1186" s="9">
        <v>0</v>
      </c>
      <c r="R1186" s="9">
        <v>3</v>
      </c>
      <c r="S1186" s="9">
        <v>0</v>
      </c>
      <c r="T1186" s="9">
        <v>0</v>
      </c>
      <c r="U1186" s="9">
        <v>11</v>
      </c>
      <c r="V1186" s="9">
        <v>9</v>
      </c>
      <c r="W1186" s="9">
        <v>2</v>
      </c>
      <c r="X1186" s="9">
        <v>24</v>
      </c>
      <c r="Y1186" s="9">
        <v>20</v>
      </c>
      <c r="Z1186" s="9">
        <v>23</v>
      </c>
      <c r="AA1186" s="9">
        <v>22</v>
      </c>
      <c r="AB1186" s="9">
        <v>3</v>
      </c>
      <c r="AC1186" s="9">
        <v>0</v>
      </c>
      <c r="AD1186" s="53" t="e">
        <f>#REF!*D1186</f>
        <v>#REF!</v>
      </c>
      <c r="AE1186" s="53" t="e">
        <f>AD1186-#REF!</f>
        <v>#REF!</v>
      </c>
      <c r="AF1186" s="9"/>
      <c r="AG1186" s="33" t="e">
        <f>#REF!-D1186</f>
        <v>#REF!</v>
      </c>
    </row>
    <row r="1187" spans="1:37" s="16" customFormat="1" ht="13.5" customHeight="1" outlineLevel="1" x14ac:dyDescent="0.2">
      <c r="A1187" s="62" t="s">
        <v>1414</v>
      </c>
      <c r="B1187" s="14" t="s">
        <v>163</v>
      </c>
      <c r="C1187" s="9" t="s">
        <v>47</v>
      </c>
      <c r="D1187" s="25">
        <f t="shared" si="290"/>
        <v>14</v>
      </c>
      <c r="E1187" s="54"/>
      <c r="F1187" s="9"/>
      <c r="G1187" s="9">
        <v>0</v>
      </c>
      <c r="H1187" s="9">
        <v>3</v>
      </c>
      <c r="I1187" s="9">
        <v>2</v>
      </c>
      <c r="J1187" s="9">
        <v>0</v>
      </c>
      <c r="K1187" s="9">
        <v>1</v>
      </c>
      <c r="L1187" s="9">
        <v>0</v>
      </c>
      <c r="M1187" s="9">
        <v>0</v>
      </c>
      <c r="N1187" s="9">
        <v>0</v>
      </c>
      <c r="O1187" s="9">
        <v>0</v>
      </c>
      <c r="P1187" s="9">
        <v>1</v>
      </c>
      <c r="Q1187" s="9">
        <v>0</v>
      </c>
      <c r="R1187" s="9">
        <v>0</v>
      </c>
      <c r="S1187" s="9">
        <v>0</v>
      </c>
      <c r="T1187" s="9">
        <v>0</v>
      </c>
      <c r="U1187" s="9">
        <v>1</v>
      </c>
      <c r="V1187" s="9">
        <v>0</v>
      </c>
      <c r="W1187" s="9">
        <v>0</v>
      </c>
      <c r="X1187" s="9">
        <v>2</v>
      </c>
      <c r="Y1187" s="9">
        <v>0</v>
      </c>
      <c r="Z1187" s="9">
        <v>0</v>
      </c>
      <c r="AA1187" s="9">
        <v>0</v>
      </c>
      <c r="AB1187" s="9">
        <v>4</v>
      </c>
      <c r="AC1187" s="9">
        <v>0</v>
      </c>
      <c r="AD1187" s="53" t="e">
        <f>#REF!*D1187</f>
        <v>#REF!</v>
      </c>
      <c r="AE1187" s="53" t="e">
        <f>AD1187-#REF!</f>
        <v>#REF!</v>
      </c>
      <c r="AF1187" s="9"/>
      <c r="AG1187" s="33" t="e">
        <f>#REF!-D1187</f>
        <v>#REF!</v>
      </c>
    </row>
    <row r="1188" spans="1:37" s="16" customFormat="1" ht="13.5" customHeight="1" outlineLevel="1" x14ac:dyDescent="0.2">
      <c r="A1188" s="62" t="s">
        <v>1415</v>
      </c>
      <c r="B1188" s="14" t="s">
        <v>93</v>
      </c>
      <c r="C1188" s="9" t="s">
        <v>47</v>
      </c>
      <c r="D1188" s="25">
        <f t="shared" si="290"/>
        <v>18</v>
      </c>
      <c r="E1188" s="54"/>
      <c r="F1188" s="9"/>
      <c r="G1188" s="9">
        <v>0</v>
      </c>
      <c r="H1188" s="9">
        <v>1</v>
      </c>
      <c r="I1188" s="9">
        <v>1</v>
      </c>
      <c r="J1188" s="9">
        <v>4</v>
      </c>
      <c r="K1188" s="9">
        <v>0</v>
      </c>
      <c r="L1188" s="9">
        <v>1</v>
      </c>
      <c r="M1188" s="9">
        <v>1</v>
      </c>
      <c r="N1188" s="9">
        <v>0</v>
      </c>
      <c r="O1188" s="9">
        <v>0</v>
      </c>
      <c r="P1188" s="9">
        <v>0</v>
      </c>
      <c r="Q1188" s="9">
        <v>0</v>
      </c>
      <c r="R1188" s="9">
        <v>0</v>
      </c>
      <c r="S1188" s="9">
        <v>0</v>
      </c>
      <c r="T1188" s="9">
        <v>0</v>
      </c>
      <c r="U1188" s="9">
        <v>1</v>
      </c>
      <c r="V1188" s="9">
        <v>0</v>
      </c>
      <c r="W1188" s="9">
        <v>2</v>
      </c>
      <c r="X1188" s="9">
        <v>0</v>
      </c>
      <c r="Y1188" s="9">
        <v>1</v>
      </c>
      <c r="Z1188" s="9">
        <v>0</v>
      </c>
      <c r="AA1188" s="9">
        <v>0</v>
      </c>
      <c r="AB1188" s="9">
        <v>6</v>
      </c>
      <c r="AC1188" s="9">
        <v>0</v>
      </c>
      <c r="AD1188" s="53" t="e">
        <f>#REF!*D1188</f>
        <v>#REF!</v>
      </c>
      <c r="AE1188" s="53" t="e">
        <f>AD1188-#REF!</f>
        <v>#REF!</v>
      </c>
      <c r="AF1188" s="9"/>
      <c r="AG1188" s="33" t="e">
        <f>#REF!-D1188</f>
        <v>#REF!</v>
      </c>
    </row>
    <row r="1189" spans="1:37" s="16" customFormat="1" ht="13.5" customHeight="1" outlineLevel="1" x14ac:dyDescent="0.2">
      <c r="A1189" s="62" t="s">
        <v>1416</v>
      </c>
      <c r="B1189" s="14" t="s">
        <v>94</v>
      </c>
      <c r="C1189" s="9" t="s">
        <v>47</v>
      </c>
      <c r="D1189" s="25">
        <f t="shared" si="290"/>
        <v>7</v>
      </c>
      <c r="E1189" s="54"/>
      <c r="F1189" s="9"/>
      <c r="G1189" s="9">
        <v>0</v>
      </c>
      <c r="H1189" s="9">
        <v>3</v>
      </c>
      <c r="I1189" s="9">
        <v>1</v>
      </c>
      <c r="J1189" s="9">
        <v>0</v>
      </c>
      <c r="K1189" s="9">
        <v>0</v>
      </c>
      <c r="L1189" s="9">
        <v>1</v>
      </c>
      <c r="M1189" s="9">
        <v>0</v>
      </c>
      <c r="N1189" s="9">
        <v>0</v>
      </c>
      <c r="O1189" s="9">
        <v>1</v>
      </c>
      <c r="P1189" s="9">
        <v>1</v>
      </c>
      <c r="Q1189" s="9">
        <v>0</v>
      </c>
      <c r="R1189" s="9">
        <v>0</v>
      </c>
      <c r="S1189" s="9">
        <v>0</v>
      </c>
      <c r="T1189" s="9">
        <v>0</v>
      </c>
      <c r="U1189" s="9">
        <v>0</v>
      </c>
      <c r="V1189" s="9">
        <v>0</v>
      </c>
      <c r="W1189" s="9">
        <v>0</v>
      </c>
      <c r="X1189" s="9">
        <v>0</v>
      </c>
      <c r="Y1189" s="9">
        <v>0</v>
      </c>
      <c r="Z1189" s="9">
        <v>0</v>
      </c>
      <c r="AA1189" s="9">
        <v>0</v>
      </c>
      <c r="AB1189" s="9">
        <v>0</v>
      </c>
      <c r="AC1189" s="9">
        <v>0</v>
      </c>
      <c r="AD1189" s="53" t="e">
        <f>#REF!*D1189</f>
        <v>#REF!</v>
      </c>
      <c r="AE1189" s="53" t="e">
        <f>AD1189-#REF!</f>
        <v>#REF!</v>
      </c>
      <c r="AF1189" s="9"/>
      <c r="AG1189" s="33" t="e">
        <f>#REF!-D1189</f>
        <v>#REF!</v>
      </c>
    </row>
    <row r="1190" spans="1:37" s="16" customFormat="1" ht="13.5" customHeight="1" outlineLevel="1" x14ac:dyDescent="0.2">
      <c r="A1190" s="62" t="s">
        <v>1417</v>
      </c>
      <c r="B1190" s="14" t="s">
        <v>164</v>
      </c>
      <c r="C1190" s="9" t="s">
        <v>47</v>
      </c>
      <c r="D1190" s="25">
        <f t="shared" si="290"/>
        <v>8</v>
      </c>
      <c r="E1190" s="54"/>
      <c r="F1190" s="9"/>
      <c r="G1190" s="9">
        <v>1</v>
      </c>
      <c r="H1190" s="9">
        <v>1</v>
      </c>
      <c r="I1190" s="9">
        <v>2</v>
      </c>
      <c r="J1190" s="9">
        <v>0</v>
      </c>
      <c r="K1190" s="9">
        <v>0</v>
      </c>
      <c r="L1190" s="9">
        <v>1</v>
      </c>
      <c r="M1190" s="9">
        <v>0</v>
      </c>
      <c r="N1190" s="9">
        <v>0</v>
      </c>
      <c r="O1190" s="9">
        <v>0</v>
      </c>
      <c r="P1190" s="9">
        <v>0</v>
      </c>
      <c r="Q1190" s="9">
        <v>0</v>
      </c>
      <c r="R1190" s="9">
        <v>2</v>
      </c>
      <c r="S1190" s="9">
        <v>0</v>
      </c>
      <c r="T1190" s="9">
        <v>1</v>
      </c>
      <c r="U1190" s="9">
        <v>0</v>
      </c>
      <c r="V1190" s="9">
        <v>0</v>
      </c>
      <c r="W1190" s="9">
        <v>0</v>
      </c>
      <c r="X1190" s="9">
        <v>0</v>
      </c>
      <c r="Y1190" s="9">
        <v>0</v>
      </c>
      <c r="Z1190" s="9">
        <v>0</v>
      </c>
      <c r="AA1190" s="9">
        <v>0</v>
      </c>
      <c r="AB1190" s="9">
        <v>0</v>
      </c>
      <c r="AC1190" s="9">
        <v>0</v>
      </c>
      <c r="AD1190" s="53" t="e">
        <f>#REF!*D1190</f>
        <v>#REF!</v>
      </c>
      <c r="AE1190" s="53" t="e">
        <f>AD1190-#REF!</f>
        <v>#REF!</v>
      </c>
      <c r="AF1190" s="9"/>
      <c r="AG1190" s="33" t="e">
        <f>#REF!-D1190</f>
        <v>#REF!</v>
      </c>
    </row>
    <row r="1191" spans="1:37" s="16" customFormat="1" ht="13.5" customHeight="1" outlineLevel="1" x14ac:dyDescent="0.2">
      <c r="A1191" s="62" t="s">
        <v>1418</v>
      </c>
      <c r="B1191" s="14" t="s">
        <v>206</v>
      </c>
      <c r="C1191" s="9" t="s">
        <v>47</v>
      </c>
      <c r="D1191" s="25">
        <f t="shared" si="290"/>
        <v>6</v>
      </c>
      <c r="E1191" s="54"/>
      <c r="F1191" s="9"/>
      <c r="G1191" s="9">
        <v>0</v>
      </c>
      <c r="H1191" s="9">
        <v>1</v>
      </c>
      <c r="I1191" s="9">
        <v>0</v>
      </c>
      <c r="J1191" s="9">
        <v>0</v>
      </c>
      <c r="K1191" s="9">
        <v>1</v>
      </c>
      <c r="L1191" s="9">
        <v>1</v>
      </c>
      <c r="M1191" s="9">
        <v>0</v>
      </c>
      <c r="N1191" s="9">
        <v>0</v>
      </c>
      <c r="O1191" s="9">
        <v>0</v>
      </c>
      <c r="P1191" s="9">
        <v>0</v>
      </c>
      <c r="Q1191" s="9">
        <v>0</v>
      </c>
      <c r="R1191" s="9">
        <v>2</v>
      </c>
      <c r="S1191" s="9">
        <v>0</v>
      </c>
      <c r="T1191" s="9">
        <v>1</v>
      </c>
      <c r="U1191" s="9">
        <v>0</v>
      </c>
      <c r="V1191" s="9">
        <v>0</v>
      </c>
      <c r="W1191" s="9">
        <v>0</v>
      </c>
      <c r="X1191" s="9">
        <v>0</v>
      </c>
      <c r="Y1191" s="9">
        <v>0</v>
      </c>
      <c r="Z1191" s="9">
        <v>0</v>
      </c>
      <c r="AA1191" s="9">
        <v>0</v>
      </c>
      <c r="AB1191" s="9">
        <v>0</v>
      </c>
      <c r="AC1191" s="9">
        <v>0</v>
      </c>
      <c r="AD1191" s="53" t="e">
        <f>#REF!*D1191</f>
        <v>#REF!</v>
      </c>
      <c r="AE1191" s="53" t="e">
        <f>AD1191-#REF!</f>
        <v>#REF!</v>
      </c>
      <c r="AF1191" s="9"/>
      <c r="AG1191" s="33" t="e">
        <f>#REF!-D1191</f>
        <v>#REF!</v>
      </c>
    </row>
    <row r="1192" spans="1:37" s="16" customFormat="1" ht="13.5" customHeight="1" outlineLevel="1" x14ac:dyDescent="0.2">
      <c r="A1192" s="62" t="s">
        <v>1419</v>
      </c>
      <c r="B1192" s="14" t="s">
        <v>1448</v>
      </c>
      <c r="C1192" s="9" t="s">
        <v>47</v>
      </c>
      <c r="D1192" s="25">
        <f t="shared" si="290"/>
        <v>7</v>
      </c>
      <c r="E1192" s="54"/>
      <c r="F1192" s="9"/>
      <c r="G1192" s="9">
        <v>0</v>
      </c>
      <c r="H1192" s="9">
        <v>0</v>
      </c>
      <c r="I1192" s="9">
        <v>0</v>
      </c>
      <c r="J1192" s="9">
        <v>0</v>
      </c>
      <c r="K1192" s="9">
        <v>0</v>
      </c>
      <c r="L1192" s="9">
        <v>0</v>
      </c>
      <c r="M1192" s="9">
        <v>0</v>
      </c>
      <c r="N1192" s="9">
        <v>0</v>
      </c>
      <c r="O1192" s="9">
        <v>0</v>
      </c>
      <c r="P1192" s="9">
        <v>0</v>
      </c>
      <c r="Q1192" s="9">
        <v>0</v>
      </c>
      <c r="R1192" s="9">
        <v>5</v>
      </c>
      <c r="S1192" s="9">
        <v>0</v>
      </c>
      <c r="T1192" s="9">
        <v>1</v>
      </c>
      <c r="U1192" s="9">
        <v>0</v>
      </c>
      <c r="V1192" s="9">
        <v>0</v>
      </c>
      <c r="W1192" s="9">
        <v>0</v>
      </c>
      <c r="X1192" s="9">
        <v>0</v>
      </c>
      <c r="Y1192" s="9">
        <v>0</v>
      </c>
      <c r="Z1192" s="9">
        <v>0</v>
      </c>
      <c r="AA1192" s="9">
        <v>0</v>
      </c>
      <c r="AB1192" s="9">
        <v>1</v>
      </c>
      <c r="AC1192" s="9">
        <v>0</v>
      </c>
      <c r="AD1192" s="53" t="e">
        <f>#REF!*D1192</f>
        <v>#REF!</v>
      </c>
      <c r="AE1192" s="53" t="e">
        <f>AD1192-#REF!</f>
        <v>#REF!</v>
      </c>
      <c r="AF1192" s="9"/>
      <c r="AG1192" s="33" t="e">
        <f>#REF!-D1192</f>
        <v>#REF!</v>
      </c>
    </row>
    <row r="1193" spans="1:37" s="16" customFormat="1" ht="21.6" outlineLevel="1" x14ac:dyDescent="0.2">
      <c r="A1193" s="62" t="s">
        <v>1420</v>
      </c>
      <c r="B1193" s="14" t="s">
        <v>335</v>
      </c>
      <c r="C1193" s="9" t="s">
        <v>47</v>
      </c>
      <c r="D1193" s="25">
        <f t="shared" si="290"/>
        <v>2</v>
      </c>
      <c r="E1193" s="54"/>
      <c r="F1193" s="9"/>
      <c r="G1193" s="9">
        <v>0</v>
      </c>
      <c r="H1193" s="9">
        <v>0</v>
      </c>
      <c r="I1193" s="9">
        <v>0</v>
      </c>
      <c r="J1193" s="9">
        <v>0</v>
      </c>
      <c r="K1193" s="9">
        <v>0</v>
      </c>
      <c r="L1193" s="9">
        <v>0</v>
      </c>
      <c r="M1193" s="9">
        <v>0</v>
      </c>
      <c r="N1193" s="9">
        <v>0</v>
      </c>
      <c r="O1193" s="9">
        <v>0</v>
      </c>
      <c r="P1193" s="9">
        <v>0</v>
      </c>
      <c r="Q1193" s="9">
        <v>0</v>
      </c>
      <c r="R1193" s="9">
        <v>2</v>
      </c>
      <c r="S1193" s="9">
        <v>0</v>
      </c>
      <c r="T1193" s="9">
        <v>0</v>
      </c>
      <c r="U1193" s="9">
        <v>0</v>
      </c>
      <c r="V1193" s="9">
        <v>0</v>
      </c>
      <c r="W1193" s="9">
        <v>0</v>
      </c>
      <c r="X1193" s="9">
        <v>0</v>
      </c>
      <c r="Y1193" s="9">
        <v>0</v>
      </c>
      <c r="Z1193" s="9">
        <v>0</v>
      </c>
      <c r="AA1193" s="9">
        <v>0</v>
      </c>
      <c r="AB1193" s="9">
        <v>0</v>
      </c>
      <c r="AC1193" s="9">
        <v>0</v>
      </c>
      <c r="AD1193" s="53" t="e">
        <f>#REF!*D1193</f>
        <v>#REF!</v>
      </c>
      <c r="AE1193" s="53" t="e">
        <f>AD1193-#REF!</f>
        <v>#REF!</v>
      </c>
      <c r="AF1193" s="9"/>
      <c r="AG1193" s="33" t="e">
        <f>#REF!-D1193</f>
        <v>#REF!</v>
      </c>
    </row>
    <row r="1194" spans="1:37" s="16" customFormat="1" ht="21.6" outlineLevel="1" x14ac:dyDescent="0.2">
      <c r="A1194" s="62" t="s">
        <v>1421</v>
      </c>
      <c r="B1194" s="14" t="s">
        <v>96</v>
      </c>
      <c r="C1194" s="9" t="s">
        <v>47</v>
      </c>
      <c r="D1194" s="25">
        <f t="shared" si="290"/>
        <v>67</v>
      </c>
      <c r="E1194" s="54"/>
      <c r="F1194" s="9"/>
      <c r="G1194" s="9">
        <v>0</v>
      </c>
      <c r="H1194" s="9">
        <v>14</v>
      </c>
      <c r="I1194" s="9">
        <v>7</v>
      </c>
      <c r="J1194" s="9">
        <v>5</v>
      </c>
      <c r="K1194" s="9">
        <v>2</v>
      </c>
      <c r="L1194" s="9">
        <v>7</v>
      </c>
      <c r="M1194" s="9">
        <v>2</v>
      </c>
      <c r="N1194" s="9">
        <v>3</v>
      </c>
      <c r="O1194" s="9">
        <v>2</v>
      </c>
      <c r="P1194" s="9">
        <v>4</v>
      </c>
      <c r="Q1194" s="9">
        <v>0</v>
      </c>
      <c r="R1194" s="9">
        <v>0</v>
      </c>
      <c r="S1194" s="9">
        <v>0</v>
      </c>
      <c r="T1194" s="9">
        <v>0</v>
      </c>
      <c r="U1194" s="9">
        <v>6</v>
      </c>
      <c r="V1194" s="9">
        <v>1</v>
      </c>
      <c r="W1194" s="9">
        <v>2</v>
      </c>
      <c r="X1194" s="9">
        <v>3</v>
      </c>
      <c r="Y1194" s="9">
        <v>3</v>
      </c>
      <c r="Z1194" s="9">
        <v>3</v>
      </c>
      <c r="AA1194" s="9">
        <v>3</v>
      </c>
      <c r="AB1194" s="9">
        <v>0</v>
      </c>
      <c r="AC1194" s="9">
        <v>0</v>
      </c>
      <c r="AD1194" s="53" t="e">
        <f>#REF!*D1194</f>
        <v>#REF!</v>
      </c>
      <c r="AE1194" s="53" t="e">
        <f>AD1194-#REF!</f>
        <v>#REF!</v>
      </c>
      <c r="AF1194" s="9"/>
      <c r="AG1194" s="33" t="e">
        <f>#REF!-D1194</f>
        <v>#REF!</v>
      </c>
      <c r="AH1194" s="9"/>
      <c r="AI1194" s="9"/>
      <c r="AJ1194" s="9"/>
      <c r="AK1194" s="9"/>
    </row>
    <row r="1195" spans="1:37" s="16" customFormat="1" ht="21.6" outlineLevel="1" x14ac:dyDescent="0.2">
      <c r="A1195" s="62" t="s">
        <v>1422</v>
      </c>
      <c r="B1195" s="14" t="s">
        <v>203</v>
      </c>
      <c r="C1195" s="9" t="s">
        <v>47</v>
      </c>
      <c r="D1195" s="25">
        <f t="shared" si="290"/>
        <v>65</v>
      </c>
      <c r="E1195" s="54"/>
      <c r="F1195" s="9"/>
      <c r="G1195" s="9">
        <v>0</v>
      </c>
      <c r="H1195" s="9">
        <v>7</v>
      </c>
      <c r="I1195" s="9">
        <v>2</v>
      </c>
      <c r="J1195" s="9">
        <v>8</v>
      </c>
      <c r="K1195" s="9">
        <v>0</v>
      </c>
      <c r="L1195" s="9">
        <v>5</v>
      </c>
      <c r="M1195" s="9">
        <v>12</v>
      </c>
      <c r="N1195" s="9">
        <v>7</v>
      </c>
      <c r="O1195" s="9">
        <v>6</v>
      </c>
      <c r="P1195" s="9">
        <v>5</v>
      </c>
      <c r="Q1195" s="9">
        <v>0</v>
      </c>
      <c r="R1195" s="9">
        <v>0</v>
      </c>
      <c r="S1195" s="9">
        <v>0</v>
      </c>
      <c r="T1195" s="9">
        <v>0</v>
      </c>
      <c r="U1195" s="9">
        <v>2</v>
      </c>
      <c r="V1195" s="9">
        <v>1</v>
      </c>
      <c r="W1195" s="9">
        <v>3</v>
      </c>
      <c r="X1195" s="9">
        <v>0</v>
      </c>
      <c r="Y1195" s="9">
        <v>3</v>
      </c>
      <c r="Z1195" s="9">
        <v>1</v>
      </c>
      <c r="AA1195" s="9">
        <v>1</v>
      </c>
      <c r="AB1195" s="9">
        <v>2</v>
      </c>
      <c r="AC1195" s="9">
        <v>0</v>
      </c>
      <c r="AD1195" s="53" t="e">
        <f>#REF!*D1195</f>
        <v>#REF!</v>
      </c>
      <c r="AE1195" s="53" t="e">
        <f>AD1195-#REF!</f>
        <v>#REF!</v>
      </c>
      <c r="AF1195" s="9"/>
      <c r="AG1195" s="33" t="e">
        <f>#REF!-D1195</f>
        <v>#REF!</v>
      </c>
      <c r="AH1195" s="9"/>
      <c r="AI1195" s="9"/>
      <c r="AJ1195" s="9"/>
      <c r="AK1195" s="9"/>
    </row>
    <row r="1196" spans="1:37" s="16" customFormat="1" ht="21.6" outlineLevel="1" x14ac:dyDescent="0.2">
      <c r="A1196" s="62" t="s">
        <v>1423</v>
      </c>
      <c r="B1196" s="14" t="s">
        <v>95</v>
      </c>
      <c r="C1196" s="9" t="s">
        <v>47</v>
      </c>
      <c r="D1196" s="25">
        <f t="shared" si="290"/>
        <v>17</v>
      </c>
      <c r="E1196" s="54"/>
      <c r="F1196" s="9"/>
      <c r="G1196" s="9">
        <v>0</v>
      </c>
      <c r="H1196" s="9">
        <v>2</v>
      </c>
      <c r="I1196" s="9">
        <v>0</v>
      </c>
      <c r="J1196" s="9">
        <v>2</v>
      </c>
      <c r="K1196" s="9">
        <v>0</v>
      </c>
      <c r="L1196" s="9">
        <v>1</v>
      </c>
      <c r="M1196" s="9">
        <v>1</v>
      </c>
      <c r="N1196" s="9">
        <v>0</v>
      </c>
      <c r="O1196" s="9">
        <v>1</v>
      </c>
      <c r="P1196" s="9">
        <v>1</v>
      </c>
      <c r="Q1196" s="9">
        <v>0</v>
      </c>
      <c r="R1196" s="9">
        <v>0</v>
      </c>
      <c r="S1196" s="9">
        <v>0</v>
      </c>
      <c r="T1196" s="9">
        <v>0</v>
      </c>
      <c r="U1196" s="9">
        <v>2</v>
      </c>
      <c r="V1196" s="9">
        <v>0</v>
      </c>
      <c r="W1196" s="9">
        <v>1</v>
      </c>
      <c r="X1196" s="9">
        <v>0</v>
      </c>
      <c r="Y1196" s="9">
        <v>1</v>
      </c>
      <c r="Z1196" s="9">
        <v>2</v>
      </c>
      <c r="AA1196" s="9">
        <v>2</v>
      </c>
      <c r="AB1196" s="9">
        <v>1</v>
      </c>
      <c r="AC1196" s="9">
        <v>0</v>
      </c>
      <c r="AD1196" s="53" t="e">
        <f>#REF!*D1196</f>
        <v>#REF!</v>
      </c>
      <c r="AE1196" s="53" t="e">
        <f>AD1196-#REF!</f>
        <v>#REF!</v>
      </c>
      <c r="AF1196" s="9"/>
      <c r="AG1196" s="33" t="e">
        <f>#REF!-D1196</f>
        <v>#REF!</v>
      </c>
      <c r="AH1196" s="9"/>
      <c r="AI1196" s="9"/>
      <c r="AJ1196" s="9"/>
      <c r="AK1196" s="9"/>
    </row>
    <row r="1197" spans="1:37" s="16" customFormat="1" ht="21.6" outlineLevel="1" x14ac:dyDescent="0.2">
      <c r="A1197" s="62" t="s">
        <v>1424</v>
      </c>
      <c r="B1197" s="14" t="s">
        <v>1449</v>
      </c>
      <c r="C1197" s="9" t="s">
        <v>47</v>
      </c>
      <c r="D1197" s="25">
        <f t="shared" si="290"/>
        <v>49</v>
      </c>
      <c r="E1197" s="54"/>
      <c r="F1197" s="9"/>
      <c r="G1197" s="9">
        <v>0</v>
      </c>
      <c r="H1197" s="9">
        <v>8</v>
      </c>
      <c r="I1197" s="9">
        <v>0</v>
      </c>
      <c r="J1197" s="9">
        <v>2</v>
      </c>
      <c r="K1197" s="9">
        <v>1</v>
      </c>
      <c r="L1197" s="9">
        <v>2</v>
      </c>
      <c r="M1197" s="9">
        <v>6</v>
      </c>
      <c r="N1197" s="9">
        <v>8</v>
      </c>
      <c r="O1197" s="9">
        <v>14</v>
      </c>
      <c r="P1197" s="9">
        <v>4</v>
      </c>
      <c r="Q1197" s="9">
        <v>0</v>
      </c>
      <c r="R1197" s="9">
        <v>0</v>
      </c>
      <c r="S1197" s="9">
        <v>0</v>
      </c>
      <c r="T1197" s="9">
        <v>0</v>
      </c>
      <c r="U1197" s="9">
        <v>0</v>
      </c>
      <c r="V1197" s="9">
        <v>0</v>
      </c>
      <c r="W1197" s="9">
        <v>0</v>
      </c>
      <c r="X1197" s="9">
        <v>1</v>
      </c>
      <c r="Y1197" s="9">
        <v>1</v>
      </c>
      <c r="Z1197" s="9">
        <v>1</v>
      </c>
      <c r="AA1197" s="9">
        <v>1</v>
      </c>
      <c r="AB1197" s="9">
        <v>0</v>
      </c>
      <c r="AC1197" s="9">
        <v>0</v>
      </c>
      <c r="AD1197" s="53" t="e">
        <f>#REF!*D1197</f>
        <v>#REF!</v>
      </c>
      <c r="AE1197" s="53" t="e">
        <f>AD1197-#REF!</f>
        <v>#REF!</v>
      </c>
      <c r="AF1197" s="9"/>
      <c r="AG1197" s="33" t="e">
        <f>#REF!-D1197</f>
        <v>#REF!</v>
      </c>
      <c r="AH1197" s="9"/>
      <c r="AI1197" s="9"/>
      <c r="AJ1197" s="9"/>
      <c r="AK1197" s="9"/>
    </row>
    <row r="1198" spans="1:37" s="16" customFormat="1" ht="21.6" outlineLevel="1" x14ac:dyDescent="0.2">
      <c r="A1198" s="62" t="s">
        <v>1425</v>
      </c>
      <c r="B1198" s="14" t="s">
        <v>1450</v>
      </c>
      <c r="C1198" s="9" t="s">
        <v>47</v>
      </c>
      <c r="D1198" s="25">
        <f t="shared" ref="D1198:D1229" si="307">SUM(G1198:AC1198)</f>
        <v>7</v>
      </c>
      <c r="E1198" s="54"/>
      <c r="F1198" s="9"/>
      <c r="G1198" s="9">
        <v>0</v>
      </c>
      <c r="H1198" s="9">
        <v>1</v>
      </c>
      <c r="I1198" s="9">
        <v>0</v>
      </c>
      <c r="J1198" s="9">
        <v>1</v>
      </c>
      <c r="K1198" s="9">
        <v>1</v>
      </c>
      <c r="L1198" s="9">
        <v>0</v>
      </c>
      <c r="M1198" s="9">
        <v>0</v>
      </c>
      <c r="N1198" s="9">
        <v>0</v>
      </c>
      <c r="O1198" s="9">
        <v>0</v>
      </c>
      <c r="P1198" s="9">
        <v>0</v>
      </c>
      <c r="Q1198" s="9">
        <v>0</v>
      </c>
      <c r="R1198" s="9">
        <v>0</v>
      </c>
      <c r="S1198" s="9">
        <v>0</v>
      </c>
      <c r="T1198" s="9">
        <v>0</v>
      </c>
      <c r="U1198" s="9">
        <v>0</v>
      </c>
      <c r="V1198" s="9">
        <v>0</v>
      </c>
      <c r="W1198" s="9">
        <v>0</v>
      </c>
      <c r="X1198" s="9">
        <v>1</v>
      </c>
      <c r="Y1198" s="9">
        <v>1</v>
      </c>
      <c r="Z1198" s="9">
        <v>1</v>
      </c>
      <c r="AA1198" s="9">
        <v>1</v>
      </c>
      <c r="AB1198" s="9">
        <v>0</v>
      </c>
      <c r="AC1198" s="9">
        <v>0</v>
      </c>
      <c r="AD1198" s="53" t="e">
        <f>#REF!*D1198</f>
        <v>#REF!</v>
      </c>
      <c r="AE1198" s="53" t="e">
        <f>AD1198-#REF!</f>
        <v>#REF!</v>
      </c>
      <c r="AF1198" s="9"/>
      <c r="AG1198" s="33" t="e">
        <f>#REF!-D1198</f>
        <v>#REF!</v>
      </c>
      <c r="AH1198" s="9"/>
      <c r="AI1198" s="9"/>
      <c r="AJ1198" s="9"/>
      <c r="AK1198" s="9"/>
    </row>
    <row r="1199" spans="1:37" s="16" customFormat="1" ht="21.6" outlineLevel="1" x14ac:dyDescent="0.2">
      <c r="A1199" s="62" t="s">
        <v>1426</v>
      </c>
      <c r="B1199" s="14" t="s">
        <v>1451</v>
      </c>
      <c r="C1199" s="9" t="s">
        <v>47</v>
      </c>
      <c r="D1199" s="25">
        <f t="shared" si="307"/>
        <v>6</v>
      </c>
      <c r="E1199" s="54"/>
      <c r="F1199" s="9"/>
      <c r="G1199" s="9">
        <v>0</v>
      </c>
      <c r="H1199" s="9">
        <v>1</v>
      </c>
      <c r="I1199" s="9">
        <v>0</v>
      </c>
      <c r="J1199" s="9">
        <v>0</v>
      </c>
      <c r="K1199" s="9">
        <v>0</v>
      </c>
      <c r="L1199" s="9">
        <v>1</v>
      </c>
      <c r="M1199" s="9">
        <v>0</v>
      </c>
      <c r="N1199" s="9">
        <v>0</v>
      </c>
      <c r="O1199" s="9">
        <v>1</v>
      </c>
      <c r="P1199" s="9">
        <v>1</v>
      </c>
      <c r="Q1199" s="9">
        <v>0</v>
      </c>
      <c r="R1199" s="9">
        <v>0</v>
      </c>
      <c r="S1199" s="9">
        <v>0</v>
      </c>
      <c r="T1199" s="9">
        <v>1</v>
      </c>
      <c r="U1199" s="9">
        <v>0</v>
      </c>
      <c r="V1199" s="9">
        <v>0</v>
      </c>
      <c r="W1199" s="9">
        <v>0</v>
      </c>
      <c r="X1199" s="9">
        <v>1</v>
      </c>
      <c r="Y1199" s="9">
        <v>0</v>
      </c>
      <c r="Z1199" s="9">
        <v>0</v>
      </c>
      <c r="AA1199" s="9">
        <v>0</v>
      </c>
      <c r="AB1199" s="9">
        <v>0</v>
      </c>
      <c r="AC1199" s="9">
        <v>0</v>
      </c>
      <c r="AD1199" s="53" t="e">
        <f>#REF!*D1199</f>
        <v>#REF!</v>
      </c>
      <c r="AE1199" s="53" t="e">
        <f>AD1199-#REF!</f>
        <v>#REF!</v>
      </c>
      <c r="AF1199" s="9"/>
      <c r="AG1199" s="33" t="e">
        <f>#REF!-D1199</f>
        <v>#REF!</v>
      </c>
      <c r="AH1199" s="9"/>
      <c r="AI1199" s="9"/>
      <c r="AJ1199" s="9"/>
      <c r="AK1199" s="9"/>
    </row>
    <row r="1200" spans="1:37" s="16" customFormat="1" ht="21.6" outlineLevel="1" x14ac:dyDescent="0.2">
      <c r="A1200" s="62" t="s">
        <v>1427</v>
      </c>
      <c r="B1200" s="14" t="s">
        <v>1454</v>
      </c>
      <c r="C1200" s="9" t="s">
        <v>47</v>
      </c>
      <c r="D1200" s="25">
        <f t="shared" si="307"/>
        <v>34</v>
      </c>
      <c r="E1200" s="54"/>
      <c r="F1200" s="9"/>
      <c r="G1200" s="9">
        <v>0</v>
      </c>
      <c r="H1200" s="9">
        <v>7</v>
      </c>
      <c r="I1200" s="9">
        <v>2</v>
      </c>
      <c r="J1200" s="9">
        <v>7</v>
      </c>
      <c r="K1200" s="9">
        <v>4</v>
      </c>
      <c r="L1200" s="9">
        <v>3</v>
      </c>
      <c r="M1200" s="9">
        <v>2</v>
      </c>
      <c r="N1200" s="9">
        <v>2</v>
      </c>
      <c r="O1200" s="9">
        <v>3</v>
      </c>
      <c r="P1200" s="9">
        <v>2</v>
      </c>
      <c r="Q1200" s="9">
        <v>0</v>
      </c>
      <c r="R1200" s="9">
        <v>2</v>
      </c>
      <c r="S1200" s="9">
        <v>0</v>
      </c>
      <c r="T1200" s="9">
        <v>0</v>
      </c>
      <c r="U1200" s="9">
        <v>0</v>
      </c>
      <c r="V1200" s="9">
        <v>0</v>
      </c>
      <c r="W1200" s="9">
        <v>0</v>
      </c>
      <c r="X1200" s="9">
        <v>0</v>
      </c>
      <c r="Y1200" s="9">
        <v>0</v>
      </c>
      <c r="Z1200" s="9">
        <v>0</v>
      </c>
      <c r="AA1200" s="9">
        <v>0</v>
      </c>
      <c r="AB1200" s="9">
        <v>0</v>
      </c>
      <c r="AC1200" s="9">
        <v>0</v>
      </c>
      <c r="AD1200" s="53" t="e">
        <f>#REF!*D1200</f>
        <v>#REF!</v>
      </c>
      <c r="AE1200" s="53" t="e">
        <f>AD1200-#REF!</f>
        <v>#REF!</v>
      </c>
      <c r="AF1200" s="9"/>
      <c r="AG1200" s="33" t="e">
        <f>#REF!-D1200</f>
        <v>#REF!</v>
      </c>
      <c r="AH1200" s="9"/>
      <c r="AI1200" s="9"/>
      <c r="AJ1200" s="9"/>
      <c r="AK1200" s="9"/>
    </row>
    <row r="1201" spans="1:37" s="16" customFormat="1" ht="21.6" outlineLevel="1" x14ac:dyDescent="0.2">
      <c r="A1201" s="62" t="s">
        <v>1428</v>
      </c>
      <c r="B1201" s="14" t="s">
        <v>1453</v>
      </c>
      <c r="C1201" s="9" t="s">
        <v>47</v>
      </c>
      <c r="D1201" s="25">
        <f t="shared" si="307"/>
        <v>6</v>
      </c>
      <c r="E1201" s="54"/>
      <c r="F1201" s="9"/>
      <c r="G1201" s="9">
        <v>0</v>
      </c>
      <c r="H1201" s="9">
        <v>1</v>
      </c>
      <c r="I1201" s="9">
        <v>1</v>
      </c>
      <c r="J1201" s="9">
        <v>1</v>
      </c>
      <c r="K1201" s="9">
        <v>1</v>
      </c>
      <c r="L1201" s="9">
        <v>0</v>
      </c>
      <c r="M1201" s="9">
        <v>0</v>
      </c>
      <c r="N1201" s="9">
        <v>1</v>
      </c>
      <c r="O1201" s="9">
        <v>0</v>
      </c>
      <c r="P1201" s="9">
        <v>1</v>
      </c>
      <c r="Q1201" s="9">
        <v>0</v>
      </c>
      <c r="R1201" s="9">
        <v>0</v>
      </c>
      <c r="S1201" s="9">
        <v>0</v>
      </c>
      <c r="T1201" s="9">
        <v>0</v>
      </c>
      <c r="U1201" s="9">
        <v>0</v>
      </c>
      <c r="V1201" s="9">
        <v>0</v>
      </c>
      <c r="W1201" s="9">
        <v>0</v>
      </c>
      <c r="X1201" s="9">
        <v>0</v>
      </c>
      <c r="Y1201" s="9">
        <v>0</v>
      </c>
      <c r="Z1201" s="9">
        <v>0</v>
      </c>
      <c r="AA1201" s="9">
        <v>0</v>
      </c>
      <c r="AB1201" s="9">
        <v>0</v>
      </c>
      <c r="AC1201" s="9">
        <v>0</v>
      </c>
      <c r="AD1201" s="53" t="e">
        <f>#REF!*D1201</f>
        <v>#REF!</v>
      </c>
      <c r="AE1201" s="53" t="e">
        <f>AD1201-#REF!</f>
        <v>#REF!</v>
      </c>
      <c r="AF1201" s="9"/>
      <c r="AG1201" s="33" t="e">
        <f>#REF!-D1201</f>
        <v>#REF!</v>
      </c>
      <c r="AH1201" s="9"/>
      <c r="AI1201" s="9"/>
      <c r="AJ1201" s="9"/>
      <c r="AK1201" s="9"/>
    </row>
    <row r="1202" spans="1:37" s="16" customFormat="1" ht="21.6" outlineLevel="1" x14ac:dyDescent="0.2">
      <c r="A1202" s="62" t="s">
        <v>1429</v>
      </c>
      <c r="B1202" s="14" t="s">
        <v>1452</v>
      </c>
      <c r="C1202" s="9" t="s">
        <v>47</v>
      </c>
      <c r="D1202" s="25">
        <f t="shared" si="307"/>
        <v>7</v>
      </c>
      <c r="E1202" s="54"/>
      <c r="F1202" s="9"/>
      <c r="G1202" s="9">
        <v>0</v>
      </c>
      <c r="H1202" s="9">
        <v>0</v>
      </c>
      <c r="I1202" s="9">
        <v>1</v>
      </c>
      <c r="J1202" s="9">
        <v>1</v>
      </c>
      <c r="K1202" s="9">
        <v>2</v>
      </c>
      <c r="L1202" s="9">
        <v>0</v>
      </c>
      <c r="M1202" s="9">
        <v>0</v>
      </c>
      <c r="N1202" s="9">
        <v>1</v>
      </c>
      <c r="O1202" s="9">
        <v>0</v>
      </c>
      <c r="P1202" s="9">
        <v>1</v>
      </c>
      <c r="Q1202" s="9">
        <v>0</v>
      </c>
      <c r="R1202" s="9">
        <v>0</v>
      </c>
      <c r="S1202" s="9">
        <v>0</v>
      </c>
      <c r="T1202" s="9">
        <v>1</v>
      </c>
      <c r="U1202" s="9">
        <v>0</v>
      </c>
      <c r="V1202" s="9">
        <v>0</v>
      </c>
      <c r="W1202" s="9">
        <v>0</v>
      </c>
      <c r="X1202" s="9">
        <v>0</v>
      </c>
      <c r="Y1202" s="9">
        <v>0</v>
      </c>
      <c r="Z1202" s="9">
        <v>0</v>
      </c>
      <c r="AA1202" s="9">
        <v>0</v>
      </c>
      <c r="AB1202" s="9">
        <v>0</v>
      </c>
      <c r="AC1202" s="9">
        <v>0</v>
      </c>
      <c r="AD1202" s="53" t="e">
        <f>#REF!*D1202</f>
        <v>#REF!</v>
      </c>
      <c r="AE1202" s="53" t="e">
        <f>AD1202-#REF!</f>
        <v>#REF!</v>
      </c>
      <c r="AF1202" s="9"/>
      <c r="AG1202" s="33" t="e">
        <f>#REF!-D1202</f>
        <v>#REF!</v>
      </c>
      <c r="AH1202" s="9"/>
      <c r="AI1202" s="9"/>
      <c r="AJ1202" s="9"/>
      <c r="AK1202" s="9"/>
    </row>
    <row r="1203" spans="1:37" s="16" customFormat="1" ht="21.6" outlineLevel="1" x14ac:dyDescent="0.2">
      <c r="A1203" s="62" t="s">
        <v>1430</v>
      </c>
      <c r="B1203" s="14" t="s">
        <v>336</v>
      </c>
      <c r="C1203" s="9" t="s">
        <v>47</v>
      </c>
      <c r="D1203" s="25">
        <f t="shared" si="307"/>
        <v>5</v>
      </c>
      <c r="E1203" s="54"/>
      <c r="F1203" s="9"/>
      <c r="G1203" s="9">
        <v>0</v>
      </c>
      <c r="H1203" s="9">
        <v>2</v>
      </c>
      <c r="I1203" s="9">
        <v>0</v>
      </c>
      <c r="J1203" s="9">
        <v>0</v>
      </c>
      <c r="K1203" s="9">
        <v>0</v>
      </c>
      <c r="L1203" s="9">
        <v>0</v>
      </c>
      <c r="M1203" s="9">
        <v>1</v>
      </c>
      <c r="N1203" s="9">
        <v>0</v>
      </c>
      <c r="O1203" s="9">
        <v>1</v>
      </c>
      <c r="P1203" s="9">
        <v>1</v>
      </c>
      <c r="Q1203" s="9">
        <v>0</v>
      </c>
      <c r="R1203" s="9">
        <v>0</v>
      </c>
      <c r="S1203" s="9">
        <v>0</v>
      </c>
      <c r="T1203" s="9">
        <v>0</v>
      </c>
      <c r="U1203" s="9">
        <v>0</v>
      </c>
      <c r="V1203" s="9">
        <v>0</v>
      </c>
      <c r="W1203" s="9">
        <v>0</v>
      </c>
      <c r="X1203" s="9">
        <v>0</v>
      </c>
      <c r="Y1203" s="9">
        <v>0</v>
      </c>
      <c r="Z1203" s="9">
        <v>0</v>
      </c>
      <c r="AA1203" s="9">
        <v>0</v>
      </c>
      <c r="AB1203" s="9">
        <v>0</v>
      </c>
      <c r="AC1203" s="9">
        <v>0</v>
      </c>
      <c r="AD1203" s="53" t="e">
        <f>#REF!*D1203</f>
        <v>#REF!</v>
      </c>
      <c r="AE1203" s="53" t="e">
        <f>AD1203-#REF!</f>
        <v>#REF!</v>
      </c>
      <c r="AF1203" s="9"/>
      <c r="AG1203" s="33" t="e">
        <f>#REF!-D1203</f>
        <v>#REF!</v>
      </c>
      <c r="AH1203" s="9"/>
      <c r="AI1203" s="9"/>
      <c r="AJ1203" s="9"/>
      <c r="AK1203" s="9"/>
    </row>
    <row r="1204" spans="1:37" s="16" customFormat="1" ht="21.6" outlineLevel="1" x14ac:dyDescent="0.2">
      <c r="A1204" s="62" t="s">
        <v>1431</v>
      </c>
      <c r="B1204" s="14" t="s">
        <v>1465</v>
      </c>
      <c r="C1204" s="9" t="s">
        <v>47</v>
      </c>
      <c r="D1204" s="25">
        <f t="shared" si="307"/>
        <v>30</v>
      </c>
      <c r="E1204" s="54"/>
      <c r="F1204" s="9"/>
      <c r="G1204" s="9">
        <v>0</v>
      </c>
      <c r="H1204" s="9">
        <v>0</v>
      </c>
      <c r="I1204" s="9">
        <v>0</v>
      </c>
      <c r="J1204" s="9">
        <v>0</v>
      </c>
      <c r="K1204" s="9">
        <v>0</v>
      </c>
      <c r="L1204" s="9">
        <v>7</v>
      </c>
      <c r="M1204" s="9">
        <v>8</v>
      </c>
      <c r="N1204" s="9">
        <v>6</v>
      </c>
      <c r="O1204" s="9">
        <v>6</v>
      </c>
      <c r="P1204" s="9">
        <v>3</v>
      </c>
      <c r="Q1204" s="9">
        <v>0</v>
      </c>
      <c r="R1204" s="9">
        <v>0</v>
      </c>
      <c r="S1204" s="9">
        <v>0</v>
      </c>
      <c r="T1204" s="9">
        <v>0</v>
      </c>
      <c r="U1204" s="9">
        <v>0</v>
      </c>
      <c r="V1204" s="9">
        <v>0</v>
      </c>
      <c r="W1204" s="9">
        <v>0</v>
      </c>
      <c r="X1204" s="9">
        <v>0</v>
      </c>
      <c r="Y1204" s="9">
        <v>0</v>
      </c>
      <c r="Z1204" s="9">
        <v>0</v>
      </c>
      <c r="AA1204" s="9">
        <v>0</v>
      </c>
      <c r="AB1204" s="9">
        <v>0</v>
      </c>
      <c r="AC1204" s="9">
        <v>0</v>
      </c>
      <c r="AD1204" s="53" t="e">
        <f>#REF!*D1204</f>
        <v>#REF!</v>
      </c>
      <c r="AE1204" s="53" t="e">
        <f>AD1204-#REF!</f>
        <v>#REF!</v>
      </c>
      <c r="AF1204" s="9"/>
      <c r="AG1204" s="33" t="e">
        <f>#REF!-D1204</f>
        <v>#REF!</v>
      </c>
      <c r="AH1204" s="9"/>
      <c r="AI1204" s="9"/>
      <c r="AJ1204" s="9"/>
      <c r="AK1204" s="9"/>
    </row>
    <row r="1205" spans="1:37" s="16" customFormat="1" ht="21.6" outlineLevel="1" x14ac:dyDescent="0.2">
      <c r="A1205" s="62" t="s">
        <v>1432</v>
      </c>
      <c r="B1205" s="14" t="s">
        <v>1456</v>
      </c>
      <c r="C1205" s="9" t="s">
        <v>47</v>
      </c>
      <c r="D1205" s="25">
        <f t="shared" si="307"/>
        <v>1</v>
      </c>
      <c r="E1205" s="54"/>
      <c r="F1205" s="9"/>
      <c r="G1205" s="9">
        <v>0</v>
      </c>
      <c r="H1205" s="9">
        <v>1</v>
      </c>
      <c r="I1205" s="9">
        <v>0</v>
      </c>
      <c r="J1205" s="9">
        <v>0</v>
      </c>
      <c r="K1205" s="9">
        <v>0</v>
      </c>
      <c r="L1205" s="9">
        <v>0</v>
      </c>
      <c r="M1205" s="9">
        <v>0</v>
      </c>
      <c r="N1205" s="9">
        <v>0</v>
      </c>
      <c r="O1205" s="9">
        <v>0</v>
      </c>
      <c r="P1205" s="9">
        <v>0</v>
      </c>
      <c r="Q1205" s="9">
        <v>0</v>
      </c>
      <c r="R1205" s="9">
        <v>0</v>
      </c>
      <c r="S1205" s="9">
        <v>0</v>
      </c>
      <c r="T1205" s="9">
        <v>0</v>
      </c>
      <c r="U1205" s="9">
        <v>0</v>
      </c>
      <c r="V1205" s="9">
        <v>0</v>
      </c>
      <c r="W1205" s="9">
        <v>0</v>
      </c>
      <c r="X1205" s="9">
        <v>0</v>
      </c>
      <c r="Y1205" s="9">
        <v>0</v>
      </c>
      <c r="Z1205" s="9">
        <v>0</v>
      </c>
      <c r="AA1205" s="9">
        <v>0</v>
      </c>
      <c r="AB1205" s="9">
        <v>0</v>
      </c>
      <c r="AC1205" s="9">
        <v>0</v>
      </c>
      <c r="AD1205" s="53" t="e">
        <f>#REF!*D1205</f>
        <v>#REF!</v>
      </c>
      <c r="AE1205" s="53" t="e">
        <f>AD1205-#REF!</f>
        <v>#REF!</v>
      </c>
      <c r="AF1205" s="9"/>
      <c r="AG1205" s="33" t="e">
        <f>#REF!-D1205</f>
        <v>#REF!</v>
      </c>
      <c r="AH1205" s="9"/>
      <c r="AI1205" s="9"/>
      <c r="AJ1205" s="9"/>
      <c r="AK1205" s="9"/>
    </row>
    <row r="1206" spans="1:37" s="16" customFormat="1" ht="21.6" outlineLevel="1" x14ac:dyDescent="0.2">
      <c r="A1206" s="62" t="s">
        <v>1433</v>
      </c>
      <c r="B1206" s="14" t="s">
        <v>1455</v>
      </c>
      <c r="C1206" s="9" t="s">
        <v>47</v>
      </c>
      <c r="D1206" s="25">
        <f t="shared" si="307"/>
        <v>5</v>
      </c>
      <c r="E1206" s="54"/>
      <c r="F1206" s="9"/>
      <c r="G1206" s="9">
        <v>0</v>
      </c>
      <c r="H1206" s="9">
        <v>3</v>
      </c>
      <c r="I1206" s="9">
        <v>0</v>
      </c>
      <c r="J1206" s="9">
        <v>0</v>
      </c>
      <c r="K1206" s="9">
        <v>0</v>
      </c>
      <c r="L1206" s="9">
        <v>1</v>
      </c>
      <c r="M1206" s="9">
        <v>1</v>
      </c>
      <c r="N1206" s="9">
        <v>0</v>
      </c>
      <c r="O1206" s="9">
        <v>0</v>
      </c>
      <c r="P1206" s="9">
        <v>0</v>
      </c>
      <c r="Q1206" s="9">
        <v>0</v>
      </c>
      <c r="R1206" s="9">
        <v>0</v>
      </c>
      <c r="S1206" s="9">
        <v>0</v>
      </c>
      <c r="T1206" s="9">
        <v>0</v>
      </c>
      <c r="U1206" s="9">
        <v>0</v>
      </c>
      <c r="V1206" s="9">
        <v>0</v>
      </c>
      <c r="W1206" s="9">
        <v>0</v>
      </c>
      <c r="X1206" s="9">
        <v>0</v>
      </c>
      <c r="Y1206" s="9">
        <v>0</v>
      </c>
      <c r="Z1206" s="9">
        <v>0</v>
      </c>
      <c r="AA1206" s="9">
        <v>0</v>
      </c>
      <c r="AB1206" s="9">
        <v>0</v>
      </c>
      <c r="AC1206" s="9">
        <v>0</v>
      </c>
      <c r="AD1206" s="53" t="e">
        <f>#REF!*D1206</f>
        <v>#REF!</v>
      </c>
      <c r="AE1206" s="53" t="e">
        <f>AD1206-#REF!</f>
        <v>#REF!</v>
      </c>
      <c r="AF1206" s="9"/>
      <c r="AG1206" s="33" t="e">
        <f>#REF!-D1206</f>
        <v>#REF!</v>
      </c>
      <c r="AH1206" s="9"/>
      <c r="AI1206" s="9"/>
      <c r="AJ1206" s="9"/>
      <c r="AK1206" s="9"/>
    </row>
    <row r="1207" spans="1:37" s="16" customFormat="1" ht="21.6" outlineLevel="1" x14ac:dyDescent="0.2">
      <c r="A1207" s="62" t="s">
        <v>1434</v>
      </c>
      <c r="B1207" s="14" t="s">
        <v>337</v>
      </c>
      <c r="C1207" s="9" t="s">
        <v>47</v>
      </c>
      <c r="D1207" s="25">
        <f t="shared" si="307"/>
        <v>2</v>
      </c>
      <c r="E1207" s="54"/>
      <c r="F1207" s="9"/>
      <c r="G1207" s="9">
        <v>0</v>
      </c>
      <c r="H1207" s="9">
        <v>2</v>
      </c>
      <c r="I1207" s="9">
        <v>0</v>
      </c>
      <c r="J1207" s="9">
        <v>0</v>
      </c>
      <c r="K1207" s="9">
        <v>0</v>
      </c>
      <c r="L1207" s="9">
        <v>0</v>
      </c>
      <c r="M1207" s="9">
        <v>0</v>
      </c>
      <c r="N1207" s="9">
        <v>0</v>
      </c>
      <c r="O1207" s="9">
        <v>0</v>
      </c>
      <c r="P1207" s="9">
        <v>0</v>
      </c>
      <c r="Q1207" s="9">
        <v>0</v>
      </c>
      <c r="R1207" s="9">
        <v>0</v>
      </c>
      <c r="S1207" s="9">
        <v>0</v>
      </c>
      <c r="T1207" s="9">
        <v>0</v>
      </c>
      <c r="U1207" s="9">
        <v>0</v>
      </c>
      <c r="V1207" s="9">
        <v>0</v>
      </c>
      <c r="W1207" s="9">
        <v>0</v>
      </c>
      <c r="X1207" s="9">
        <v>0</v>
      </c>
      <c r="Y1207" s="9">
        <v>0</v>
      </c>
      <c r="Z1207" s="9">
        <v>0</v>
      </c>
      <c r="AA1207" s="9">
        <v>0</v>
      </c>
      <c r="AB1207" s="9">
        <v>0</v>
      </c>
      <c r="AC1207" s="9">
        <v>0</v>
      </c>
      <c r="AD1207" s="53" t="e">
        <f>#REF!*D1207</f>
        <v>#REF!</v>
      </c>
      <c r="AE1207" s="53" t="e">
        <f>AD1207-#REF!</f>
        <v>#REF!</v>
      </c>
      <c r="AF1207" s="9"/>
      <c r="AG1207" s="33" t="e">
        <f>#REF!-D1207</f>
        <v>#REF!</v>
      </c>
      <c r="AH1207" s="9"/>
      <c r="AI1207" s="9"/>
      <c r="AJ1207" s="9"/>
      <c r="AK1207" s="9"/>
    </row>
    <row r="1208" spans="1:37" s="16" customFormat="1" ht="21.6" outlineLevel="1" x14ac:dyDescent="0.2">
      <c r="A1208" s="62" t="s">
        <v>1435</v>
      </c>
      <c r="B1208" s="14" t="s">
        <v>2519</v>
      </c>
      <c r="C1208" s="9" t="s">
        <v>47</v>
      </c>
      <c r="D1208" s="25">
        <f t="shared" si="307"/>
        <v>3</v>
      </c>
      <c r="E1208" s="54"/>
      <c r="F1208" s="9"/>
      <c r="G1208" s="9">
        <v>0</v>
      </c>
      <c r="H1208" s="9">
        <v>0</v>
      </c>
      <c r="I1208" s="9">
        <v>0</v>
      </c>
      <c r="J1208" s="9">
        <v>0</v>
      </c>
      <c r="K1208" s="9">
        <v>0</v>
      </c>
      <c r="L1208" s="9">
        <v>0</v>
      </c>
      <c r="M1208" s="9">
        <v>0</v>
      </c>
      <c r="N1208" s="9">
        <v>0</v>
      </c>
      <c r="O1208" s="9">
        <v>0</v>
      </c>
      <c r="P1208" s="9">
        <v>0</v>
      </c>
      <c r="Q1208" s="9">
        <v>0</v>
      </c>
      <c r="R1208" s="9">
        <v>3</v>
      </c>
      <c r="S1208" s="9">
        <v>0</v>
      </c>
      <c r="T1208" s="9">
        <v>0</v>
      </c>
      <c r="U1208" s="9">
        <v>0</v>
      </c>
      <c r="V1208" s="9">
        <v>0</v>
      </c>
      <c r="W1208" s="9">
        <v>0</v>
      </c>
      <c r="X1208" s="9">
        <v>0</v>
      </c>
      <c r="Y1208" s="9">
        <v>0</v>
      </c>
      <c r="Z1208" s="9">
        <v>0</v>
      </c>
      <c r="AA1208" s="9">
        <v>0</v>
      </c>
      <c r="AB1208" s="9">
        <v>0</v>
      </c>
      <c r="AC1208" s="9">
        <v>0</v>
      </c>
      <c r="AD1208" s="53" t="e">
        <f>#REF!*D1208</f>
        <v>#REF!</v>
      </c>
      <c r="AE1208" s="53" t="e">
        <f>AD1208-#REF!</f>
        <v>#REF!</v>
      </c>
      <c r="AF1208" s="9"/>
      <c r="AG1208" s="33" t="e">
        <f>#REF!-D1208</f>
        <v>#REF!</v>
      </c>
      <c r="AH1208" s="9"/>
      <c r="AI1208" s="9"/>
      <c r="AJ1208" s="9"/>
      <c r="AK1208" s="9"/>
    </row>
    <row r="1209" spans="1:37" s="16" customFormat="1" ht="21.6" outlineLevel="1" x14ac:dyDescent="0.2">
      <c r="A1209" s="62" t="s">
        <v>1436</v>
      </c>
      <c r="B1209" s="14" t="s">
        <v>2520</v>
      </c>
      <c r="C1209" s="9" t="s">
        <v>47</v>
      </c>
      <c r="D1209" s="25">
        <f t="shared" si="307"/>
        <v>1</v>
      </c>
      <c r="E1209" s="54"/>
      <c r="F1209" s="9"/>
      <c r="G1209" s="9">
        <v>0</v>
      </c>
      <c r="H1209" s="9">
        <v>0</v>
      </c>
      <c r="I1209" s="9">
        <v>0</v>
      </c>
      <c r="J1209" s="9">
        <v>0</v>
      </c>
      <c r="K1209" s="9">
        <v>0</v>
      </c>
      <c r="L1209" s="9">
        <v>0</v>
      </c>
      <c r="M1209" s="9">
        <v>0</v>
      </c>
      <c r="N1209" s="9">
        <v>0</v>
      </c>
      <c r="O1209" s="9">
        <v>0</v>
      </c>
      <c r="P1209" s="9">
        <v>0</v>
      </c>
      <c r="Q1209" s="9">
        <v>0</v>
      </c>
      <c r="R1209" s="9">
        <v>0</v>
      </c>
      <c r="S1209" s="9">
        <v>0</v>
      </c>
      <c r="T1209" s="9">
        <v>1</v>
      </c>
      <c r="U1209" s="9">
        <v>0</v>
      </c>
      <c r="V1209" s="9">
        <v>0</v>
      </c>
      <c r="W1209" s="9">
        <v>0</v>
      </c>
      <c r="X1209" s="9">
        <v>0</v>
      </c>
      <c r="Y1209" s="9">
        <v>0</v>
      </c>
      <c r="Z1209" s="9">
        <v>0</v>
      </c>
      <c r="AA1209" s="9">
        <v>0</v>
      </c>
      <c r="AB1209" s="9">
        <v>0</v>
      </c>
      <c r="AC1209" s="9">
        <v>0</v>
      </c>
      <c r="AD1209" s="53" t="e">
        <f>#REF!*D1209</f>
        <v>#REF!</v>
      </c>
      <c r="AE1209" s="53" t="e">
        <f>AD1209-#REF!</f>
        <v>#REF!</v>
      </c>
      <c r="AF1209" s="9"/>
      <c r="AG1209" s="33" t="e">
        <f>#REF!-D1209</f>
        <v>#REF!</v>
      </c>
      <c r="AH1209" s="9"/>
      <c r="AI1209" s="9"/>
      <c r="AJ1209" s="9"/>
      <c r="AK1209" s="9"/>
    </row>
    <row r="1210" spans="1:37" s="16" customFormat="1" ht="21.6" outlineLevel="1" x14ac:dyDescent="0.2">
      <c r="A1210" s="62" t="s">
        <v>1437</v>
      </c>
      <c r="B1210" s="14" t="s">
        <v>2521</v>
      </c>
      <c r="C1210" s="9" t="s">
        <v>47</v>
      </c>
      <c r="D1210" s="25">
        <f t="shared" si="307"/>
        <v>4</v>
      </c>
      <c r="E1210" s="54"/>
      <c r="F1210" s="9"/>
      <c r="G1210" s="9">
        <v>0</v>
      </c>
      <c r="H1210" s="9">
        <v>0</v>
      </c>
      <c r="I1210" s="9">
        <v>0</v>
      </c>
      <c r="J1210" s="9">
        <v>0</v>
      </c>
      <c r="K1210" s="9">
        <v>0</v>
      </c>
      <c r="L1210" s="9">
        <v>0</v>
      </c>
      <c r="M1210" s="9">
        <v>0</v>
      </c>
      <c r="N1210" s="9">
        <v>0</v>
      </c>
      <c r="O1210" s="9">
        <v>0</v>
      </c>
      <c r="P1210" s="9">
        <v>0</v>
      </c>
      <c r="Q1210" s="9">
        <v>0</v>
      </c>
      <c r="R1210" s="9">
        <v>0</v>
      </c>
      <c r="S1210" s="9">
        <v>0</v>
      </c>
      <c r="T1210" s="9">
        <v>4</v>
      </c>
      <c r="U1210" s="9">
        <v>0</v>
      </c>
      <c r="V1210" s="9">
        <v>0</v>
      </c>
      <c r="W1210" s="9">
        <v>0</v>
      </c>
      <c r="X1210" s="9">
        <v>0</v>
      </c>
      <c r="Y1210" s="9">
        <v>0</v>
      </c>
      <c r="Z1210" s="9">
        <v>0</v>
      </c>
      <c r="AA1210" s="9">
        <v>0</v>
      </c>
      <c r="AB1210" s="9">
        <v>0</v>
      </c>
      <c r="AC1210" s="9">
        <v>0</v>
      </c>
      <c r="AD1210" s="53" t="e">
        <f>#REF!*D1210</f>
        <v>#REF!</v>
      </c>
      <c r="AE1210" s="53" t="e">
        <f>AD1210-#REF!</f>
        <v>#REF!</v>
      </c>
      <c r="AF1210" s="9"/>
      <c r="AG1210" s="33" t="e">
        <f>#REF!-D1210</f>
        <v>#REF!</v>
      </c>
      <c r="AH1210" s="9"/>
      <c r="AI1210" s="9"/>
      <c r="AJ1210" s="9"/>
      <c r="AK1210" s="9"/>
    </row>
    <row r="1211" spans="1:37" s="16" customFormat="1" ht="21.6" outlineLevel="1" x14ac:dyDescent="0.2">
      <c r="A1211" s="62" t="s">
        <v>1438</v>
      </c>
      <c r="B1211" s="14" t="s">
        <v>338</v>
      </c>
      <c r="C1211" s="9" t="s">
        <v>47</v>
      </c>
      <c r="D1211" s="25">
        <f t="shared" si="307"/>
        <v>1</v>
      </c>
      <c r="E1211" s="54"/>
      <c r="F1211" s="9"/>
      <c r="G1211" s="9">
        <v>0</v>
      </c>
      <c r="H1211" s="9">
        <v>0</v>
      </c>
      <c r="I1211" s="9">
        <v>0</v>
      </c>
      <c r="J1211" s="9">
        <v>0</v>
      </c>
      <c r="K1211" s="9">
        <v>0</v>
      </c>
      <c r="L1211" s="9">
        <v>0</v>
      </c>
      <c r="M1211" s="9">
        <v>0</v>
      </c>
      <c r="N1211" s="9">
        <v>0</v>
      </c>
      <c r="O1211" s="9">
        <v>0</v>
      </c>
      <c r="P1211" s="9">
        <v>0</v>
      </c>
      <c r="Q1211" s="9">
        <v>0</v>
      </c>
      <c r="R1211" s="9">
        <v>0</v>
      </c>
      <c r="S1211" s="9">
        <v>0</v>
      </c>
      <c r="T1211" s="9">
        <v>1</v>
      </c>
      <c r="U1211" s="9">
        <v>0</v>
      </c>
      <c r="V1211" s="9">
        <v>0</v>
      </c>
      <c r="W1211" s="9">
        <v>0</v>
      </c>
      <c r="X1211" s="9">
        <v>0</v>
      </c>
      <c r="Y1211" s="9">
        <v>0</v>
      </c>
      <c r="Z1211" s="9">
        <v>0</v>
      </c>
      <c r="AA1211" s="9">
        <v>0</v>
      </c>
      <c r="AB1211" s="9">
        <v>0</v>
      </c>
      <c r="AC1211" s="9">
        <v>0</v>
      </c>
      <c r="AD1211" s="53" t="e">
        <f>#REF!*D1211</f>
        <v>#REF!</v>
      </c>
      <c r="AE1211" s="53" t="e">
        <f>AD1211-#REF!</f>
        <v>#REF!</v>
      </c>
      <c r="AF1211" s="9"/>
      <c r="AG1211" s="33" t="e">
        <f>#REF!-D1211</f>
        <v>#REF!</v>
      </c>
      <c r="AH1211" s="9"/>
      <c r="AI1211" s="9"/>
      <c r="AJ1211" s="9"/>
      <c r="AK1211" s="9"/>
    </row>
    <row r="1212" spans="1:37" s="16" customFormat="1" ht="20.399999999999999" outlineLevel="1" x14ac:dyDescent="0.2">
      <c r="A1212" s="62" t="s">
        <v>1439</v>
      </c>
      <c r="B1212" s="14" t="s">
        <v>97</v>
      </c>
      <c r="C1212" s="9" t="s">
        <v>47</v>
      </c>
      <c r="D1212" s="25">
        <f t="shared" si="307"/>
        <v>47</v>
      </c>
      <c r="E1212" s="54"/>
      <c r="F1212" s="9"/>
      <c r="G1212" s="9">
        <v>0</v>
      </c>
      <c r="H1212" s="9">
        <v>7</v>
      </c>
      <c r="I1212" s="9">
        <v>5</v>
      </c>
      <c r="J1212" s="9">
        <v>3</v>
      </c>
      <c r="K1212" s="9">
        <v>2</v>
      </c>
      <c r="L1212" s="9">
        <v>2</v>
      </c>
      <c r="M1212" s="9">
        <v>1</v>
      </c>
      <c r="N1212" s="9">
        <v>2</v>
      </c>
      <c r="O1212" s="9">
        <v>1</v>
      </c>
      <c r="P1212" s="9">
        <v>5</v>
      </c>
      <c r="Q1212" s="9">
        <v>0</v>
      </c>
      <c r="R1212" s="9">
        <v>0</v>
      </c>
      <c r="S1212" s="9">
        <v>0</v>
      </c>
      <c r="T1212" s="9">
        <v>0</v>
      </c>
      <c r="U1212" s="9">
        <v>4</v>
      </c>
      <c r="V1212" s="9">
        <v>1</v>
      </c>
      <c r="W1212" s="9">
        <v>2</v>
      </c>
      <c r="X1212" s="9">
        <v>4</v>
      </c>
      <c r="Y1212" s="9">
        <v>2</v>
      </c>
      <c r="Z1212" s="9">
        <v>3</v>
      </c>
      <c r="AA1212" s="9">
        <v>3</v>
      </c>
      <c r="AB1212" s="9">
        <v>0</v>
      </c>
      <c r="AC1212" s="9">
        <v>0</v>
      </c>
      <c r="AD1212" s="53" t="e">
        <f>#REF!*D1212</f>
        <v>#REF!</v>
      </c>
      <c r="AE1212" s="53" t="e">
        <f>AD1212-#REF!</f>
        <v>#REF!</v>
      </c>
      <c r="AF1212" s="9"/>
      <c r="AG1212" s="33" t="e">
        <f>#REF!-D1212</f>
        <v>#REF!</v>
      </c>
      <c r="AH1212" s="9"/>
      <c r="AI1212" s="9"/>
      <c r="AJ1212" s="9"/>
      <c r="AK1212" s="9"/>
    </row>
    <row r="1213" spans="1:37" s="16" customFormat="1" ht="20.399999999999999" outlineLevel="1" x14ac:dyDescent="0.2">
      <c r="A1213" s="62" t="s">
        <v>1440</v>
      </c>
      <c r="B1213" s="14" t="s">
        <v>98</v>
      </c>
      <c r="C1213" s="9" t="s">
        <v>47</v>
      </c>
      <c r="D1213" s="25">
        <f t="shared" si="307"/>
        <v>29</v>
      </c>
      <c r="E1213" s="54"/>
      <c r="F1213" s="9"/>
      <c r="G1213" s="9">
        <v>0</v>
      </c>
      <c r="H1213" s="9">
        <v>4</v>
      </c>
      <c r="I1213" s="9">
        <v>1</v>
      </c>
      <c r="J1213" s="9">
        <v>1</v>
      </c>
      <c r="K1213" s="9">
        <v>1</v>
      </c>
      <c r="L1213" s="9">
        <v>3</v>
      </c>
      <c r="M1213" s="9">
        <v>2</v>
      </c>
      <c r="N1213" s="9">
        <v>1</v>
      </c>
      <c r="O1213" s="9">
        <v>1</v>
      </c>
      <c r="P1213" s="9">
        <v>2</v>
      </c>
      <c r="Q1213" s="9">
        <v>0</v>
      </c>
      <c r="R1213" s="9">
        <v>0</v>
      </c>
      <c r="S1213" s="9">
        <v>0</v>
      </c>
      <c r="T1213" s="9">
        <v>0</v>
      </c>
      <c r="U1213" s="9">
        <v>2</v>
      </c>
      <c r="V1213" s="9">
        <v>1</v>
      </c>
      <c r="W1213" s="9">
        <v>1</v>
      </c>
      <c r="X1213" s="9">
        <v>3</v>
      </c>
      <c r="Y1213" s="9">
        <v>1</v>
      </c>
      <c r="Z1213" s="9">
        <v>2</v>
      </c>
      <c r="AA1213" s="9">
        <v>2</v>
      </c>
      <c r="AB1213" s="9">
        <v>1</v>
      </c>
      <c r="AC1213" s="9">
        <v>0</v>
      </c>
      <c r="AD1213" s="53" t="e">
        <f>#REF!*D1213</f>
        <v>#REF!</v>
      </c>
      <c r="AE1213" s="53" t="e">
        <f>AD1213-#REF!</f>
        <v>#REF!</v>
      </c>
      <c r="AF1213" s="9"/>
      <c r="AG1213" s="33" t="e">
        <f>#REF!-D1213</f>
        <v>#REF!</v>
      </c>
      <c r="AH1213" s="9"/>
      <c r="AI1213" s="9"/>
      <c r="AJ1213" s="9"/>
      <c r="AK1213" s="9"/>
    </row>
    <row r="1214" spans="1:37" s="16" customFormat="1" ht="20.399999999999999" outlineLevel="1" x14ac:dyDescent="0.2">
      <c r="A1214" s="62" t="s">
        <v>1441</v>
      </c>
      <c r="B1214" s="14" t="s">
        <v>99</v>
      </c>
      <c r="C1214" s="9" t="s">
        <v>47</v>
      </c>
      <c r="D1214" s="25">
        <f t="shared" si="307"/>
        <v>25</v>
      </c>
      <c r="E1214" s="54"/>
      <c r="F1214" s="9"/>
      <c r="G1214" s="9">
        <v>0</v>
      </c>
      <c r="H1214" s="9">
        <v>4</v>
      </c>
      <c r="I1214" s="9">
        <v>1</v>
      </c>
      <c r="J1214" s="9">
        <v>1</v>
      </c>
      <c r="K1214" s="9">
        <v>2</v>
      </c>
      <c r="L1214" s="9">
        <v>1</v>
      </c>
      <c r="M1214" s="9">
        <v>1</v>
      </c>
      <c r="N1214" s="9">
        <v>1</v>
      </c>
      <c r="O1214" s="9">
        <v>2</v>
      </c>
      <c r="P1214" s="9">
        <v>2</v>
      </c>
      <c r="Q1214" s="9">
        <v>0</v>
      </c>
      <c r="R1214" s="9">
        <v>0</v>
      </c>
      <c r="S1214" s="9">
        <v>0</v>
      </c>
      <c r="T1214" s="9">
        <v>1</v>
      </c>
      <c r="U1214" s="9">
        <v>2</v>
      </c>
      <c r="V1214" s="9">
        <v>1</v>
      </c>
      <c r="W1214" s="9">
        <v>1</v>
      </c>
      <c r="X1214" s="9">
        <v>2</v>
      </c>
      <c r="Y1214" s="9">
        <v>1</v>
      </c>
      <c r="Z1214" s="9">
        <v>1</v>
      </c>
      <c r="AA1214" s="9">
        <v>1</v>
      </c>
      <c r="AB1214" s="9">
        <v>0</v>
      </c>
      <c r="AC1214" s="9">
        <v>0</v>
      </c>
      <c r="AD1214" s="53" t="e">
        <f>#REF!*D1214</f>
        <v>#REF!</v>
      </c>
      <c r="AE1214" s="53" t="e">
        <f>AD1214-#REF!</f>
        <v>#REF!</v>
      </c>
      <c r="AF1214" s="9"/>
      <c r="AG1214" s="33" t="e">
        <f>#REF!-D1214</f>
        <v>#REF!</v>
      </c>
      <c r="AH1214" s="9"/>
      <c r="AI1214" s="9"/>
      <c r="AJ1214" s="9"/>
      <c r="AK1214" s="9"/>
    </row>
    <row r="1215" spans="1:37" s="16" customFormat="1" ht="20.399999999999999" outlineLevel="1" x14ac:dyDescent="0.2">
      <c r="A1215" s="62" t="s">
        <v>1442</v>
      </c>
      <c r="B1215" s="14" t="s">
        <v>100</v>
      </c>
      <c r="C1215" s="9" t="s">
        <v>47</v>
      </c>
      <c r="D1215" s="25">
        <f t="shared" si="307"/>
        <v>14</v>
      </c>
      <c r="E1215" s="54"/>
      <c r="F1215" s="9"/>
      <c r="G1215" s="9">
        <v>0</v>
      </c>
      <c r="H1215" s="9">
        <v>0</v>
      </c>
      <c r="I1215" s="9">
        <v>1</v>
      </c>
      <c r="J1215" s="9">
        <v>1</v>
      </c>
      <c r="K1215" s="9">
        <v>0</v>
      </c>
      <c r="L1215" s="9">
        <v>1</v>
      </c>
      <c r="M1215" s="9">
        <v>1</v>
      </c>
      <c r="N1215" s="9">
        <v>1</v>
      </c>
      <c r="O1215" s="9">
        <v>1</v>
      </c>
      <c r="P1215" s="9">
        <v>1</v>
      </c>
      <c r="Q1215" s="9">
        <v>0</v>
      </c>
      <c r="R1215" s="9">
        <v>0</v>
      </c>
      <c r="S1215" s="9">
        <v>0</v>
      </c>
      <c r="T1215" s="9">
        <v>3</v>
      </c>
      <c r="U1215" s="9">
        <v>0</v>
      </c>
      <c r="V1215" s="9">
        <v>0</v>
      </c>
      <c r="W1215" s="9">
        <v>0</v>
      </c>
      <c r="X1215" s="9">
        <v>1</v>
      </c>
      <c r="Y1215" s="9">
        <v>1</v>
      </c>
      <c r="Z1215" s="9">
        <v>1</v>
      </c>
      <c r="AA1215" s="9">
        <v>1</v>
      </c>
      <c r="AB1215" s="9">
        <v>0</v>
      </c>
      <c r="AC1215" s="9">
        <v>0</v>
      </c>
      <c r="AD1215" s="53" t="e">
        <f>#REF!*D1215</f>
        <v>#REF!</v>
      </c>
      <c r="AE1215" s="53" t="e">
        <f>AD1215-#REF!</f>
        <v>#REF!</v>
      </c>
      <c r="AF1215" s="9"/>
      <c r="AG1215" s="33" t="e">
        <f>#REF!-D1215</f>
        <v>#REF!</v>
      </c>
      <c r="AH1215" s="9"/>
      <c r="AI1215" s="9"/>
      <c r="AJ1215" s="9"/>
      <c r="AK1215" s="9"/>
    </row>
    <row r="1216" spans="1:37" s="16" customFormat="1" ht="20.399999999999999" outlineLevel="1" x14ac:dyDescent="0.2">
      <c r="A1216" s="62" t="s">
        <v>1443</v>
      </c>
      <c r="B1216" s="14" t="s">
        <v>332</v>
      </c>
      <c r="C1216" s="9" t="s">
        <v>47</v>
      </c>
      <c r="D1216" s="25">
        <f t="shared" si="307"/>
        <v>7</v>
      </c>
      <c r="E1216" s="54"/>
      <c r="F1216" s="9"/>
      <c r="G1216" s="9">
        <v>0</v>
      </c>
      <c r="H1216" s="9">
        <v>1</v>
      </c>
      <c r="I1216" s="9">
        <v>1</v>
      </c>
      <c r="J1216" s="9">
        <v>1</v>
      </c>
      <c r="K1216" s="9">
        <v>0</v>
      </c>
      <c r="L1216" s="9">
        <v>1</v>
      </c>
      <c r="M1216" s="9">
        <v>1</v>
      </c>
      <c r="N1216" s="9">
        <v>1</v>
      </c>
      <c r="O1216" s="9">
        <v>0</v>
      </c>
      <c r="P1216" s="9">
        <v>1</v>
      </c>
      <c r="Q1216" s="9">
        <v>0</v>
      </c>
      <c r="R1216" s="9">
        <v>0</v>
      </c>
      <c r="S1216" s="9">
        <v>0</v>
      </c>
      <c r="T1216" s="9">
        <v>0</v>
      </c>
      <c r="U1216" s="9">
        <v>0</v>
      </c>
      <c r="V1216" s="9">
        <v>0</v>
      </c>
      <c r="W1216" s="9">
        <v>0</v>
      </c>
      <c r="X1216" s="9">
        <v>0</v>
      </c>
      <c r="Y1216" s="9">
        <v>0</v>
      </c>
      <c r="Z1216" s="9">
        <v>0</v>
      </c>
      <c r="AA1216" s="9">
        <v>0</v>
      </c>
      <c r="AB1216" s="9">
        <v>0</v>
      </c>
      <c r="AC1216" s="9">
        <v>0</v>
      </c>
      <c r="AD1216" s="53" t="e">
        <f>#REF!*D1216</f>
        <v>#REF!</v>
      </c>
      <c r="AE1216" s="53" t="e">
        <f>AD1216-#REF!</f>
        <v>#REF!</v>
      </c>
      <c r="AF1216" s="9"/>
      <c r="AG1216" s="33" t="e">
        <f>#REF!-D1216</f>
        <v>#REF!</v>
      </c>
      <c r="AH1216" s="9"/>
      <c r="AI1216" s="9"/>
      <c r="AJ1216" s="9"/>
      <c r="AK1216" s="9"/>
    </row>
    <row r="1217" spans="1:37" s="16" customFormat="1" ht="20.399999999999999" outlineLevel="1" x14ac:dyDescent="0.2">
      <c r="A1217" s="62" t="s">
        <v>1444</v>
      </c>
      <c r="B1217" s="14" t="s">
        <v>1457</v>
      </c>
      <c r="C1217" s="9" t="s">
        <v>47</v>
      </c>
      <c r="D1217" s="25">
        <f t="shared" si="307"/>
        <v>2</v>
      </c>
      <c r="E1217" s="54"/>
      <c r="F1217" s="9"/>
      <c r="G1217" s="9">
        <v>0</v>
      </c>
      <c r="H1217" s="9">
        <v>0</v>
      </c>
      <c r="I1217" s="9">
        <v>0</v>
      </c>
      <c r="J1217" s="9">
        <v>0</v>
      </c>
      <c r="K1217" s="9">
        <v>0</v>
      </c>
      <c r="L1217" s="9">
        <v>0</v>
      </c>
      <c r="M1217" s="9">
        <v>0</v>
      </c>
      <c r="N1217" s="9">
        <v>0</v>
      </c>
      <c r="O1217" s="9">
        <v>0</v>
      </c>
      <c r="P1217" s="9">
        <v>0</v>
      </c>
      <c r="Q1217" s="9">
        <v>0</v>
      </c>
      <c r="R1217" s="9">
        <v>1</v>
      </c>
      <c r="S1217" s="9">
        <v>0</v>
      </c>
      <c r="T1217" s="9">
        <v>1</v>
      </c>
      <c r="U1217" s="9">
        <v>0</v>
      </c>
      <c r="V1217" s="9">
        <v>0</v>
      </c>
      <c r="W1217" s="9">
        <v>0</v>
      </c>
      <c r="X1217" s="9">
        <v>0</v>
      </c>
      <c r="Y1217" s="9">
        <v>0</v>
      </c>
      <c r="Z1217" s="9">
        <v>0</v>
      </c>
      <c r="AA1217" s="9">
        <v>0</v>
      </c>
      <c r="AB1217" s="9">
        <v>0</v>
      </c>
      <c r="AC1217" s="9">
        <v>0</v>
      </c>
      <c r="AD1217" s="53" t="e">
        <f>#REF!*D1217</f>
        <v>#REF!</v>
      </c>
      <c r="AE1217" s="53" t="e">
        <f>AD1217-#REF!</f>
        <v>#REF!</v>
      </c>
      <c r="AF1217" s="9"/>
      <c r="AG1217" s="33" t="e">
        <f>#REF!-D1217</f>
        <v>#REF!</v>
      </c>
      <c r="AH1217" s="9"/>
      <c r="AI1217" s="9"/>
      <c r="AJ1217" s="9"/>
      <c r="AK1217" s="9"/>
    </row>
    <row r="1218" spans="1:37" s="16" customFormat="1" ht="20.399999999999999" outlineLevel="1" x14ac:dyDescent="0.2">
      <c r="A1218" s="62" t="s">
        <v>1445</v>
      </c>
      <c r="B1218" s="14" t="s">
        <v>1538</v>
      </c>
      <c r="C1218" s="9" t="s">
        <v>47</v>
      </c>
      <c r="D1218" s="25">
        <f t="shared" si="307"/>
        <v>3</v>
      </c>
      <c r="E1218" s="54"/>
      <c r="F1218" s="9"/>
      <c r="G1218" s="9">
        <v>0</v>
      </c>
      <c r="H1218" s="9">
        <v>0</v>
      </c>
      <c r="I1218" s="9">
        <v>0</v>
      </c>
      <c r="J1218" s="9">
        <v>0</v>
      </c>
      <c r="K1218" s="9">
        <v>1</v>
      </c>
      <c r="L1218" s="9">
        <v>0</v>
      </c>
      <c r="M1218" s="9">
        <v>0</v>
      </c>
      <c r="N1218" s="9">
        <v>0</v>
      </c>
      <c r="O1218" s="9">
        <v>0</v>
      </c>
      <c r="P1218" s="9">
        <v>0</v>
      </c>
      <c r="Q1218" s="9">
        <v>0</v>
      </c>
      <c r="R1218" s="9">
        <v>0</v>
      </c>
      <c r="S1218" s="9">
        <v>0</v>
      </c>
      <c r="T1218" s="9">
        <v>1</v>
      </c>
      <c r="U1218" s="9">
        <v>0</v>
      </c>
      <c r="V1218" s="9">
        <v>0</v>
      </c>
      <c r="W1218" s="9">
        <v>0</v>
      </c>
      <c r="X1218" s="9">
        <v>1</v>
      </c>
      <c r="Y1218" s="9">
        <v>0</v>
      </c>
      <c r="Z1218" s="9">
        <v>0</v>
      </c>
      <c r="AA1218" s="9">
        <v>0</v>
      </c>
      <c r="AB1218" s="9">
        <v>0</v>
      </c>
      <c r="AC1218" s="9">
        <v>0</v>
      </c>
      <c r="AD1218" s="53" t="e">
        <f>#REF!*D1218</f>
        <v>#REF!</v>
      </c>
      <c r="AE1218" s="53" t="e">
        <f>AD1218-#REF!</f>
        <v>#REF!</v>
      </c>
      <c r="AF1218" s="9"/>
      <c r="AG1218" s="33" t="e">
        <f>#REF!-D1218</f>
        <v>#REF!</v>
      </c>
      <c r="AH1218" s="9"/>
      <c r="AI1218" s="9"/>
      <c r="AJ1218" s="9"/>
      <c r="AK1218" s="9"/>
    </row>
    <row r="1219" spans="1:37" s="16" customFormat="1" ht="20.399999999999999" outlineLevel="1" x14ac:dyDescent="0.2">
      <c r="A1219" s="62" t="s">
        <v>1446</v>
      </c>
      <c r="B1219" s="14" t="s">
        <v>196</v>
      </c>
      <c r="C1219" s="9" t="s">
        <v>47</v>
      </c>
      <c r="D1219" s="25">
        <f t="shared" si="307"/>
        <v>18</v>
      </c>
      <c r="E1219" s="54"/>
      <c r="F1219" s="9"/>
      <c r="G1219" s="9">
        <v>0</v>
      </c>
      <c r="H1219" s="9">
        <v>1</v>
      </c>
      <c r="I1219" s="9">
        <v>1</v>
      </c>
      <c r="J1219" s="9">
        <v>5</v>
      </c>
      <c r="K1219" s="9">
        <v>0</v>
      </c>
      <c r="L1219" s="9">
        <v>1</v>
      </c>
      <c r="M1219" s="9">
        <v>2</v>
      </c>
      <c r="N1219" s="9">
        <v>1</v>
      </c>
      <c r="O1219" s="9">
        <v>0</v>
      </c>
      <c r="P1219" s="9">
        <v>0</v>
      </c>
      <c r="Q1219" s="9">
        <v>0</v>
      </c>
      <c r="R1219" s="9">
        <v>0</v>
      </c>
      <c r="S1219" s="9">
        <v>0</v>
      </c>
      <c r="T1219" s="9">
        <v>0</v>
      </c>
      <c r="U1219" s="9">
        <v>0</v>
      </c>
      <c r="V1219" s="9">
        <v>1</v>
      </c>
      <c r="W1219" s="9">
        <v>2</v>
      </c>
      <c r="X1219" s="9">
        <v>2</v>
      </c>
      <c r="Y1219" s="9">
        <v>0</v>
      </c>
      <c r="Z1219" s="9">
        <v>0</v>
      </c>
      <c r="AA1219" s="9">
        <v>0</v>
      </c>
      <c r="AB1219" s="9">
        <v>2</v>
      </c>
      <c r="AC1219" s="9">
        <v>0</v>
      </c>
      <c r="AD1219" s="53" t="e">
        <f>#REF!*D1219</f>
        <v>#REF!</v>
      </c>
      <c r="AE1219" s="53" t="e">
        <f>AD1219-#REF!</f>
        <v>#REF!</v>
      </c>
      <c r="AF1219" s="9"/>
      <c r="AG1219" s="33" t="e">
        <f>#REF!-D1219</f>
        <v>#REF!</v>
      </c>
      <c r="AH1219" s="9"/>
      <c r="AI1219" s="9"/>
      <c r="AJ1219" s="9"/>
      <c r="AK1219" s="9"/>
    </row>
    <row r="1220" spans="1:37" s="16" customFormat="1" ht="20.399999999999999" outlineLevel="1" x14ac:dyDescent="0.2">
      <c r="A1220" s="62" t="s">
        <v>1501</v>
      </c>
      <c r="B1220" s="14" t="s">
        <v>1458</v>
      </c>
      <c r="C1220" s="9" t="s">
        <v>47</v>
      </c>
      <c r="D1220" s="25">
        <f t="shared" si="307"/>
        <v>4</v>
      </c>
      <c r="E1220" s="54"/>
      <c r="F1220" s="9"/>
      <c r="G1220" s="9">
        <v>0</v>
      </c>
      <c r="H1220" s="9">
        <v>1</v>
      </c>
      <c r="I1220" s="9">
        <v>1</v>
      </c>
      <c r="J1220" s="9">
        <v>0</v>
      </c>
      <c r="K1220" s="9">
        <v>0</v>
      </c>
      <c r="L1220" s="9">
        <v>0</v>
      </c>
      <c r="M1220" s="9">
        <v>0</v>
      </c>
      <c r="N1220" s="9">
        <v>0</v>
      </c>
      <c r="O1220" s="9">
        <v>1</v>
      </c>
      <c r="P1220" s="9">
        <v>0</v>
      </c>
      <c r="Q1220" s="9">
        <v>0</v>
      </c>
      <c r="R1220" s="9">
        <v>1</v>
      </c>
      <c r="S1220" s="9">
        <v>0</v>
      </c>
      <c r="T1220" s="9">
        <v>0</v>
      </c>
      <c r="U1220" s="9">
        <v>0</v>
      </c>
      <c r="V1220" s="9">
        <v>0</v>
      </c>
      <c r="W1220" s="9">
        <v>0</v>
      </c>
      <c r="X1220" s="9">
        <v>0</v>
      </c>
      <c r="Y1220" s="9">
        <v>0</v>
      </c>
      <c r="Z1220" s="9">
        <v>0</v>
      </c>
      <c r="AA1220" s="9">
        <v>0</v>
      </c>
      <c r="AB1220" s="9">
        <v>0</v>
      </c>
      <c r="AC1220" s="9">
        <v>0</v>
      </c>
      <c r="AD1220" s="53" t="e">
        <f>#REF!*D1220</f>
        <v>#REF!</v>
      </c>
      <c r="AE1220" s="53" t="e">
        <f>AD1220-#REF!</f>
        <v>#REF!</v>
      </c>
      <c r="AF1220" s="9"/>
      <c r="AG1220" s="33" t="e">
        <f>#REF!-D1220</f>
        <v>#REF!</v>
      </c>
      <c r="AH1220" s="9"/>
      <c r="AI1220" s="9"/>
      <c r="AJ1220" s="9"/>
      <c r="AK1220" s="9"/>
    </row>
    <row r="1221" spans="1:37" s="16" customFormat="1" ht="20.399999999999999" outlineLevel="1" x14ac:dyDescent="0.2">
      <c r="A1221" s="62" t="s">
        <v>1502</v>
      </c>
      <c r="B1221" s="14" t="s">
        <v>194</v>
      </c>
      <c r="C1221" s="9" t="s">
        <v>47</v>
      </c>
      <c r="D1221" s="25">
        <f t="shared" si="307"/>
        <v>2</v>
      </c>
      <c r="E1221" s="54"/>
      <c r="F1221" s="9"/>
      <c r="G1221" s="9">
        <v>0</v>
      </c>
      <c r="H1221" s="9">
        <v>1</v>
      </c>
      <c r="I1221" s="9">
        <v>0</v>
      </c>
      <c r="J1221" s="9">
        <v>0</v>
      </c>
      <c r="K1221" s="9">
        <v>0</v>
      </c>
      <c r="L1221" s="9">
        <v>0</v>
      </c>
      <c r="M1221" s="9">
        <v>0</v>
      </c>
      <c r="N1221" s="9">
        <v>0</v>
      </c>
      <c r="O1221" s="9">
        <v>1</v>
      </c>
      <c r="P1221" s="9">
        <v>0</v>
      </c>
      <c r="Q1221" s="9">
        <v>0</v>
      </c>
      <c r="R1221" s="9">
        <v>0</v>
      </c>
      <c r="S1221" s="9">
        <v>0</v>
      </c>
      <c r="T1221" s="9">
        <v>0</v>
      </c>
      <c r="U1221" s="9">
        <v>0</v>
      </c>
      <c r="V1221" s="9">
        <v>0</v>
      </c>
      <c r="W1221" s="9">
        <v>0</v>
      </c>
      <c r="X1221" s="9">
        <v>0</v>
      </c>
      <c r="Y1221" s="9">
        <v>0</v>
      </c>
      <c r="Z1221" s="9">
        <v>0</v>
      </c>
      <c r="AA1221" s="9">
        <v>0</v>
      </c>
      <c r="AB1221" s="9">
        <v>0</v>
      </c>
      <c r="AC1221" s="9">
        <v>0</v>
      </c>
      <c r="AD1221" s="53" t="e">
        <f>#REF!*D1221</f>
        <v>#REF!</v>
      </c>
      <c r="AE1221" s="53" t="e">
        <f>AD1221-#REF!</f>
        <v>#REF!</v>
      </c>
      <c r="AF1221" s="9"/>
      <c r="AG1221" s="33" t="e">
        <f>#REF!-D1221</f>
        <v>#REF!</v>
      </c>
      <c r="AH1221" s="9"/>
      <c r="AI1221" s="9"/>
      <c r="AJ1221" s="9"/>
      <c r="AK1221" s="9"/>
    </row>
    <row r="1222" spans="1:37" s="16" customFormat="1" ht="20.399999999999999" outlineLevel="1" x14ac:dyDescent="0.2">
      <c r="A1222" s="62" t="s">
        <v>1503</v>
      </c>
      <c r="B1222" s="14" t="s">
        <v>1459</v>
      </c>
      <c r="C1222" s="9" t="s">
        <v>47</v>
      </c>
      <c r="D1222" s="25">
        <f t="shared" si="307"/>
        <v>2</v>
      </c>
      <c r="E1222" s="54"/>
      <c r="F1222" s="9"/>
      <c r="G1222" s="9">
        <v>0</v>
      </c>
      <c r="H1222" s="9">
        <v>0</v>
      </c>
      <c r="I1222" s="9">
        <v>2</v>
      </c>
      <c r="J1222" s="9">
        <v>0</v>
      </c>
      <c r="K1222" s="9">
        <v>0</v>
      </c>
      <c r="L1222" s="9">
        <v>0</v>
      </c>
      <c r="M1222" s="9">
        <v>0</v>
      </c>
      <c r="N1222" s="9">
        <v>0</v>
      </c>
      <c r="O1222" s="9">
        <v>0</v>
      </c>
      <c r="P1222" s="9">
        <v>0</v>
      </c>
      <c r="Q1222" s="9">
        <v>0</v>
      </c>
      <c r="R1222" s="9">
        <v>0</v>
      </c>
      <c r="S1222" s="9">
        <v>0</v>
      </c>
      <c r="T1222" s="9">
        <v>0</v>
      </c>
      <c r="U1222" s="9">
        <v>0</v>
      </c>
      <c r="V1222" s="9">
        <v>0</v>
      </c>
      <c r="W1222" s="9">
        <v>0</v>
      </c>
      <c r="X1222" s="9">
        <v>0</v>
      </c>
      <c r="Y1222" s="9">
        <v>0</v>
      </c>
      <c r="Z1222" s="9">
        <v>0</v>
      </c>
      <c r="AA1222" s="9">
        <v>0</v>
      </c>
      <c r="AB1222" s="9">
        <v>0</v>
      </c>
      <c r="AC1222" s="9">
        <v>0</v>
      </c>
      <c r="AD1222" s="53" t="e">
        <f>#REF!*D1222</f>
        <v>#REF!</v>
      </c>
      <c r="AE1222" s="53" t="e">
        <f>AD1222-#REF!</f>
        <v>#REF!</v>
      </c>
      <c r="AF1222" s="9"/>
      <c r="AG1222" s="33" t="e">
        <f>#REF!-D1222</f>
        <v>#REF!</v>
      </c>
      <c r="AH1222" s="9"/>
      <c r="AI1222" s="9"/>
      <c r="AJ1222" s="9"/>
      <c r="AK1222" s="9"/>
    </row>
    <row r="1223" spans="1:37" s="16" customFormat="1" ht="20.399999999999999" outlineLevel="1" x14ac:dyDescent="0.2">
      <c r="A1223" s="62" t="s">
        <v>1504</v>
      </c>
      <c r="B1223" s="14" t="s">
        <v>1460</v>
      </c>
      <c r="C1223" s="9" t="s">
        <v>47</v>
      </c>
      <c r="D1223" s="25">
        <f t="shared" si="307"/>
        <v>3</v>
      </c>
      <c r="E1223" s="54"/>
      <c r="F1223" s="9"/>
      <c r="G1223" s="9">
        <v>0</v>
      </c>
      <c r="H1223" s="9">
        <v>1</v>
      </c>
      <c r="I1223" s="9">
        <v>0</v>
      </c>
      <c r="J1223" s="9">
        <v>0</v>
      </c>
      <c r="K1223" s="9">
        <v>1</v>
      </c>
      <c r="L1223" s="9">
        <v>1</v>
      </c>
      <c r="M1223" s="9">
        <v>0</v>
      </c>
      <c r="N1223" s="9">
        <v>0</v>
      </c>
      <c r="O1223" s="9">
        <v>0</v>
      </c>
      <c r="P1223" s="9">
        <v>0</v>
      </c>
      <c r="Q1223" s="9">
        <v>0</v>
      </c>
      <c r="R1223" s="9">
        <v>0</v>
      </c>
      <c r="S1223" s="9">
        <v>0</v>
      </c>
      <c r="T1223" s="9">
        <v>0</v>
      </c>
      <c r="U1223" s="9">
        <v>0</v>
      </c>
      <c r="V1223" s="9">
        <v>0</v>
      </c>
      <c r="W1223" s="9">
        <v>0</v>
      </c>
      <c r="X1223" s="9">
        <v>0</v>
      </c>
      <c r="Y1223" s="9">
        <v>0</v>
      </c>
      <c r="Z1223" s="9">
        <v>0</v>
      </c>
      <c r="AA1223" s="9">
        <v>0</v>
      </c>
      <c r="AB1223" s="9">
        <v>0</v>
      </c>
      <c r="AC1223" s="9">
        <v>0</v>
      </c>
      <c r="AD1223" s="53" t="e">
        <f>#REF!*D1223</f>
        <v>#REF!</v>
      </c>
      <c r="AE1223" s="53" t="e">
        <f>AD1223-#REF!</f>
        <v>#REF!</v>
      </c>
      <c r="AF1223" s="9"/>
      <c r="AG1223" s="33" t="e">
        <f>#REF!-D1223</f>
        <v>#REF!</v>
      </c>
      <c r="AH1223" s="9"/>
      <c r="AI1223" s="9"/>
      <c r="AJ1223" s="9"/>
      <c r="AK1223" s="9"/>
    </row>
    <row r="1224" spans="1:37" s="16" customFormat="1" ht="20.399999999999999" outlineLevel="1" x14ac:dyDescent="0.2">
      <c r="A1224" s="62" t="s">
        <v>1505</v>
      </c>
      <c r="B1224" s="14" t="s">
        <v>333</v>
      </c>
      <c r="C1224" s="9" t="s">
        <v>47</v>
      </c>
      <c r="D1224" s="25">
        <f t="shared" si="307"/>
        <v>6</v>
      </c>
      <c r="E1224" s="54"/>
      <c r="F1224" s="9"/>
      <c r="G1224" s="9">
        <v>0</v>
      </c>
      <c r="H1224" s="9">
        <v>1</v>
      </c>
      <c r="I1224" s="9">
        <v>1</v>
      </c>
      <c r="J1224" s="9">
        <v>1</v>
      </c>
      <c r="K1224" s="9">
        <v>0</v>
      </c>
      <c r="L1224" s="9">
        <v>0</v>
      </c>
      <c r="M1224" s="9">
        <v>0</v>
      </c>
      <c r="N1224" s="9">
        <v>0</v>
      </c>
      <c r="O1224" s="9">
        <v>2</v>
      </c>
      <c r="P1224" s="9">
        <v>0</v>
      </c>
      <c r="Q1224" s="9">
        <v>0</v>
      </c>
      <c r="R1224" s="9">
        <v>1</v>
      </c>
      <c r="S1224" s="9">
        <v>0</v>
      </c>
      <c r="T1224" s="9">
        <v>0</v>
      </c>
      <c r="U1224" s="9">
        <v>0</v>
      </c>
      <c r="V1224" s="9">
        <v>0</v>
      </c>
      <c r="W1224" s="9">
        <v>0</v>
      </c>
      <c r="X1224" s="9">
        <v>0</v>
      </c>
      <c r="Y1224" s="9">
        <v>0</v>
      </c>
      <c r="Z1224" s="9">
        <v>0</v>
      </c>
      <c r="AA1224" s="9">
        <v>0</v>
      </c>
      <c r="AB1224" s="9">
        <v>0</v>
      </c>
      <c r="AC1224" s="9">
        <v>0</v>
      </c>
      <c r="AD1224" s="53" t="e">
        <f>#REF!*D1224</f>
        <v>#REF!</v>
      </c>
      <c r="AE1224" s="53" t="e">
        <f>AD1224-#REF!</f>
        <v>#REF!</v>
      </c>
      <c r="AF1224" s="9"/>
      <c r="AG1224" s="33" t="e">
        <f>#REF!-D1224</f>
        <v>#REF!</v>
      </c>
      <c r="AH1224" s="9"/>
      <c r="AI1224" s="9"/>
      <c r="AJ1224" s="9"/>
      <c r="AK1224" s="9"/>
    </row>
    <row r="1225" spans="1:37" s="16" customFormat="1" ht="20.399999999999999" outlineLevel="1" x14ac:dyDescent="0.2">
      <c r="A1225" s="62" t="s">
        <v>1506</v>
      </c>
      <c r="B1225" s="14" t="s">
        <v>101</v>
      </c>
      <c r="C1225" s="9" t="s">
        <v>47</v>
      </c>
      <c r="D1225" s="25">
        <f t="shared" si="307"/>
        <v>144</v>
      </c>
      <c r="E1225" s="54"/>
      <c r="F1225" s="9"/>
      <c r="G1225" s="9">
        <v>0</v>
      </c>
      <c r="H1225" s="9">
        <v>26</v>
      </c>
      <c r="I1225" s="9">
        <v>16</v>
      </c>
      <c r="J1225" s="9">
        <v>10</v>
      </c>
      <c r="K1225" s="9">
        <v>3</v>
      </c>
      <c r="L1225" s="9">
        <v>10</v>
      </c>
      <c r="M1225" s="9">
        <v>12</v>
      </c>
      <c r="N1225" s="9">
        <v>12</v>
      </c>
      <c r="O1225" s="9">
        <v>22</v>
      </c>
      <c r="P1225" s="9">
        <v>14</v>
      </c>
      <c r="Q1225" s="9">
        <v>0</v>
      </c>
      <c r="R1225" s="9">
        <v>8</v>
      </c>
      <c r="S1225" s="9">
        <v>0</v>
      </c>
      <c r="T1225" s="9">
        <v>0</v>
      </c>
      <c r="U1225" s="9">
        <v>0</v>
      </c>
      <c r="V1225" s="9">
        <v>0</v>
      </c>
      <c r="W1225" s="9">
        <v>4</v>
      </c>
      <c r="X1225" s="9">
        <v>3</v>
      </c>
      <c r="Y1225" s="9">
        <v>4</v>
      </c>
      <c r="Z1225" s="9">
        <v>0</v>
      </c>
      <c r="AA1225" s="9">
        <v>0</v>
      </c>
      <c r="AB1225" s="9">
        <v>0</v>
      </c>
      <c r="AC1225" s="9">
        <v>0</v>
      </c>
      <c r="AD1225" s="53" t="e">
        <f>#REF!*D1225</f>
        <v>#REF!</v>
      </c>
      <c r="AE1225" s="53" t="e">
        <f>AD1225-#REF!</f>
        <v>#REF!</v>
      </c>
      <c r="AF1225" s="9"/>
      <c r="AG1225" s="33" t="e">
        <f>#REF!-D1225</f>
        <v>#REF!</v>
      </c>
    </row>
    <row r="1226" spans="1:37" s="16" customFormat="1" ht="20.399999999999999" outlineLevel="1" x14ac:dyDescent="0.2">
      <c r="A1226" s="62" t="s">
        <v>1507</v>
      </c>
      <c r="B1226" s="14" t="s">
        <v>162</v>
      </c>
      <c r="C1226" s="9" t="s">
        <v>47</v>
      </c>
      <c r="D1226" s="25">
        <f t="shared" si="307"/>
        <v>12</v>
      </c>
      <c r="E1226" s="54"/>
      <c r="F1226" s="9"/>
      <c r="G1226" s="9">
        <v>0</v>
      </c>
      <c r="H1226" s="9">
        <v>4</v>
      </c>
      <c r="I1226" s="9">
        <v>0</v>
      </c>
      <c r="J1226" s="9">
        <v>0</v>
      </c>
      <c r="K1226" s="9">
        <v>0</v>
      </c>
      <c r="L1226" s="9">
        <v>0</v>
      </c>
      <c r="M1226" s="9">
        <v>0</v>
      </c>
      <c r="N1226" s="9">
        <v>0</v>
      </c>
      <c r="O1226" s="9">
        <v>0</v>
      </c>
      <c r="P1226" s="9">
        <v>0</v>
      </c>
      <c r="Q1226" s="9">
        <v>0</v>
      </c>
      <c r="R1226" s="9">
        <v>0</v>
      </c>
      <c r="S1226" s="9">
        <v>0</v>
      </c>
      <c r="T1226" s="9">
        <v>0</v>
      </c>
      <c r="U1226" s="9">
        <v>0</v>
      </c>
      <c r="V1226" s="9">
        <v>0</v>
      </c>
      <c r="W1226" s="9">
        <v>0</v>
      </c>
      <c r="X1226" s="9">
        <v>0</v>
      </c>
      <c r="Y1226" s="9">
        <v>0</v>
      </c>
      <c r="Z1226" s="9">
        <v>0</v>
      </c>
      <c r="AA1226" s="9">
        <v>0</v>
      </c>
      <c r="AB1226" s="9">
        <v>8</v>
      </c>
      <c r="AC1226" s="9">
        <v>0</v>
      </c>
      <c r="AD1226" s="53" t="e">
        <f>#REF!*D1226</f>
        <v>#REF!</v>
      </c>
      <c r="AE1226" s="53" t="e">
        <f>AD1226-#REF!</f>
        <v>#REF!</v>
      </c>
      <c r="AF1226" s="9"/>
      <c r="AG1226" s="33" t="e">
        <f>#REF!-D1226</f>
        <v>#REF!</v>
      </c>
    </row>
    <row r="1227" spans="1:37" s="16" customFormat="1" ht="20.399999999999999" outlineLevel="1" x14ac:dyDescent="0.2">
      <c r="A1227" s="62" t="s">
        <v>1508</v>
      </c>
      <c r="B1227" s="14" t="s">
        <v>157</v>
      </c>
      <c r="C1227" s="9" t="s">
        <v>47</v>
      </c>
      <c r="D1227" s="25">
        <f t="shared" si="307"/>
        <v>20</v>
      </c>
      <c r="E1227" s="54"/>
      <c r="F1227" s="9"/>
      <c r="G1227" s="9">
        <v>0</v>
      </c>
      <c r="H1227" s="9">
        <v>2</v>
      </c>
      <c r="I1227" s="9">
        <v>0</v>
      </c>
      <c r="J1227" s="9">
        <v>0</v>
      </c>
      <c r="K1227" s="9">
        <v>0</v>
      </c>
      <c r="L1227" s="9">
        <v>0</v>
      </c>
      <c r="M1227" s="9">
        <v>0</v>
      </c>
      <c r="N1227" s="9">
        <v>0</v>
      </c>
      <c r="O1227" s="9">
        <v>0</v>
      </c>
      <c r="P1227" s="9">
        <v>0</v>
      </c>
      <c r="Q1227" s="9">
        <v>0</v>
      </c>
      <c r="R1227" s="9">
        <v>0</v>
      </c>
      <c r="S1227" s="9">
        <v>0</v>
      </c>
      <c r="T1227" s="9">
        <v>0</v>
      </c>
      <c r="U1227" s="9">
        <v>4</v>
      </c>
      <c r="V1227" s="9">
        <v>2</v>
      </c>
      <c r="W1227" s="9">
        <v>2</v>
      </c>
      <c r="X1227" s="9">
        <v>0</v>
      </c>
      <c r="Y1227" s="9">
        <v>0</v>
      </c>
      <c r="Z1227" s="9">
        <v>0</v>
      </c>
      <c r="AA1227" s="9">
        <v>0</v>
      </c>
      <c r="AB1227" s="9">
        <v>10</v>
      </c>
      <c r="AC1227" s="9">
        <v>0</v>
      </c>
      <c r="AD1227" s="53" t="e">
        <f>#REF!*D1227</f>
        <v>#REF!</v>
      </c>
      <c r="AE1227" s="53" t="e">
        <f>AD1227-#REF!</f>
        <v>#REF!</v>
      </c>
      <c r="AF1227" s="9"/>
      <c r="AG1227" s="33" t="e">
        <f>#REF!-D1227</f>
        <v>#REF!</v>
      </c>
    </row>
    <row r="1228" spans="1:37" s="16" customFormat="1" ht="20.399999999999999" outlineLevel="1" x14ac:dyDescent="0.2">
      <c r="A1228" s="62" t="s">
        <v>1509</v>
      </c>
      <c r="B1228" s="14" t="s">
        <v>188</v>
      </c>
      <c r="C1228" s="9" t="s">
        <v>47</v>
      </c>
      <c r="D1228" s="25">
        <f t="shared" si="307"/>
        <v>24</v>
      </c>
      <c r="E1228" s="54"/>
      <c r="F1228" s="9"/>
      <c r="G1228" s="9">
        <v>0</v>
      </c>
      <c r="H1228" s="9">
        <v>2</v>
      </c>
      <c r="I1228" s="9">
        <v>0</v>
      </c>
      <c r="J1228" s="9">
        <v>0</v>
      </c>
      <c r="K1228" s="9">
        <v>0</v>
      </c>
      <c r="L1228" s="9">
        <v>0</v>
      </c>
      <c r="M1228" s="9">
        <v>0</v>
      </c>
      <c r="N1228" s="9">
        <v>0</v>
      </c>
      <c r="O1228" s="9">
        <v>0</v>
      </c>
      <c r="P1228" s="9">
        <v>0</v>
      </c>
      <c r="Q1228" s="9">
        <v>0</v>
      </c>
      <c r="R1228" s="9">
        <v>0</v>
      </c>
      <c r="S1228" s="9">
        <v>0</v>
      </c>
      <c r="T1228" s="9">
        <v>18</v>
      </c>
      <c r="U1228" s="9">
        <v>0</v>
      </c>
      <c r="V1228" s="9">
        <v>2</v>
      </c>
      <c r="W1228" s="9">
        <v>2</v>
      </c>
      <c r="X1228" s="9">
        <v>0</v>
      </c>
      <c r="Y1228" s="9">
        <v>0</v>
      </c>
      <c r="Z1228" s="9">
        <v>0</v>
      </c>
      <c r="AA1228" s="9">
        <v>0</v>
      </c>
      <c r="AB1228" s="9">
        <v>0</v>
      </c>
      <c r="AC1228" s="9">
        <v>0</v>
      </c>
      <c r="AD1228" s="53" t="e">
        <f>#REF!*D1228</f>
        <v>#REF!</v>
      </c>
      <c r="AE1228" s="53" t="e">
        <f>AD1228-#REF!</f>
        <v>#REF!</v>
      </c>
      <c r="AF1228" s="9"/>
      <c r="AG1228" s="33" t="e">
        <f>#REF!-D1228</f>
        <v>#REF!</v>
      </c>
    </row>
    <row r="1229" spans="1:37" s="16" customFormat="1" ht="20.399999999999999" outlineLevel="1" x14ac:dyDescent="0.2">
      <c r="A1229" s="62" t="s">
        <v>1510</v>
      </c>
      <c r="B1229" s="14" t="s">
        <v>189</v>
      </c>
      <c r="C1229" s="9" t="s">
        <v>47</v>
      </c>
      <c r="D1229" s="25">
        <f t="shared" si="307"/>
        <v>20</v>
      </c>
      <c r="E1229" s="54"/>
      <c r="F1229" s="9"/>
      <c r="G1229" s="9">
        <v>4</v>
      </c>
      <c r="H1229" s="9">
        <v>0</v>
      </c>
      <c r="I1229" s="9">
        <v>2</v>
      </c>
      <c r="J1229" s="9">
        <v>0</v>
      </c>
      <c r="K1229" s="9">
        <v>0</v>
      </c>
      <c r="L1229" s="9">
        <v>0</v>
      </c>
      <c r="M1229" s="9">
        <v>0</v>
      </c>
      <c r="N1229" s="9">
        <v>0</v>
      </c>
      <c r="O1229" s="9">
        <v>0</v>
      </c>
      <c r="P1229" s="9">
        <v>0</v>
      </c>
      <c r="Q1229" s="9">
        <v>0</v>
      </c>
      <c r="R1229" s="9">
        <v>6</v>
      </c>
      <c r="S1229" s="9">
        <v>0</v>
      </c>
      <c r="T1229" s="9">
        <v>0</v>
      </c>
      <c r="U1229" s="9">
        <v>0</v>
      </c>
      <c r="V1229" s="9">
        <v>0</v>
      </c>
      <c r="W1229" s="9">
        <v>0</v>
      </c>
      <c r="X1229" s="9">
        <v>2</v>
      </c>
      <c r="Y1229" s="9">
        <v>2</v>
      </c>
      <c r="Z1229" s="9">
        <v>2</v>
      </c>
      <c r="AA1229" s="9">
        <v>2</v>
      </c>
      <c r="AB1229" s="9">
        <v>0</v>
      </c>
      <c r="AC1229" s="9">
        <v>0</v>
      </c>
      <c r="AD1229" s="53" t="e">
        <f>#REF!*D1229</f>
        <v>#REF!</v>
      </c>
      <c r="AE1229" s="53" t="e">
        <f>AD1229-#REF!</f>
        <v>#REF!</v>
      </c>
      <c r="AF1229" s="9"/>
      <c r="AG1229" s="33" t="e">
        <f>#REF!-D1229</f>
        <v>#REF!</v>
      </c>
    </row>
    <row r="1230" spans="1:37" s="16" customFormat="1" ht="20.399999999999999" outlineLevel="1" x14ac:dyDescent="0.2">
      <c r="A1230" s="62" t="s">
        <v>1511</v>
      </c>
      <c r="B1230" s="14" t="s">
        <v>1466</v>
      </c>
      <c r="C1230" s="9" t="s">
        <v>47</v>
      </c>
      <c r="D1230" s="25">
        <f t="shared" ref="D1230:D1264" si="308">SUM(G1230:AC1230)</f>
        <v>22</v>
      </c>
      <c r="E1230" s="54"/>
      <c r="F1230" s="9"/>
      <c r="G1230" s="9">
        <v>0</v>
      </c>
      <c r="H1230" s="9">
        <v>2</v>
      </c>
      <c r="I1230" s="9">
        <v>0</v>
      </c>
      <c r="J1230" s="9">
        <v>2</v>
      </c>
      <c r="K1230" s="9">
        <v>2</v>
      </c>
      <c r="L1230" s="9">
        <v>0</v>
      </c>
      <c r="M1230" s="9">
        <v>2</v>
      </c>
      <c r="N1230" s="9">
        <v>2</v>
      </c>
      <c r="O1230" s="9">
        <v>2</v>
      </c>
      <c r="P1230" s="9">
        <v>2</v>
      </c>
      <c r="Q1230" s="9">
        <v>0</v>
      </c>
      <c r="R1230" s="9">
        <v>6</v>
      </c>
      <c r="S1230" s="9">
        <v>0</v>
      </c>
      <c r="T1230" s="9">
        <v>0</v>
      </c>
      <c r="U1230" s="9">
        <v>0</v>
      </c>
      <c r="V1230" s="9">
        <v>0</v>
      </c>
      <c r="W1230" s="9">
        <v>2</v>
      </c>
      <c r="X1230" s="9">
        <v>0</v>
      </c>
      <c r="Y1230" s="9">
        <v>0</v>
      </c>
      <c r="Z1230" s="9">
        <v>0</v>
      </c>
      <c r="AA1230" s="9">
        <v>0</v>
      </c>
      <c r="AB1230" s="9">
        <v>0</v>
      </c>
      <c r="AC1230" s="9">
        <v>0</v>
      </c>
      <c r="AD1230" s="53" t="e">
        <f>#REF!*D1230</f>
        <v>#REF!</v>
      </c>
      <c r="AE1230" s="53" t="e">
        <f>AD1230-#REF!</f>
        <v>#REF!</v>
      </c>
      <c r="AF1230" s="9"/>
      <c r="AG1230" s="33" t="e">
        <f>#REF!-D1230</f>
        <v>#REF!</v>
      </c>
    </row>
    <row r="1231" spans="1:37" s="16" customFormat="1" ht="20.399999999999999" outlineLevel="1" x14ac:dyDescent="0.2">
      <c r="A1231" s="62" t="s">
        <v>1512</v>
      </c>
      <c r="B1231" s="14" t="s">
        <v>1467</v>
      </c>
      <c r="C1231" s="9" t="s">
        <v>47</v>
      </c>
      <c r="D1231" s="25">
        <f t="shared" si="308"/>
        <v>52</v>
      </c>
      <c r="E1231" s="54"/>
      <c r="F1231" s="9"/>
      <c r="G1231" s="9">
        <v>22</v>
      </c>
      <c r="H1231" s="9">
        <v>2</v>
      </c>
      <c r="I1231" s="9">
        <v>0</v>
      </c>
      <c r="J1231" s="9">
        <v>0</v>
      </c>
      <c r="K1231" s="9">
        <v>0</v>
      </c>
      <c r="L1231" s="9">
        <v>0</v>
      </c>
      <c r="M1231" s="9">
        <v>0</v>
      </c>
      <c r="N1231" s="9">
        <v>0</v>
      </c>
      <c r="O1231" s="9">
        <v>0</v>
      </c>
      <c r="P1231" s="9">
        <v>0</v>
      </c>
      <c r="Q1231" s="9">
        <v>0</v>
      </c>
      <c r="R1231" s="9">
        <v>6</v>
      </c>
      <c r="S1231" s="9">
        <v>0</v>
      </c>
      <c r="T1231" s="9">
        <v>18</v>
      </c>
      <c r="U1231" s="9">
        <v>0</v>
      </c>
      <c r="V1231" s="9">
        <v>0</v>
      </c>
      <c r="W1231" s="9">
        <v>0</v>
      </c>
      <c r="X1231" s="9">
        <v>0</v>
      </c>
      <c r="Y1231" s="9">
        <v>0</v>
      </c>
      <c r="Z1231" s="9">
        <v>0</v>
      </c>
      <c r="AA1231" s="9">
        <v>0</v>
      </c>
      <c r="AB1231" s="9">
        <v>4</v>
      </c>
      <c r="AC1231" s="9">
        <v>0</v>
      </c>
      <c r="AD1231" s="53" t="e">
        <f>#REF!*D1231</f>
        <v>#REF!</v>
      </c>
      <c r="AE1231" s="53" t="e">
        <f>AD1231-#REF!</f>
        <v>#REF!</v>
      </c>
      <c r="AF1231" s="9"/>
      <c r="AG1231" s="33" t="e">
        <f>#REF!-D1231</f>
        <v>#REF!</v>
      </c>
    </row>
    <row r="1232" spans="1:37" s="16" customFormat="1" ht="20.399999999999999" outlineLevel="1" x14ac:dyDescent="0.2">
      <c r="A1232" s="62" t="s">
        <v>1513</v>
      </c>
      <c r="B1232" s="14" t="s">
        <v>1468</v>
      </c>
      <c r="C1232" s="9" t="s">
        <v>47</v>
      </c>
      <c r="D1232" s="25">
        <f t="shared" si="308"/>
        <v>6</v>
      </c>
      <c r="E1232" s="54"/>
      <c r="F1232" s="9"/>
      <c r="G1232" s="9">
        <v>0</v>
      </c>
      <c r="H1232" s="9">
        <v>0</v>
      </c>
      <c r="I1232" s="9">
        <v>0</v>
      </c>
      <c r="J1232" s="9">
        <v>0</v>
      </c>
      <c r="K1232" s="9">
        <v>0</v>
      </c>
      <c r="L1232" s="9">
        <v>0</v>
      </c>
      <c r="M1232" s="9">
        <v>0</v>
      </c>
      <c r="N1232" s="9">
        <v>0</v>
      </c>
      <c r="O1232" s="9">
        <v>0</v>
      </c>
      <c r="P1232" s="9">
        <v>0</v>
      </c>
      <c r="Q1232" s="9">
        <v>0</v>
      </c>
      <c r="R1232" s="9">
        <v>6</v>
      </c>
      <c r="S1232" s="9">
        <v>0</v>
      </c>
      <c r="T1232" s="9">
        <v>0</v>
      </c>
      <c r="U1232" s="9">
        <v>0</v>
      </c>
      <c r="V1232" s="9">
        <v>0</v>
      </c>
      <c r="W1232" s="9">
        <v>0</v>
      </c>
      <c r="X1232" s="9">
        <v>0</v>
      </c>
      <c r="Y1232" s="9">
        <v>0</v>
      </c>
      <c r="Z1232" s="9">
        <v>0</v>
      </c>
      <c r="AA1232" s="9">
        <v>0</v>
      </c>
      <c r="AB1232" s="9">
        <v>0</v>
      </c>
      <c r="AC1232" s="9">
        <v>0</v>
      </c>
      <c r="AD1232" s="53" t="e">
        <f>#REF!*D1232</f>
        <v>#REF!</v>
      </c>
      <c r="AE1232" s="53" t="e">
        <f>AD1232-#REF!</f>
        <v>#REF!</v>
      </c>
      <c r="AF1232" s="9"/>
      <c r="AG1232" s="33" t="e">
        <f>#REF!-D1232</f>
        <v>#REF!</v>
      </c>
    </row>
    <row r="1233" spans="1:37" s="10" customFormat="1" ht="21" outlineLevel="1" x14ac:dyDescent="0.25">
      <c r="A1233" s="62" t="s">
        <v>1514</v>
      </c>
      <c r="B1233" s="14" t="s">
        <v>1469</v>
      </c>
      <c r="C1233" s="8" t="s">
        <v>47</v>
      </c>
      <c r="D1233" s="25">
        <f t="shared" si="308"/>
        <v>67</v>
      </c>
      <c r="E1233" s="54"/>
      <c r="F1233" s="9"/>
      <c r="G1233" s="9">
        <v>0</v>
      </c>
      <c r="H1233" s="9">
        <v>7</v>
      </c>
      <c r="I1233" s="9">
        <v>8</v>
      </c>
      <c r="J1233" s="9">
        <v>7</v>
      </c>
      <c r="K1233" s="9">
        <v>3</v>
      </c>
      <c r="L1233" s="9">
        <v>5</v>
      </c>
      <c r="M1233" s="9">
        <v>6</v>
      </c>
      <c r="N1233" s="9">
        <v>6</v>
      </c>
      <c r="O1233" s="9">
        <v>11</v>
      </c>
      <c r="P1233" s="9">
        <v>7</v>
      </c>
      <c r="Q1233" s="9">
        <v>0</v>
      </c>
      <c r="R1233" s="9">
        <v>1</v>
      </c>
      <c r="S1233" s="9">
        <v>0</v>
      </c>
      <c r="T1233" s="9">
        <v>0</v>
      </c>
      <c r="U1233" s="9">
        <v>4</v>
      </c>
      <c r="V1233" s="9">
        <v>0</v>
      </c>
      <c r="W1233" s="9">
        <v>0</v>
      </c>
      <c r="X1233" s="9">
        <v>0</v>
      </c>
      <c r="Y1233" s="9">
        <v>2</v>
      </c>
      <c r="Z1233" s="9">
        <v>0</v>
      </c>
      <c r="AA1233" s="9">
        <v>0</v>
      </c>
      <c r="AB1233" s="9">
        <v>0</v>
      </c>
      <c r="AC1233" s="9">
        <v>0</v>
      </c>
      <c r="AD1233" s="53" t="e">
        <f>#REF!*D1233</f>
        <v>#REF!</v>
      </c>
      <c r="AE1233" s="53" t="e">
        <f>AD1233-#REF!</f>
        <v>#REF!</v>
      </c>
      <c r="AF1233" s="8"/>
      <c r="AG1233" s="33" t="e">
        <f>#REF!-D1233</f>
        <v>#REF!</v>
      </c>
      <c r="AH1233" s="8"/>
      <c r="AI1233" s="8"/>
      <c r="AJ1233" s="8"/>
      <c r="AK1233" s="8"/>
    </row>
    <row r="1234" spans="1:37" s="10" customFormat="1" ht="21" outlineLevel="1" x14ac:dyDescent="0.25">
      <c r="A1234" s="62" t="s">
        <v>1515</v>
      </c>
      <c r="B1234" s="14" t="s">
        <v>191</v>
      </c>
      <c r="C1234" s="8" t="s">
        <v>47</v>
      </c>
      <c r="D1234" s="25">
        <f t="shared" si="308"/>
        <v>6</v>
      </c>
      <c r="E1234" s="54"/>
      <c r="F1234" s="9"/>
      <c r="G1234" s="9">
        <v>0</v>
      </c>
      <c r="H1234" s="9">
        <v>1</v>
      </c>
      <c r="I1234" s="9">
        <v>0</v>
      </c>
      <c r="J1234" s="9">
        <v>0</v>
      </c>
      <c r="K1234" s="9">
        <v>0</v>
      </c>
      <c r="L1234" s="9">
        <v>0</v>
      </c>
      <c r="M1234" s="9">
        <v>0</v>
      </c>
      <c r="N1234" s="9">
        <v>0</v>
      </c>
      <c r="O1234" s="9">
        <v>0</v>
      </c>
      <c r="P1234" s="9">
        <v>0</v>
      </c>
      <c r="Q1234" s="9">
        <v>0</v>
      </c>
      <c r="R1234" s="9">
        <v>0</v>
      </c>
      <c r="S1234" s="9">
        <v>0</v>
      </c>
      <c r="T1234" s="9">
        <v>0</v>
      </c>
      <c r="U1234" s="9">
        <v>1</v>
      </c>
      <c r="V1234" s="9">
        <v>0</v>
      </c>
      <c r="W1234" s="9">
        <v>0</v>
      </c>
      <c r="X1234" s="9">
        <v>0</v>
      </c>
      <c r="Y1234" s="9">
        <v>0</v>
      </c>
      <c r="Z1234" s="9">
        <v>0</v>
      </c>
      <c r="AA1234" s="9">
        <v>0</v>
      </c>
      <c r="AB1234" s="9">
        <v>4</v>
      </c>
      <c r="AC1234" s="9">
        <v>0</v>
      </c>
      <c r="AD1234" s="53" t="e">
        <f>#REF!*D1234</f>
        <v>#REF!</v>
      </c>
      <c r="AE1234" s="53" t="e">
        <f>AD1234-#REF!</f>
        <v>#REF!</v>
      </c>
      <c r="AF1234" s="8"/>
      <c r="AG1234" s="33" t="e">
        <f>#REF!-D1234</f>
        <v>#REF!</v>
      </c>
      <c r="AH1234" s="8"/>
      <c r="AI1234" s="8"/>
      <c r="AJ1234" s="8"/>
      <c r="AK1234" s="8"/>
    </row>
    <row r="1235" spans="1:37" s="10" customFormat="1" ht="21" outlineLevel="1" x14ac:dyDescent="0.25">
      <c r="A1235" s="62" t="s">
        <v>1516</v>
      </c>
      <c r="B1235" s="14" t="s">
        <v>1470</v>
      </c>
      <c r="C1235" s="8" t="s">
        <v>47</v>
      </c>
      <c r="D1235" s="25">
        <f t="shared" si="308"/>
        <v>10</v>
      </c>
      <c r="E1235" s="54"/>
      <c r="F1235" s="9"/>
      <c r="G1235" s="9">
        <v>0</v>
      </c>
      <c r="H1235" s="9">
        <v>1</v>
      </c>
      <c r="I1235" s="9">
        <v>0</v>
      </c>
      <c r="J1235" s="9">
        <v>0</v>
      </c>
      <c r="K1235" s="9">
        <v>0</v>
      </c>
      <c r="L1235" s="9">
        <v>0</v>
      </c>
      <c r="M1235" s="9">
        <v>0</v>
      </c>
      <c r="N1235" s="9">
        <v>0</v>
      </c>
      <c r="O1235" s="9">
        <v>0</v>
      </c>
      <c r="P1235" s="9">
        <v>0</v>
      </c>
      <c r="Q1235" s="9">
        <v>0</v>
      </c>
      <c r="R1235" s="9">
        <v>0</v>
      </c>
      <c r="S1235" s="9">
        <v>0</v>
      </c>
      <c r="T1235" s="9">
        <v>0</v>
      </c>
      <c r="U1235" s="9">
        <v>2</v>
      </c>
      <c r="V1235" s="9">
        <v>1</v>
      </c>
      <c r="W1235" s="9">
        <v>1</v>
      </c>
      <c r="X1235" s="9">
        <v>0</v>
      </c>
      <c r="Y1235" s="9">
        <v>0</v>
      </c>
      <c r="Z1235" s="9">
        <v>0</v>
      </c>
      <c r="AA1235" s="9">
        <v>0</v>
      </c>
      <c r="AB1235" s="9">
        <v>5</v>
      </c>
      <c r="AC1235" s="9">
        <v>0</v>
      </c>
      <c r="AD1235" s="53" t="e">
        <f>#REF!*D1235</f>
        <v>#REF!</v>
      </c>
      <c r="AE1235" s="53" t="e">
        <f>AD1235-#REF!</f>
        <v>#REF!</v>
      </c>
      <c r="AF1235" s="8"/>
      <c r="AG1235" s="33" t="e">
        <f>#REF!-D1235</f>
        <v>#REF!</v>
      </c>
      <c r="AH1235" s="8"/>
      <c r="AI1235" s="8"/>
      <c r="AJ1235" s="8"/>
      <c r="AK1235" s="8"/>
    </row>
    <row r="1236" spans="1:37" s="10" customFormat="1" ht="21" outlineLevel="1" x14ac:dyDescent="0.25">
      <c r="A1236" s="62" t="s">
        <v>1517</v>
      </c>
      <c r="B1236" s="14" t="s">
        <v>1471</v>
      </c>
      <c r="C1236" s="8" t="s">
        <v>47</v>
      </c>
      <c r="D1236" s="25">
        <f t="shared" si="308"/>
        <v>12</v>
      </c>
      <c r="E1236" s="54"/>
      <c r="F1236" s="9"/>
      <c r="G1236" s="9">
        <v>0</v>
      </c>
      <c r="H1236" s="9">
        <v>1</v>
      </c>
      <c r="I1236" s="9">
        <v>0</v>
      </c>
      <c r="J1236" s="9">
        <v>0</v>
      </c>
      <c r="K1236" s="9">
        <v>0</v>
      </c>
      <c r="L1236" s="9">
        <v>0</v>
      </c>
      <c r="M1236" s="9">
        <v>0</v>
      </c>
      <c r="N1236" s="9">
        <v>0</v>
      </c>
      <c r="O1236" s="9">
        <v>0</v>
      </c>
      <c r="P1236" s="9">
        <v>0</v>
      </c>
      <c r="Q1236" s="9">
        <v>0</v>
      </c>
      <c r="R1236" s="9">
        <v>0</v>
      </c>
      <c r="S1236" s="9">
        <v>0</v>
      </c>
      <c r="T1236" s="9">
        <v>9</v>
      </c>
      <c r="U1236" s="9">
        <v>0</v>
      </c>
      <c r="V1236" s="9">
        <v>1</v>
      </c>
      <c r="W1236" s="9">
        <v>1</v>
      </c>
      <c r="X1236" s="9">
        <v>0</v>
      </c>
      <c r="Y1236" s="9">
        <v>0</v>
      </c>
      <c r="Z1236" s="9">
        <v>0</v>
      </c>
      <c r="AA1236" s="9">
        <v>0</v>
      </c>
      <c r="AB1236" s="9">
        <v>0</v>
      </c>
      <c r="AC1236" s="9">
        <v>0</v>
      </c>
      <c r="AD1236" s="53" t="e">
        <f>#REF!*D1236</f>
        <v>#REF!</v>
      </c>
      <c r="AE1236" s="53" t="e">
        <f>AD1236-#REF!</f>
        <v>#REF!</v>
      </c>
      <c r="AF1236" s="8"/>
      <c r="AG1236" s="33" t="e">
        <f>#REF!-D1236</f>
        <v>#REF!</v>
      </c>
      <c r="AH1236" s="8"/>
      <c r="AI1236" s="8"/>
      <c r="AJ1236" s="8"/>
      <c r="AK1236" s="8"/>
    </row>
    <row r="1237" spans="1:37" s="10" customFormat="1" ht="21" outlineLevel="1" x14ac:dyDescent="0.25">
      <c r="A1237" s="62" t="s">
        <v>1518</v>
      </c>
      <c r="B1237" s="14" t="s">
        <v>187</v>
      </c>
      <c r="C1237" s="8" t="s">
        <v>47</v>
      </c>
      <c r="D1237" s="25">
        <f t="shared" si="308"/>
        <v>10</v>
      </c>
      <c r="E1237" s="54"/>
      <c r="F1237" s="9"/>
      <c r="G1237" s="9">
        <v>2</v>
      </c>
      <c r="H1237" s="9">
        <v>0</v>
      </c>
      <c r="I1237" s="9">
        <v>1</v>
      </c>
      <c r="J1237" s="9">
        <v>0</v>
      </c>
      <c r="K1237" s="9">
        <v>0</v>
      </c>
      <c r="L1237" s="9">
        <v>0</v>
      </c>
      <c r="M1237" s="9">
        <v>0</v>
      </c>
      <c r="N1237" s="9">
        <v>0</v>
      </c>
      <c r="O1237" s="9">
        <v>0</v>
      </c>
      <c r="P1237" s="9">
        <v>0</v>
      </c>
      <c r="Q1237" s="9">
        <v>0</v>
      </c>
      <c r="R1237" s="9">
        <v>3</v>
      </c>
      <c r="S1237" s="9">
        <v>0</v>
      </c>
      <c r="T1237" s="9">
        <v>0</v>
      </c>
      <c r="U1237" s="9">
        <v>0</v>
      </c>
      <c r="V1237" s="9">
        <v>0</v>
      </c>
      <c r="W1237" s="9">
        <v>0</v>
      </c>
      <c r="X1237" s="9">
        <v>1</v>
      </c>
      <c r="Y1237" s="9">
        <v>1</v>
      </c>
      <c r="Z1237" s="9">
        <v>1</v>
      </c>
      <c r="AA1237" s="9">
        <v>1</v>
      </c>
      <c r="AB1237" s="9">
        <v>0</v>
      </c>
      <c r="AC1237" s="9">
        <v>0</v>
      </c>
      <c r="AD1237" s="53" t="e">
        <f>#REF!*D1237</f>
        <v>#REF!</v>
      </c>
      <c r="AE1237" s="53" t="e">
        <f>AD1237-#REF!</f>
        <v>#REF!</v>
      </c>
      <c r="AF1237" s="8"/>
      <c r="AG1237" s="33" t="e">
        <f>#REF!-D1237</f>
        <v>#REF!</v>
      </c>
      <c r="AH1237" s="8"/>
      <c r="AI1237" s="8"/>
      <c r="AJ1237" s="8"/>
      <c r="AK1237" s="8"/>
    </row>
    <row r="1238" spans="1:37" s="10" customFormat="1" ht="21" outlineLevel="1" x14ac:dyDescent="0.25">
      <c r="A1238" s="62" t="s">
        <v>1519</v>
      </c>
      <c r="B1238" s="14" t="s">
        <v>207</v>
      </c>
      <c r="C1238" s="8" t="s">
        <v>47</v>
      </c>
      <c r="D1238" s="25">
        <f t="shared" si="308"/>
        <v>11</v>
      </c>
      <c r="E1238" s="54"/>
      <c r="F1238" s="9"/>
      <c r="G1238" s="9">
        <v>0</v>
      </c>
      <c r="H1238" s="9">
        <v>1</v>
      </c>
      <c r="I1238" s="9">
        <v>0</v>
      </c>
      <c r="J1238" s="9">
        <v>1</v>
      </c>
      <c r="K1238" s="9">
        <v>1</v>
      </c>
      <c r="L1238" s="9">
        <v>0</v>
      </c>
      <c r="M1238" s="9">
        <v>1</v>
      </c>
      <c r="N1238" s="9">
        <v>1</v>
      </c>
      <c r="O1238" s="9">
        <v>1</v>
      </c>
      <c r="P1238" s="9">
        <v>1</v>
      </c>
      <c r="Q1238" s="9">
        <v>0</v>
      </c>
      <c r="R1238" s="9">
        <v>3</v>
      </c>
      <c r="S1238" s="9">
        <v>0</v>
      </c>
      <c r="T1238" s="9">
        <v>0</v>
      </c>
      <c r="U1238" s="9">
        <v>0</v>
      </c>
      <c r="V1238" s="9">
        <v>0</v>
      </c>
      <c r="W1238" s="9">
        <v>1</v>
      </c>
      <c r="X1238" s="9">
        <v>0</v>
      </c>
      <c r="Y1238" s="9">
        <v>0</v>
      </c>
      <c r="Z1238" s="9">
        <v>0</v>
      </c>
      <c r="AA1238" s="9">
        <v>0</v>
      </c>
      <c r="AB1238" s="9">
        <v>0</v>
      </c>
      <c r="AC1238" s="9">
        <v>0</v>
      </c>
      <c r="AD1238" s="53" t="e">
        <f>#REF!*D1238</f>
        <v>#REF!</v>
      </c>
      <c r="AE1238" s="53" t="e">
        <f>AD1238-#REF!</f>
        <v>#REF!</v>
      </c>
      <c r="AF1238" s="8"/>
      <c r="AG1238" s="33" t="e">
        <f>#REF!-D1238</f>
        <v>#REF!</v>
      </c>
      <c r="AH1238" s="8"/>
      <c r="AI1238" s="8"/>
      <c r="AJ1238" s="8"/>
      <c r="AK1238" s="8"/>
    </row>
    <row r="1239" spans="1:37" s="10" customFormat="1" ht="21" outlineLevel="1" x14ac:dyDescent="0.25">
      <c r="A1239" s="62" t="s">
        <v>1520</v>
      </c>
      <c r="B1239" s="14" t="s">
        <v>1472</v>
      </c>
      <c r="C1239" s="8" t="s">
        <v>47</v>
      </c>
      <c r="D1239" s="25">
        <f t="shared" si="308"/>
        <v>25</v>
      </c>
      <c r="E1239" s="54"/>
      <c r="F1239" s="9"/>
      <c r="G1239" s="9">
        <v>11</v>
      </c>
      <c r="H1239" s="9">
        <v>0</v>
      </c>
      <c r="I1239" s="9">
        <v>0</v>
      </c>
      <c r="J1239" s="9">
        <v>0</v>
      </c>
      <c r="K1239" s="9">
        <v>0</v>
      </c>
      <c r="L1239" s="9">
        <v>0</v>
      </c>
      <c r="M1239" s="9">
        <v>0</v>
      </c>
      <c r="N1239" s="9">
        <v>0</v>
      </c>
      <c r="O1239" s="9">
        <v>0</v>
      </c>
      <c r="P1239" s="9">
        <v>0</v>
      </c>
      <c r="Q1239" s="9">
        <v>0</v>
      </c>
      <c r="R1239" s="9">
        <v>3</v>
      </c>
      <c r="S1239" s="9">
        <v>0</v>
      </c>
      <c r="T1239" s="9">
        <v>9</v>
      </c>
      <c r="U1239" s="9">
        <v>0</v>
      </c>
      <c r="V1239" s="9">
        <v>0</v>
      </c>
      <c r="W1239" s="9">
        <v>0</v>
      </c>
      <c r="X1239" s="9">
        <v>0</v>
      </c>
      <c r="Y1239" s="9">
        <v>0</v>
      </c>
      <c r="Z1239" s="9">
        <v>0</v>
      </c>
      <c r="AA1239" s="9">
        <v>0</v>
      </c>
      <c r="AB1239" s="9">
        <v>2</v>
      </c>
      <c r="AC1239" s="9">
        <v>0</v>
      </c>
      <c r="AD1239" s="53" t="e">
        <f>#REF!*D1239</f>
        <v>#REF!</v>
      </c>
      <c r="AE1239" s="53" t="e">
        <f>AD1239-#REF!</f>
        <v>#REF!</v>
      </c>
      <c r="AF1239" s="8"/>
      <c r="AG1239" s="33" t="e">
        <f>#REF!-D1239</f>
        <v>#REF!</v>
      </c>
      <c r="AH1239" s="8"/>
      <c r="AI1239" s="8"/>
      <c r="AJ1239" s="8"/>
      <c r="AK1239" s="8"/>
    </row>
    <row r="1240" spans="1:37" s="10" customFormat="1" ht="21" outlineLevel="1" x14ac:dyDescent="0.25">
      <c r="A1240" s="62" t="s">
        <v>1521</v>
      </c>
      <c r="B1240" s="14" t="s">
        <v>339</v>
      </c>
      <c r="C1240" s="8" t="s">
        <v>47</v>
      </c>
      <c r="D1240" s="25">
        <f t="shared" si="308"/>
        <v>3</v>
      </c>
      <c r="E1240" s="54"/>
      <c r="F1240" s="9"/>
      <c r="G1240" s="9">
        <v>0</v>
      </c>
      <c r="H1240" s="9">
        <v>0</v>
      </c>
      <c r="I1240" s="9">
        <v>0</v>
      </c>
      <c r="J1240" s="9">
        <v>0</v>
      </c>
      <c r="K1240" s="9">
        <v>0</v>
      </c>
      <c r="L1240" s="9">
        <v>0</v>
      </c>
      <c r="M1240" s="9">
        <v>0</v>
      </c>
      <c r="N1240" s="9">
        <v>0</v>
      </c>
      <c r="O1240" s="9">
        <v>0</v>
      </c>
      <c r="P1240" s="9">
        <v>0</v>
      </c>
      <c r="Q1240" s="9">
        <v>0</v>
      </c>
      <c r="R1240" s="9">
        <v>3</v>
      </c>
      <c r="S1240" s="9">
        <v>0</v>
      </c>
      <c r="T1240" s="9">
        <v>0</v>
      </c>
      <c r="U1240" s="9">
        <v>0</v>
      </c>
      <c r="V1240" s="9">
        <v>0</v>
      </c>
      <c r="W1240" s="9">
        <v>0</v>
      </c>
      <c r="X1240" s="9">
        <v>0</v>
      </c>
      <c r="Y1240" s="9">
        <v>0</v>
      </c>
      <c r="Z1240" s="9">
        <v>0</v>
      </c>
      <c r="AA1240" s="9">
        <v>0</v>
      </c>
      <c r="AB1240" s="9">
        <v>0</v>
      </c>
      <c r="AC1240" s="9">
        <v>0</v>
      </c>
      <c r="AD1240" s="53" t="e">
        <f>#REF!*D1240</f>
        <v>#REF!</v>
      </c>
      <c r="AE1240" s="53" t="e">
        <f>AD1240-#REF!</f>
        <v>#REF!</v>
      </c>
      <c r="AF1240" s="8"/>
      <c r="AG1240" s="33" t="e">
        <f>#REF!-D1240</f>
        <v>#REF!</v>
      </c>
      <c r="AH1240" s="8"/>
      <c r="AI1240" s="8"/>
      <c r="AJ1240" s="8"/>
      <c r="AK1240" s="8"/>
    </row>
    <row r="1241" spans="1:37" s="12" customFormat="1" ht="10.199999999999999" outlineLevel="1" x14ac:dyDescent="0.2">
      <c r="A1241" s="62" t="s">
        <v>1522</v>
      </c>
      <c r="B1241" s="11" t="s">
        <v>103</v>
      </c>
      <c r="C1241" s="8" t="s">
        <v>0</v>
      </c>
      <c r="D1241" s="25">
        <f t="shared" si="308"/>
        <v>197.09722222222223</v>
      </c>
      <c r="E1241" s="54"/>
      <c r="F1241" s="9"/>
      <c r="G1241" s="73">
        <f>SUM(G1158:G1240)*4.5/90</f>
        <v>9.0749999999999993</v>
      </c>
      <c r="H1241" s="73">
        <v>23</v>
      </c>
      <c r="I1241" s="73">
        <v>10</v>
      </c>
      <c r="J1241" s="73">
        <v>13</v>
      </c>
      <c r="K1241" s="73">
        <v>11</v>
      </c>
      <c r="L1241" s="73">
        <v>13</v>
      </c>
      <c r="M1241" s="73">
        <v>9</v>
      </c>
      <c r="N1241" s="73">
        <v>8</v>
      </c>
      <c r="O1241" s="73">
        <v>9</v>
      </c>
      <c r="P1241" s="73">
        <v>10</v>
      </c>
      <c r="Q1241" s="73">
        <f>SUM(Q1158:Q1240)*4.5/90</f>
        <v>0</v>
      </c>
      <c r="R1241" s="73">
        <v>10</v>
      </c>
      <c r="S1241" s="73">
        <f>SUM(S1158:S1240)*4.5/90</f>
        <v>0</v>
      </c>
      <c r="T1241" s="73">
        <f>SUM(T1158:T1240)*4.5/90</f>
        <v>5.3</v>
      </c>
      <c r="U1241" s="73">
        <v>8</v>
      </c>
      <c r="V1241" s="73">
        <v>6</v>
      </c>
      <c r="W1241" s="73">
        <v>6</v>
      </c>
      <c r="X1241" s="73">
        <v>10</v>
      </c>
      <c r="Y1241" s="73">
        <v>10</v>
      </c>
      <c r="Z1241" s="73">
        <v>10</v>
      </c>
      <c r="AA1241" s="73">
        <v>9</v>
      </c>
      <c r="AB1241" s="73">
        <f>SUM(AB1158:AB1240)*5/90</f>
        <v>7.7222222222222223</v>
      </c>
      <c r="AC1241" s="9">
        <v>0</v>
      </c>
      <c r="AD1241" s="53" t="e">
        <f>#REF!*D1241</f>
        <v>#REF!</v>
      </c>
      <c r="AE1241" s="53" t="e">
        <f>AD1241-#REF!</f>
        <v>#REF!</v>
      </c>
      <c r="AF1241" s="8"/>
      <c r="AG1241" s="33" t="e">
        <f>#REF!-D1241</f>
        <v>#REF!</v>
      </c>
    </row>
    <row r="1242" spans="1:37" s="12" customFormat="1" ht="20.399999999999999" outlineLevel="1" x14ac:dyDescent="0.2">
      <c r="A1242" s="62" t="s">
        <v>1523</v>
      </c>
      <c r="B1242" s="14" t="s">
        <v>106</v>
      </c>
      <c r="C1242" s="8" t="s">
        <v>49</v>
      </c>
      <c r="D1242" s="25">
        <f t="shared" si="308"/>
        <v>18</v>
      </c>
      <c r="E1242" s="54"/>
      <c r="F1242" s="9"/>
      <c r="G1242" s="73">
        <f t="shared" ref="G1242:AC1242" si="309">MROUND(G1241*0.075,1)</f>
        <v>1</v>
      </c>
      <c r="H1242" s="73">
        <f t="shared" si="309"/>
        <v>2</v>
      </c>
      <c r="I1242" s="73">
        <f t="shared" si="309"/>
        <v>1</v>
      </c>
      <c r="J1242" s="73">
        <f t="shared" si="309"/>
        <v>1</v>
      </c>
      <c r="K1242" s="73">
        <f t="shared" si="309"/>
        <v>1</v>
      </c>
      <c r="L1242" s="73">
        <f t="shared" si="309"/>
        <v>1</v>
      </c>
      <c r="M1242" s="73">
        <f t="shared" si="309"/>
        <v>1</v>
      </c>
      <c r="N1242" s="73">
        <f t="shared" si="309"/>
        <v>1</v>
      </c>
      <c r="O1242" s="73">
        <f t="shared" si="309"/>
        <v>1</v>
      </c>
      <c r="P1242" s="73">
        <f t="shared" si="309"/>
        <v>1</v>
      </c>
      <c r="Q1242" s="73">
        <f t="shared" si="309"/>
        <v>0</v>
      </c>
      <c r="R1242" s="73">
        <f t="shared" si="309"/>
        <v>1</v>
      </c>
      <c r="S1242" s="73">
        <f t="shared" si="309"/>
        <v>0</v>
      </c>
      <c r="T1242" s="73">
        <f t="shared" si="309"/>
        <v>0</v>
      </c>
      <c r="U1242" s="73">
        <f t="shared" si="309"/>
        <v>1</v>
      </c>
      <c r="V1242" s="73">
        <f t="shared" si="309"/>
        <v>0</v>
      </c>
      <c r="W1242" s="73">
        <f t="shared" si="309"/>
        <v>0</v>
      </c>
      <c r="X1242" s="73">
        <f t="shared" si="309"/>
        <v>1</v>
      </c>
      <c r="Y1242" s="73">
        <f t="shared" si="309"/>
        <v>1</v>
      </c>
      <c r="Z1242" s="73">
        <f t="shared" si="309"/>
        <v>1</v>
      </c>
      <c r="AA1242" s="73">
        <f t="shared" si="309"/>
        <v>1</v>
      </c>
      <c r="AB1242" s="73">
        <f t="shared" si="309"/>
        <v>1</v>
      </c>
      <c r="AC1242" s="73">
        <f t="shared" si="309"/>
        <v>0</v>
      </c>
      <c r="AD1242" s="53" t="e">
        <f>#REF!*D1242</f>
        <v>#REF!</v>
      </c>
      <c r="AE1242" s="53" t="e">
        <f>AD1242-#REF!</f>
        <v>#REF!</v>
      </c>
      <c r="AF1242" s="8"/>
      <c r="AG1242" s="33" t="e">
        <f>#REF!-D1242</f>
        <v>#REF!</v>
      </c>
    </row>
    <row r="1243" spans="1:37" s="12" customFormat="1" ht="10.199999999999999" outlineLevel="1" x14ac:dyDescent="0.2">
      <c r="A1243" s="62" t="s">
        <v>1548</v>
      </c>
      <c r="B1243" s="11" t="s">
        <v>107</v>
      </c>
      <c r="C1243" s="8" t="s">
        <v>47</v>
      </c>
      <c r="D1243" s="25">
        <f t="shared" si="308"/>
        <v>103</v>
      </c>
      <c r="E1243" s="54"/>
      <c r="F1243" s="9"/>
      <c r="G1243" s="49">
        <f t="shared" ref="G1243:AC1243" si="310">MROUND(G1241*0.5,1)</f>
        <v>5</v>
      </c>
      <c r="H1243" s="49">
        <f t="shared" si="310"/>
        <v>12</v>
      </c>
      <c r="I1243" s="49">
        <f t="shared" si="310"/>
        <v>5</v>
      </c>
      <c r="J1243" s="49">
        <f t="shared" si="310"/>
        <v>7</v>
      </c>
      <c r="K1243" s="49">
        <f t="shared" si="310"/>
        <v>6</v>
      </c>
      <c r="L1243" s="49">
        <f t="shared" si="310"/>
        <v>7</v>
      </c>
      <c r="M1243" s="49">
        <f t="shared" si="310"/>
        <v>5</v>
      </c>
      <c r="N1243" s="49">
        <f t="shared" si="310"/>
        <v>4</v>
      </c>
      <c r="O1243" s="49">
        <f t="shared" si="310"/>
        <v>5</v>
      </c>
      <c r="P1243" s="49">
        <f t="shared" si="310"/>
        <v>5</v>
      </c>
      <c r="Q1243" s="49">
        <f t="shared" si="310"/>
        <v>0</v>
      </c>
      <c r="R1243" s="49">
        <f t="shared" si="310"/>
        <v>5</v>
      </c>
      <c r="S1243" s="49">
        <f t="shared" si="310"/>
        <v>0</v>
      </c>
      <c r="T1243" s="49">
        <f t="shared" si="310"/>
        <v>3</v>
      </c>
      <c r="U1243" s="49">
        <f t="shared" si="310"/>
        <v>4</v>
      </c>
      <c r="V1243" s="49">
        <f t="shared" si="310"/>
        <v>3</v>
      </c>
      <c r="W1243" s="49">
        <f t="shared" si="310"/>
        <v>3</v>
      </c>
      <c r="X1243" s="49">
        <f t="shared" si="310"/>
        <v>5</v>
      </c>
      <c r="Y1243" s="49">
        <f t="shared" si="310"/>
        <v>5</v>
      </c>
      <c r="Z1243" s="49">
        <f t="shared" si="310"/>
        <v>5</v>
      </c>
      <c r="AA1243" s="49">
        <f t="shared" si="310"/>
        <v>5</v>
      </c>
      <c r="AB1243" s="49">
        <f t="shared" si="310"/>
        <v>4</v>
      </c>
      <c r="AC1243" s="49">
        <f t="shared" si="310"/>
        <v>0</v>
      </c>
      <c r="AD1243" s="53" t="e">
        <f>#REF!*D1243</f>
        <v>#REF!</v>
      </c>
      <c r="AE1243" s="53" t="e">
        <f>AD1243-#REF!</f>
        <v>#REF!</v>
      </c>
      <c r="AF1243" s="8"/>
      <c r="AG1243" s="33" t="e">
        <f>#REF!-D1243</f>
        <v>#REF!</v>
      </c>
    </row>
    <row r="1244" spans="1:37" s="12" customFormat="1" ht="11.4" outlineLevel="1" x14ac:dyDescent="0.2">
      <c r="A1244" s="62" t="s">
        <v>1549</v>
      </c>
      <c r="B1244" s="11" t="s">
        <v>108</v>
      </c>
      <c r="C1244" s="8" t="s">
        <v>47</v>
      </c>
      <c r="D1244" s="25">
        <f t="shared" si="308"/>
        <v>59</v>
      </c>
      <c r="E1244" s="54"/>
      <c r="F1244" s="9"/>
      <c r="G1244" s="49">
        <f t="shared" ref="G1244:AC1244" si="311">MROUND(G1243/2,1)</f>
        <v>3</v>
      </c>
      <c r="H1244" s="49">
        <f t="shared" si="311"/>
        <v>6</v>
      </c>
      <c r="I1244" s="49">
        <f t="shared" si="311"/>
        <v>3</v>
      </c>
      <c r="J1244" s="49">
        <f t="shared" si="311"/>
        <v>4</v>
      </c>
      <c r="K1244" s="49">
        <f t="shared" si="311"/>
        <v>3</v>
      </c>
      <c r="L1244" s="49">
        <f t="shared" si="311"/>
        <v>4</v>
      </c>
      <c r="M1244" s="49">
        <f t="shared" si="311"/>
        <v>3</v>
      </c>
      <c r="N1244" s="49">
        <f t="shared" si="311"/>
        <v>2</v>
      </c>
      <c r="O1244" s="49">
        <f t="shared" si="311"/>
        <v>3</v>
      </c>
      <c r="P1244" s="49">
        <f t="shared" si="311"/>
        <v>3</v>
      </c>
      <c r="Q1244" s="49">
        <f t="shared" si="311"/>
        <v>0</v>
      </c>
      <c r="R1244" s="49">
        <f t="shared" si="311"/>
        <v>3</v>
      </c>
      <c r="S1244" s="49">
        <f t="shared" si="311"/>
        <v>0</v>
      </c>
      <c r="T1244" s="49">
        <f t="shared" si="311"/>
        <v>2</v>
      </c>
      <c r="U1244" s="49">
        <f t="shared" si="311"/>
        <v>2</v>
      </c>
      <c r="V1244" s="49">
        <f t="shared" si="311"/>
        <v>2</v>
      </c>
      <c r="W1244" s="49">
        <f t="shared" si="311"/>
        <v>2</v>
      </c>
      <c r="X1244" s="49">
        <f t="shared" si="311"/>
        <v>3</v>
      </c>
      <c r="Y1244" s="49">
        <f t="shared" si="311"/>
        <v>3</v>
      </c>
      <c r="Z1244" s="49">
        <f t="shared" si="311"/>
        <v>3</v>
      </c>
      <c r="AA1244" s="49">
        <f t="shared" si="311"/>
        <v>3</v>
      </c>
      <c r="AB1244" s="49">
        <f t="shared" si="311"/>
        <v>2</v>
      </c>
      <c r="AC1244" s="49">
        <f t="shared" si="311"/>
        <v>0</v>
      </c>
      <c r="AD1244" s="53" t="e">
        <f>#REF!*D1244</f>
        <v>#REF!</v>
      </c>
      <c r="AE1244" s="53" t="e">
        <f>AD1244-#REF!</f>
        <v>#REF!</v>
      </c>
      <c r="AF1244" s="8"/>
      <c r="AG1244" s="33" t="e">
        <f>#REF!-D1244</f>
        <v>#REF!</v>
      </c>
    </row>
    <row r="1245" spans="1:37" s="12" customFormat="1" ht="10.199999999999999" outlineLevel="1" x14ac:dyDescent="0.2">
      <c r="A1245" s="62" t="s">
        <v>1550</v>
      </c>
      <c r="B1245" s="11" t="s">
        <v>109</v>
      </c>
      <c r="C1245" s="8" t="s">
        <v>47</v>
      </c>
      <c r="D1245" s="25">
        <f t="shared" si="308"/>
        <v>25</v>
      </c>
      <c r="E1245" s="54"/>
      <c r="F1245" s="9"/>
      <c r="G1245" s="49">
        <f t="shared" ref="G1245:AC1245" si="312">MROUND(G1243/4,1)</f>
        <v>1</v>
      </c>
      <c r="H1245" s="49">
        <f t="shared" si="312"/>
        <v>3</v>
      </c>
      <c r="I1245" s="49">
        <f t="shared" si="312"/>
        <v>1</v>
      </c>
      <c r="J1245" s="49">
        <f t="shared" si="312"/>
        <v>2</v>
      </c>
      <c r="K1245" s="49">
        <f t="shared" si="312"/>
        <v>2</v>
      </c>
      <c r="L1245" s="49">
        <f t="shared" si="312"/>
        <v>2</v>
      </c>
      <c r="M1245" s="49">
        <f t="shared" si="312"/>
        <v>1</v>
      </c>
      <c r="N1245" s="49">
        <f t="shared" si="312"/>
        <v>1</v>
      </c>
      <c r="O1245" s="49">
        <f t="shared" si="312"/>
        <v>1</v>
      </c>
      <c r="P1245" s="49">
        <f t="shared" si="312"/>
        <v>1</v>
      </c>
      <c r="Q1245" s="49">
        <f t="shared" si="312"/>
        <v>0</v>
      </c>
      <c r="R1245" s="49">
        <f t="shared" si="312"/>
        <v>1</v>
      </c>
      <c r="S1245" s="49">
        <f t="shared" si="312"/>
        <v>0</v>
      </c>
      <c r="T1245" s="49">
        <f t="shared" si="312"/>
        <v>1</v>
      </c>
      <c r="U1245" s="49">
        <f t="shared" si="312"/>
        <v>1</v>
      </c>
      <c r="V1245" s="49">
        <f t="shared" si="312"/>
        <v>1</v>
      </c>
      <c r="W1245" s="49">
        <f t="shared" si="312"/>
        <v>1</v>
      </c>
      <c r="X1245" s="49">
        <f t="shared" si="312"/>
        <v>1</v>
      </c>
      <c r="Y1245" s="49">
        <f t="shared" si="312"/>
        <v>1</v>
      </c>
      <c r="Z1245" s="49">
        <f t="shared" si="312"/>
        <v>1</v>
      </c>
      <c r="AA1245" s="49">
        <f t="shared" si="312"/>
        <v>1</v>
      </c>
      <c r="AB1245" s="49">
        <f t="shared" si="312"/>
        <v>1</v>
      </c>
      <c r="AC1245" s="49">
        <f t="shared" si="312"/>
        <v>0</v>
      </c>
      <c r="AD1245" s="53" t="e">
        <f>#REF!*D1245</f>
        <v>#REF!</v>
      </c>
      <c r="AE1245" s="53" t="e">
        <f>AD1245-#REF!</f>
        <v>#REF!</v>
      </c>
      <c r="AF1245" s="8"/>
      <c r="AG1245" s="33" t="e">
        <f>#REF!-D1245</f>
        <v>#REF!</v>
      </c>
    </row>
    <row r="1246" spans="1:37" s="16" customFormat="1" ht="20.399999999999999" outlineLevel="1" x14ac:dyDescent="0.2">
      <c r="A1246" s="62" t="s">
        <v>1551</v>
      </c>
      <c r="B1246" s="80" t="s">
        <v>1539</v>
      </c>
      <c r="C1246" s="9" t="s">
        <v>48</v>
      </c>
      <c r="D1246" s="25">
        <f t="shared" si="308"/>
        <v>195</v>
      </c>
      <c r="E1246" s="54"/>
      <c r="F1246" s="78"/>
      <c r="G1246" s="9">
        <f>50*3</f>
        <v>150</v>
      </c>
      <c r="H1246" s="9">
        <v>0</v>
      </c>
      <c r="I1246" s="9">
        <v>0</v>
      </c>
      <c r="J1246" s="9">
        <v>0</v>
      </c>
      <c r="K1246" s="9">
        <v>0</v>
      </c>
      <c r="L1246" s="9">
        <v>0</v>
      </c>
      <c r="M1246" s="9">
        <v>0</v>
      </c>
      <c r="N1246" s="9">
        <v>0</v>
      </c>
      <c r="O1246" s="9">
        <v>0</v>
      </c>
      <c r="P1246" s="9">
        <v>0</v>
      </c>
      <c r="Q1246" s="9">
        <v>0</v>
      </c>
      <c r="R1246" s="9">
        <v>0</v>
      </c>
      <c r="S1246" s="9">
        <v>0</v>
      </c>
      <c r="T1246" s="9">
        <v>45</v>
      </c>
      <c r="U1246" s="9">
        <v>0</v>
      </c>
      <c r="V1246" s="9">
        <v>0</v>
      </c>
      <c r="W1246" s="9">
        <v>0</v>
      </c>
      <c r="X1246" s="9">
        <v>0</v>
      </c>
      <c r="Y1246" s="9">
        <v>0</v>
      </c>
      <c r="Z1246" s="9">
        <v>0</v>
      </c>
      <c r="AA1246" s="9">
        <v>0</v>
      </c>
      <c r="AB1246" s="9">
        <v>0</v>
      </c>
      <c r="AC1246" s="9">
        <v>0</v>
      </c>
      <c r="AD1246" s="53" t="e">
        <f>#REF!*D1246</f>
        <v>#REF!</v>
      </c>
      <c r="AE1246" s="53" t="e">
        <f>AD1246-#REF!</f>
        <v>#REF!</v>
      </c>
      <c r="AF1246" s="9"/>
      <c r="AG1246" s="33" t="e">
        <f>#REF!-D1246</f>
        <v>#REF!</v>
      </c>
    </row>
    <row r="1247" spans="1:37" s="16" customFormat="1" ht="11.4" outlineLevel="1" x14ac:dyDescent="0.2">
      <c r="A1247" s="62" t="s">
        <v>1552</v>
      </c>
      <c r="B1247" s="80" t="s">
        <v>1541</v>
      </c>
      <c r="C1247" s="9" t="s">
        <v>47</v>
      </c>
      <c r="D1247" s="25">
        <f t="shared" si="308"/>
        <v>65</v>
      </c>
      <c r="E1247" s="54"/>
      <c r="F1247" s="9"/>
      <c r="G1247" s="49">
        <f>G1246/3</f>
        <v>50</v>
      </c>
      <c r="H1247" s="49">
        <v>0</v>
      </c>
      <c r="I1247" s="49">
        <v>0</v>
      </c>
      <c r="J1247" s="49">
        <v>0</v>
      </c>
      <c r="K1247" s="49">
        <v>0</v>
      </c>
      <c r="L1247" s="49">
        <v>0</v>
      </c>
      <c r="M1247" s="49">
        <v>0</v>
      </c>
      <c r="N1247" s="49">
        <v>0</v>
      </c>
      <c r="O1247" s="49">
        <v>0</v>
      </c>
      <c r="P1247" s="49">
        <v>0</v>
      </c>
      <c r="Q1247" s="49">
        <v>0</v>
      </c>
      <c r="R1247" s="49">
        <v>0</v>
      </c>
      <c r="S1247" s="49">
        <v>0</v>
      </c>
      <c r="T1247" s="49">
        <f>45/3</f>
        <v>15</v>
      </c>
      <c r="U1247" s="49">
        <v>0</v>
      </c>
      <c r="V1247" s="49">
        <v>0</v>
      </c>
      <c r="W1247" s="49">
        <v>0</v>
      </c>
      <c r="X1247" s="49">
        <v>0</v>
      </c>
      <c r="Y1247" s="49">
        <v>0</v>
      </c>
      <c r="Z1247" s="49">
        <v>0</v>
      </c>
      <c r="AA1247" s="49">
        <v>0</v>
      </c>
      <c r="AB1247" s="49">
        <v>0</v>
      </c>
      <c r="AC1247" s="49">
        <v>0</v>
      </c>
      <c r="AD1247" s="53" t="e">
        <f>#REF!*D1247</f>
        <v>#REF!</v>
      </c>
      <c r="AE1247" s="53" t="e">
        <f>AD1247-#REF!</f>
        <v>#REF!</v>
      </c>
      <c r="AF1247" s="9"/>
      <c r="AG1247" s="33" t="e">
        <f>#REF!-D1247</f>
        <v>#REF!</v>
      </c>
    </row>
    <row r="1248" spans="1:37" s="16" customFormat="1" ht="11.4" outlineLevel="1" x14ac:dyDescent="0.2">
      <c r="A1248" s="62" t="s">
        <v>1553</v>
      </c>
      <c r="B1248" s="80" t="s">
        <v>1480</v>
      </c>
      <c r="C1248" s="9" t="s">
        <v>47</v>
      </c>
      <c r="D1248" s="25">
        <f t="shared" si="308"/>
        <v>6</v>
      </c>
      <c r="E1248" s="54"/>
      <c r="F1248" s="9"/>
      <c r="G1248" s="9">
        <v>4</v>
      </c>
      <c r="H1248" s="9">
        <v>0</v>
      </c>
      <c r="I1248" s="9">
        <v>0</v>
      </c>
      <c r="J1248" s="9">
        <v>0</v>
      </c>
      <c r="K1248" s="9">
        <v>0</v>
      </c>
      <c r="L1248" s="9">
        <v>0</v>
      </c>
      <c r="M1248" s="9">
        <v>0</v>
      </c>
      <c r="N1248" s="9">
        <v>0</v>
      </c>
      <c r="O1248" s="9">
        <v>0</v>
      </c>
      <c r="P1248" s="9">
        <v>0</v>
      </c>
      <c r="Q1248" s="9">
        <v>0</v>
      </c>
      <c r="R1248" s="9">
        <v>0</v>
      </c>
      <c r="S1248" s="9">
        <v>0</v>
      </c>
      <c r="T1248" s="9">
        <v>2</v>
      </c>
      <c r="U1248" s="9">
        <v>0</v>
      </c>
      <c r="V1248" s="9">
        <v>0</v>
      </c>
      <c r="W1248" s="9">
        <v>0</v>
      </c>
      <c r="X1248" s="9">
        <v>0</v>
      </c>
      <c r="Y1248" s="9">
        <v>0</v>
      </c>
      <c r="Z1248" s="9">
        <v>0</v>
      </c>
      <c r="AA1248" s="9">
        <v>0</v>
      </c>
      <c r="AB1248" s="9">
        <v>0</v>
      </c>
      <c r="AC1248" s="9">
        <v>0</v>
      </c>
      <c r="AD1248" s="53" t="e">
        <f>#REF!*D1248</f>
        <v>#REF!</v>
      </c>
      <c r="AE1248" s="53" t="e">
        <f>AD1248-#REF!</f>
        <v>#REF!</v>
      </c>
      <c r="AF1248" s="9"/>
      <c r="AG1248" s="33" t="e">
        <f>#REF!-D1248</f>
        <v>#REF!</v>
      </c>
    </row>
    <row r="1249" spans="1:37" s="16" customFormat="1" ht="11.4" outlineLevel="1" x14ac:dyDescent="0.2">
      <c r="A1249" s="62" t="s">
        <v>1554</v>
      </c>
      <c r="B1249" s="80" t="s">
        <v>1540</v>
      </c>
      <c r="C1249" s="9" t="s">
        <v>47</v>
      </c>
      <c r="D1249" s="25">
        <f t="shared" si="308"/>
        <v>17</v>
      </c>
      <c r="E1249" s="54"/>
      <c r="F1249" s="9"/>
      <c r="G1249" s="9">
        <v>14</v>
      </c>
      <c r="H1249" s="9">
        <v>1</v>
      </c>
      <c r="I1249" s="9">
        <v>0</v>
      </c>
      <c r="J1249" s="9">
        <v>0</v>
      </c>
      <c r="K1249" s="9">
        <v>0</v>
      </c>
      <c r="L1249" s="9">
        <v>0</v>
      </c>
      <c r="M1249" s="9">
        <v>0</v>
      </c>
      <c r="N1249" s="9">
        <v>0</v>
      </c>
      <c r="O1249" s="9">
        <v>0</v>
      </c>
      <c r="P1249" s="9">
        <v>0</v>
      </c>
      <c r="Q1249" s="9">
        <v>0</v>
      </c>
      <c r="R1249" s="9">
        <v>0</v>
      </c>
      <c r="S1249" s="9">
        <v>0</v>
      </c>
      <c r="T1249" s="9">
        <v>2</v>
      </c>
      <c r="U1249" s="9">
        <v>0</v>
      </c>
      <c r="V1249" s="9">
        <v>0</v>
      </c>
      <c r="W1249" s="9">
        <v>0</v>
      </c>
      <c r="X1249" s="9">
        <v>0</v>
      </c>
      <c r="Y1249" s="9">
        <v>0</v>
      </c>
      <c r="Z1249" s="9">
        <v>0</v>
      </c>
      <c r="AA1249" s="9">
        <v>0</v>
      </c>
      <c r="AB1249" s="9">
        <v>0</v>
      </c>
      <c r="AC1249" s="9">
        <v>0</v>
      </c>
      <c r="AD1249" s="53" t="e">
        <f>#REF!*D1249</f>
        <v>#REF!</v>
      </c>
      <c r="AE1249" s="53" t="e">
        <f>AD1249-#REF!</f>
        <v>#REF!</v>
      </c>
      <c r="AF1249" s="9"/>
      <c r="AG1249" s="33" t="e">
        <f>#REF!-D1249</f>
        <v>#REF!</v>
      </c>
    </row>
    <row r="1250" spans="1:37" s="16" customFormat="1" ht="11.4" outlineLevel="1" x14ac:dyDescent="0.2">
      <c r="A1250" s="62" t="s">
        <v>1555</v>
      </c>
      <c r="B1250" s="80" t="s">
        <v>1544</v>
      </c>
      <c r="C1250" s="9" t="s">
        <v>47</v>
      </c>
      <c r="D1250" s="25">
        <f t="shared" si="308"/>
        <v>6</v>
      </c>
      <c r="E1250" s="54"/>
      <c r="F1250" s="9"/>
      <c r="G1250" s="9">
        <v>3</v>
      </c>
      <c r="H1250" s="9">
        <v>1</v>
      </c>
      <c r="I1250" s="9">
        <v>0</v>
      </c>
      <c r="J1250" s="9">
        <v>0</v>
      </c>
      <c r="K1250" s="9">
        <v>0</v>
      </c>
      <c r="L1250" s="9">
        <v>0</v>
      </c>
      <c r="M1250" s="9">
        <v>0</v>
      </c>
      <c r="N1250" s="9">
        <v>0</v>
      </c>
      <c r="O1250" s="9">
        <v>0</v>
      </c>
      <c r="P1250" s="9">
        <v>0</v>
      </c>
      <c r="Q1250" s="9">
        <v>0</v>
      </c>
      <c r="R1250" s="9">
        <v>0</v>
      </c>
      <c r="S1250" s="9">
        <v>0</v>
      </c>
      <c r="T1250" s="9">
        <v>2</v>
      </c>
      <c r="U1250" s="9">
        <v>0</v>
      </c>
      <c r="V1250" s="9">
        <v>0</v>
      </c>
      <c r="W1250" s="9">
        <v>0</v>
      </c>
      <c r="X1250" s="9">
        <v>0</v>
      </c>
      <c r="Y1250" s="9">
        <v>0</v>
      </c>
      <c r="Z1250" s="9">
        <v>0</v>
      </c>
      <c r="AA1250" s="9">
        <v>0</v>
      </c>
      <c r="AB1250" s="9">
        <v>0</v>
      </c>
      <c r="AC1250" s="9">
        <v>0</v>
      </c>
      <c r="AD1250" s="53" t="e">
        <f>#REF!*D1250</f>
        <v>#REF!</v>
      </c>
      <c r="AE1250" s="53" t="e">
        <f>AD1250-#REF!</f>
        <v>#REF!</v>
      </c>
      <c r="AF1250" s="9"/>
      <c r="AG1250" s="33" t="e">
        <f>#REF!-D1250</f>
        <v>#REF!</v>
      </c>
    </row>
    <row r="1251" spans="1:37" s="16" customFormat="1" ht="21.6" outlineLevel="1" x14ac:dyDescent="0.2">
      <c r="A1251" s="62" t="s">
        <v>1556</v>
      </c>
      <c r="B1251" s="80" t="s">
        <v>2523</v>
      </c>
      <c r="C1251" s="9" t="s">
        <v>47</v>
      </c>
      <c r="D1251" s="25">
        <f t="shared" si="308"/>
        <v>5</v>
      </c>
      <c r="E1251" s="54"/>
      <c r="F1251" s="9"/>
      <c r="G1251" s="9">
        <v>4</v>
      </c>
      <c r="H1251" s="9">
        <v>1</v>
      </c>
      <c r="I1251" s="9">
        <v>0</v>
      </c>
      <c r="J1251" s="9">
        <v>0</v>
      </c>
      <c r="K1251" s="9">
        <v>0</v>
      </c>
      <c r="L1251" s="9">
        <v>0</v>
      </c>
      <c r="M1251" s="9">
        <v>0</v>
      </c>
      <c r="N1251" s="9">
        <v>0</v>
      </c>
      <c r="O1251" s="9">
        <v>0</v>
      </c>
      <c r="P1251" s="9">
        <v>0</v>
      </c>
      <c r="Q1251" s="9">
        <v>0</v>
      </c>
      <c r="R1251" s="9">
        <v>0</v>
      </c>
      <c r="S1251" s="9">
        <v>0</v>
      </c>
      <c r="T1251" s="9">
        <v>0</v>
      </c>
      <c r="U1251" s="9">
        <v>0</v>
      </c>
      <c r="V1251" s="9">
        <v>0</v>
      </c>
      <c r="W1251" s="9">
        <v>0</v>
      </c>
      <c r="X1251" s="9">
        <v>0</v>
      </c>
      <c r="Y1251" s="9">
        <v>0</v>
      </c>
      <c r="Z1251" s="9">
        <v>0</v>
      </c>
      <c r="AA1251" s="9">
        <v>0</v>
      </c>
      <c r="AB1251" s="9">
        <v>0</v>
      </c>
      <c r="AC1251" s="9">
        <v>0</v>
      </c>
      <c r="AD1251" s="53" t="e">
        <f>#REF!*D1251</f>
        <v>#REF!</v>
      </c>
      <c r="AE1251" s="53" t="e">
        <f>AD1251-#REF!</f>
        <v>#REF!</v>
      </c>
      <c r="AF1251" s="9"/>
      <c r="AG1251" s="33" t="e">
        <f>#REF!-D1251</f>
        <v>#REF!</v>
      </c>
    </row>
    <row r="1252" spans="1:37" s="16" customFormat="1" ht="20.399999999999999" outlineLevel="1" x14ac:dyDescent="0.2">
      <c r="A1252" s="62" t="s">
        <v>1557</v>
      </c>
      <c r="B1252" s="80" t="s">
        <v>2524</v>
      </c>
      <c r="C1252" s="9" t="s">
        <v>47</v>
      </c>
      <c r="D1252" s="25">
        <f t="shared" si="308"/>
        <v>5</v>
      </c>
      <c r="E1252" s="54"/>
      <c r="F1252" s="9"/>
      <c r="G1252" s="9">
        <v>4</v>
      </c>
      <c r="H1252" s="9">
        <v>1</v>
      </c>
      <c r="I1252" s="9">
        <v>0</v>
      </c>
      <c r="J1252" s="9">
        <v>0</v>
      </c>
      <c r="K1252" s="9">
        <v>0</v>
      </c>
      <c r="L1252" s="9">
        <v>0</v>
      </c>
      <c r="M1252" s="9">
        <v>0</v>
      </c>
      <c r="N1252" s="9">
        <v>0</v>
      </c>
      <c r="O1252" s="9">
        <v>0</v>
      </c>
      <c r="P1252" s="9">
        <v>0</v>
      </c>
      <c r="Q1252" s="9">
        <v>0</v>
      </c>
      <c r="R1252" s="9">
        <v>0</v>
      </c>
      <c r="S1252" s="9">
        <v>0</v>
      </c>
      <c r="T1252" s="9">
        <v>0</v>
      </c>
      <c r="U1252" s="9">
        <v>0</v>
      </c>
      <c r="V1252" s="9">
        <v>0</v>
      </c>
      <c r="W1252" s="9">
        <v>0</v>
      </c>
      <c r="X1252" s="9">
        <v>0</v>
      </c>
      <c r="Y1252" s="9">
        <v>0</v>
      </c>
      <c r="Z1252" s="9">
        <v>0</v>
      </c>
      <c r="AA1252" s="9">
        <v>0</v>
      </c>
      <c r="AB1252" s="9">
        <v>0</v>
      </c>
      <c r="AC1252" s="9">
        <v>0</v>
      </c>
      <c r="AD1252" s="53" t="e">
        <f>#REF!*D1252</f>
        <v>#REF!</v>
      </c>
      <c r="AE1252" s="53" t="e">
        <f>AD1252-#REF!</f>
        <v>#REF!</v>
      </c>
      <c r="AF1252" s="9"/>
      <c r="AG1252" s="33" t="e">
        <f>#REF!-D1252</f>
        <v>#REF!</v>
      </c>
    </row>
    <row r="1253" spans="1:37" s="16" customFormat="1" ht="20.399999999999999" outlineLevel="1" x14ac:dyDescent="0.2">
      <c r="A1253" s="62" t="s">
        <v>1558</v>
      </c>
      <c r="B1253" s="80" t="s">
        <v>1529</v>
      </c>
      <c r="C1253" s="9" t="s">
        <v>47</v>
      </c>
      <c r="D1253" s="25">
        <f t="shared" si="308"/>
        <v>5</v>
      </c>
      <c r="E1253" s="54"/>
      <c r="F1253" s="9"/>
      <c r="G1253" s="9">
        <v>4</v>
      </c>
      <c r="H1253" s="9">
        <v>1</v>
      </c>
      <c r="I1253" s="9">
        <v>0</v>
      </c>
      <c r="J1253" s="9">
        <v>0</v>
      </c>
      <c r="K1253" s="9">
        <v>0</v>
      </c>
      <c r="L1253" s="9">
        <v>0</v>
      </c>
      <c r="M1253" s="9">
        <v>0</v>
      </c>
      <c r="N1253" s="9">
        <v>0</v>
      </c>
      <c r="O1253" s="9">
        <v>0</v>
      </c>
      <c r="P1253" s="9">
        <v>0</v>
      </c>
      <c r="Q1253" s="9">
        <v>0</v>
      </c>
      <c r="R1253" s="9">
        <v>0</v>
      </c>
      <c r="S1253" s="9">
        <v>0</v>
      </c>
      <c r="T1253" s="9">
        <v>0</v>
      </c>
      <c r="U1253" s="9">
        <v>0</v>
      </c>
      <c r="V1253" s="9">
        <v>0</v>
      </c>
      <c r="W1253" s="9">
        <v>0</v>
      </c>
      <c r="X1253" s="9">
        <v>0</v>
      </c>
      <c r="Y1253" s="9">
        <v>0</v>
      </c>
      <c r="Z1253" s="9">
        <v>0</v>
      </c>
      <c r="AA1253" s="9">
        <v>0</v>
      </c>
      <c r="AB1253" s="9">
        <v>0</v>
      </c>
      <c r="AC1253" s="9">
        <v>0</v>
      </c>
      <c r="AD1253" s="53" t="e">
        <f>#REF!*D1253</f>
        <v>#REF!</v>
      </c>
      <c r="AE1253" s="53" t="e">
        <f>AD1253-#REF!</f>
        <v>#REF!</v>
      </c>
      <c r="AF1253" s="9"/>
      <c r="AG1253" s="33" t="e">
        <f>#REF!-D1253</f>
        <v>#REF!</v>
      </c>
    </row>
    <row r="1254" spans="1:37" s="16" customFormat="1" ht="20.399999999999999" outlineLevel="1" x14ac:dyDescent="0.2">
      <c r="A1254" s="62" t="s">
        <v>1559</v>
      </c>
      <c r="B1254" s="80" t="s">
        <v>1493</v>
      </c>
      <c r="C1254" s="9" t="s">
        <v>47</v>
      </c>
      <c r="D1254" s="25">
        <f t="shared" si="308"/>
        <v>4</v>
      </c>
      <c r="E1254" s="54"/>
      <c r="F1254" s="9"/>
      <c r="G1254" s="9">
        <v>4</v>
      </c>
      <c r="H1254" s="9">
        <v>0</v>
      </c>
      <c r="I1254" s="9">
        <v>0</v>
      </c>
      <c r="J1254" s="9">
        <v>0</v>
      </c>
      <c r="K1254" s="9">
        <v>0</v>
      </c>
      <c r="L1254" s="9">
        <v>0</v>
      </c>
      <c r="M1254" s="9">
        <v>0</v>
      </c>
      <c r="N1254" s="9">
        <v>0</v>
      </c>
      <c r="O1254" s="9">
        <v>0</v>
      </c>
      <c r="P1254" s="9">
        <v>0</v>
      </c>
      <c r="Q1254" s="9">
        <v>0</v>
      </c>
      <c r="R1254" s="9">
        <v>0</v>
      </c>
      <c r="S1254" s="9">
        <v>0</v>
      </c>
      <c r="T1254" s="9">
        <v>0</v>
      </c>
      <c r="U1254" s="9">
        <v>0</v>
      </c>
      <c r="V1254" s="9">
        <v>0</v>
      </c>
      <c r="W1254" s="9">
        <v>0</v>
      </c>
      <c r="X1254" s="9">
        <v>0</v>
      </c>
      <c r="Y1254" s="9">
        <v>0</v>
      </c>
      <c r="Z1254" s="9">
        <v>0</v>
      </c>
      <c r="AA1254" s="9">
        <v>0</v>
      </c>
      <c r="AB1254" s="9">
        <v>0</v>
      </c>
      <c r="AC1254" s="9">
        <v>0</v>
      </c>
      <c r="AD1254" s="53" t="e">
        <f>#REF!*D1254</f>
        <v>#REF!</v>
      </c>
      <c r="AE1254" s="53" t="e">
        <f>AD1254-#REF!</f>
        <v>#REF!</v>
      </c>
      <c r="AF1254" s="9"/>
      <c r="AG1254" s="33" t="e">
        <f>#REF!-D1254</f>
        <v>#REF!</v>
      </c>
    </row>
    <row r="1255" spans="1:37" s="16" customFormat="1" ht="20.399999999999999" outlineLevel="1" x14ac:dyDescent="0.2">
      <c r="A1255" s="62" t="s">
        <v>1560</v>
      </c>
      <c r="B1255" s="80" t="s">
        <v>2306</v>
      </c>
      <c r="C1255" s="9" t="s">
        <v>47</v>
      </c>
      <c r="D1255" s="25">
        <f t="shared" si="308"/>
        <v>18</v>
      </c>
      <c r="E1255" s="54"/>
      <c r="F1255" s="9"/>
      <c r="G1255" s="9">
        <v>16</v>
      </c>
      <c r="H1255" s="9">
        <v>2</v>
      </c>
      <c r="I1255" s="9">
        <v>0</v>
      </c>
      <c r="J1255" s="9">
        <v>0</v>
      </c>
      <c r="K1255" s="9">
        <v>0</v>
      </c>
      <c r="L1255" s="9">
        <v>0</v>
      </c>
      <c r="M1255" s="9">
        <v>0</v>
      </c>
      <c r="N1255" s="9">
        <v>0</v>
      </c>
      <c r="O1255" s="9">
        <v>0</v>
      </c>
      <c r="P1255" s="9">
        <v>0</v>
      </c>
      <c r="Q1255" s="9">
        <v>0</v>
      </c>
      <c r="R1255" s="9">
        <v>0</v>
      </c>
      <c r="S1255" s="9">
        <v>0</v>
      </c>
      <c r="T1255" s="9">
        <v>0</v>
      </c>
      <c r="U1255" s="9">
        <v>0</v>
      </c>
      <c r="V1255" s="9">
        <v>0</v>
      </c>
      <c r="W1255" s="9">
        <v>0</v>
      </c>
      <c r="X1255" s="9">
        <v>0</v>
      </c>
      <c r="Y1255" s="9">
        <v>0</v>
      </c>
      <c r="Z1255" s="9">
        <v>0</v>
      </c>
      <c r="AA1255" s="9">
        <v>0</v>
      </c>
      <c r="AB1255" s="9">
        <v>0</v>
      </c>
      <c r="AC1255" s="9">
        <v>0</v>
      </c>
      <c r="AD1255" s="53" t="e">
        <f>#REF!*D1255</f>
        <v>#REF!</v>
      </c>
      <c r="AE1255" s="53" t="e">
        <f>AD1255-#REF!</f>
        <v>#REF!</v>
      </c>
      <c r="AF1255" s="9"/>
      <c r="AG1255" s="33" t="e">
        <f>#REF!-D1255</f>
        <v>#REF!</v>
      </c>
    </row>
    <row r="1256" spans="1:37" s="16" customFormat="1" ht="20.399999999999999" outlineLevel="1" x14ac:dyDescent="0.2">
      <c r="A1256" s="62" t="s">
        <v>2527</v>
      </c>
      <c r="B1256" s="80" t="s">
        <v>2525</v>
      </c>
      <c r="C1256" s="9" t="s">
        <v>47</v>
      </c>
      <c r="D1256" s="25">
        <f t="shared" si="308"/>
        <v>2</v>
      </c>
      <c r="E1256" s="54"/>
      <c r="F1256" s="9"/>
      <c r="G1256" s="9">
        <v>2</v>
      </c>
      <c r="H1256" s="9">
        <v>0</v>
      </c>
      <c r="I1256" s="9">
        <v>0</v>
      </c>
      <c r="J1256" s="9">
        <v>0</v>
      </c>
      <c r="K1256" s="9">
        <v>0</v>
      </c>
      <c r="L1256" s="9">
        <v>0</v>
      </c>
      <c r="M1256" s="9">
        <v>0</v>
      </c>
      <c r="N1256" s="9">
        <v>0</v>
      </c>
      <c r="O1256" s="9">
        <v>0</v>
      </c>
      <c r="P1256" s="9">
        <v>0</v>
      </c>
      <c r="Q1256" s="9">
        <v>0</v>
      </c>
      <c r="R1256" s="9">
        <v>0</v>
      </c>
      <c r="S1256" s="9">
        <v>0</v>
      </c>
      <c r="T1256" s="9">
        <v>0</v>
      </c>
      <c r="U1256" s="9">
        <v>0</v>
      </c>
      <c r="V1256" s="9">
        <v>0</v>
      </c>
      <c r="W1256" s="9">
        <v>0</v>
      </c>
      <c r="X1256" s="9">
        <v>0</v>
      </c>
      <c r="Y1256" s="9">
        <v>0</v>
      </c>
      <c r="Z1256" s="9">
        <v>0</v>
      </c>
      <c r="AA1256" s="9">
        <v>0</v>
      </c>
      <c r="AB1256" s="9">
        <v>0</v>
      </c>
      <c r="AC1256" s="9">
        <v>0</v>
      </c>
      <c r="AD1256" s="53" t="e">
        <f>#REF!*D1256</f>
        <v>#REF!</v>
      </c>
      <c r="AE1256" s="53" t="e">
        <f>AD1256-#REF!</f>
        <v>#REF!</v>
      </c>
      <c r="AF1256" s="9"/>
      <c r="AG1256" s="33" t="e">
        <f>#REF!-D1256</f>
        <v>#REF!</v>
      </c>
    </row>
    <row r="1257" spans="1:37" s="16" customFormat="1" ht="20.399999999999999" outlineLevel="1" x14ac:dyDescent="0.2">
      <c r="A1257" s="62" t="s">
        <v>2528</v>
      </c>
      <c r="B1257" s="80" t="s">
        <v>2526</v>
      </c>
      <c r="C1257" s="9" t="s">
        <v>47</v>
      </c>
      <c r="D1257" s="25">
        <f t="shared" si="308"/>
        <v>10</v>
      </c>
      <c r="E1257" s="54"/>
      <c r="F1257" s="9"/>
      <c r="G1257" s="9">
        <v>8</v>
      </c>
      <c r="H1257" s="9">
        <v>2</v>
      </c>
      <c r="I1257" s="9">
        <v>0</v>
      </c>
      <c r="J1257" s="9">
        <v>0</v>
      </c>
      <c r="K1257" s="9">
        <v>0</v>
      </c>
      <c r="L1257" s="9">
        <v>0</v>
      </c>
      <c r="M1257" s="9">
        <v>0</v>
      </c>
      <c r="N1257" s="9">
        <v>0</v>
      </c>
      <c r="O1257" s="9">
        <v>0</v>
      </c>
      <c r="P1257" s="9">
        <v>0</v>
      </c>
      <c r="Q1257" s="9">
        <v>0</v>
      </c>
      <c r="R1257" s="9">
        <v>0</v>
      </c>
      <c r="S1257" s="9">
        <v>0</v>
      </c>
      <c r="T1257" s="9">
        <v>0</v>
      </c>
      <c r="U1257" s="9">
        <v>0</v>
      </c>
      <c r="V1257" s="9">
        <v>0</v>
      </c>
      <c r="W1257" s="9">
        <v>0</v>
      </c>
      <c r="X1257" s="9">
        <v>0</v>
      </c>
      <c r="Y1257" s="9">
        <v>0</v>
      </c>
      <c r="Z1257" s="9">
        <v>0</v>
      </c>
      <c r="AA1257" s="9">
        <v>0</v>
      </c>
      <c r="AB1257" s="9">
        <v>0</v>
      </c>
      <c r="AC1257" s="9">
        <v>0</v>
      </c>
      <c r="AD1257" s="53" t="e">
        <f>#REF!*D1257</f>
        <v>#REF!</v>
      </c>
      <c r="AE1257" s="53" t="e">
        <f>AD1257-#REF!</f>
        <v>#REF!</v>
      </c>
      <c r="AF1257" s="9"/>
      <c r="AG1257" s="33" t="e">
        <f>#REF!-D1257</f>
        <v>#REF!</v>
      </c>
    </row>
    <row r="1258" spans="1:37" s="16" customFormat="1" ht="20.399999999999999" outlineLevel="1" x14ac:dyDescent="0.2">
      <c r="A1258" s="62" t="s">
        <v>2529</v>
      </c>
      <c r="B1258" s="14" t="s">
        <v>279</v>
      </c>
      <c r="C1258" s="8" t="s">
        <v>47</v>
      </c>
      <c r="D1258" s="25">
        <f t="shared" si="308"/>
        <v>6</v>
      </c>
      <c r="E1258" s="54"/>
      <c r="F1258" s="9"/>
      <c r="G1258" s="9">
        <v>0</v>
      </c>
      <c r="H1258" s="9">
        <v>6</v>
      </c>
      <c r="I1258" s="9">
        <v>0</v>
      </c>
      <c r="J1258" s="9">
        <v>0</v>
      </c>
      <c r="K1258" s="9">
        <v>0</v>
      </c>
      <c r="L1258" s="9">
        <v>0</v>
      </c>
      <c r="M1258" s="9">
        <v>0</v>
      </c>
      <c r="N1258" s="9">
        <v>0</v>
      </c>
      <c r="O1258" s="9">
        <v>0</v>
      </c>
      <c r="P1258" s="9">
        <v>0</v>
      </c>
      <c r="Q1258" s="9">
        <v>0</v>
      </c>
      <c r="R1258" s="9">
        <v>0</v>
      </c>
      <c r="S1258" s="9">
        <v>0</v>
      </c>
      <c r="T1258" s="9">
        <v>0</v>
      </c>
      <c r="U1258" s="9">
        <v>0</v>
      </c>
      <c r="V1258" s="9">
        <v>0</v>
      </c>
      <c r="W1258" s="9">
        <v>0</v>
      </c>
      <c r="X1258" s="9">
        <v>0</v>
      </c>
      <c r="Y1258" s="9">
        <v>0</v>
      </c>
      <c r="Z1258" s="9">
        <v>0</v>
      </c>
      <c r="AA1258" s="9">
        <v>0</v>
      </c>
      <c r="AB1258" s="9">
        <v>0</v>
      </c>
      <c r="AC1258" s="9">
        <v>0</v>
      </c>
      <c r="AD1258" s="53" t="e">
        <f>#REF!*D1258</f>
        <v>#REF!</v>
      </c>
      <c r="AE1258" s="53" t="e">
        <f>AD1258-#REF!</f>
        <v>#REF!</v>
      </c>
      <c r="AF1258" s="9"/>
      <c r="AG1258" s="33" t="e">
        <f>#REF!-D1258</f>
        <v>#REF!</v>
      </c>
    </row>
    <row r="1259" spans="1:37" s="12" customFormat="1" ht="20.399999999999999" outlineLevel="1" x14ac:dyDescent="0.2">
      <c r="A1259" s="62" t="s">
        <v>2530</v>
      </c>
      <c r="B1259" s="14" t="s">
        <v>69</v>
      </c>
      <c r="C1259" s="9" t="s">
        <v>47</v>
      </c>
      <c r="D1259" s="25">
        <f t="shared" si="308"/>
        <v>2323</v>
      </c>
      <c r="E1259" s="54"/>
      <c r="F1259" s="9"/>
      <c r="G1259" s="9">
        <f>15+25</f>
        <v>40</v>
      </c>
      <c r="H1259" s="9">
        <f>330-100</f>
        <v>230</v>
      </c>
      <c r="I1259" s="9">
        <f>160-35</f>
        <v>125</v>
      </c>
      <c r="J1259" s="9">
        <f>200-55</f>
        <v>145</v>
      </c>
      <c r="K1259" s="9">
        <f>200-140</f>
        <v>60</v>
      </c>
      <c r="L1259" s="9">
        <f>220-75</f>
        <v>145</v>
      </c>
      <c r="M1259" s="9">
        <v>110</v>
      </c>
      <c r="N1259" s="9">
        <v>100</v>
      </c>
      <c r="O1259" s="9">
        <v>110</v>
      </c>
      <c r="P1259" s="9">
        <v>145</v>
      </c>
      <c r="Q1259" s="9">
        <v>0</v>
      </c>
      <c r="R1259" s="9">
        <v>100</v>
      </c>
      <c r="S1259" s="9">
        <v>0</v>
      </c>
      <c r="T1259" s="9">
        <v>0</v>
      </c>
      <c r="U1259" s="9">
        <v>115</v>
      </c>
      <c r="V1259" s="9">
        <v>100</v>
      </c>
      <c r="W1259" s="9">
        <v>130</v>
      </c>
      <c r="X1259" s="9">
        <v>135</v>
      </c>
      <c r="Y1259" s="9">
        <v>145</v>
      </c>
      <c r="Z1259" s="9">
        <v>145</v>
      </c>
      <c r="AA1259" s="9">
        <v>135</v>
      </c>
      <c r="AB1259" s="49">
        <f>SUM(AB1158:AB1163)*6/1.5</f>
        <v>108</v>
      </c>
      <c r="AC1259" s="9">
        <v>0</v>
      </c>
      <c r="AD1259" s="53" t="e">
        <f>#REF!*D1259</f>
        <v>#REF!</v>
      </c>
      <c r="AE1259" s="53" t="e">
        <f>AD1259-#REF!</f>
        <v>#REF!</v>
      </c>
      <c r="AF1259" s="9"/>
      <c r="AG1259" s="33" t="e">
        <f>#REF!-D1259</f>
        <v>#REF!</v>
      </c>
    </row>
    <row r="1260" spans="1:37" s="12" customFormat="1" ht="20.399999999999999" outlineLevel="1" x14ac:dyDescent="0.2">
      <c r="A1260" s="62" t="s">
        <v>2531</v>
      </c>
      <c r="B1260" s="14" t="s">
        <v>110</v>
      </c>
      <c r="C1260" s="9" t="s">
        <v>48</v>
      </c>
      <c r="D1260" s="25">
        <f t="shared" si="308"/>
        <v>574</v>
      </c>
      <c r="E1260" s="54"/>
      <c r="F1260" s="9"/>
      <c r="G1260" s="49">
        <f>G1259*0.25</f>
        <v>10</v>
      </c>
      <c r="H1260" s="49">
        <f t="shared" ref="H1260:R1260" si="313">MROUND(H1259*0.25,3)</f>
        <v>57</v>
      </c>
      <c r="I1260" s="49">
        <f t="shared" si="313"/>
        <v>30</v>
      </c>
      <c r="J1260" s="49">
        <f t="shared" si="313"/>
        <v>36</v>
      </c>
      <c r="K1260" s="49">
        <f t="shared" si="313"/>
        <v>15</v>
      </c>
      <c r="L1260" s="49">
        <f t="shared" si="313"/>
        <v>36</v>
      </c>
      <c r="M1260" s="49">
        <f t="shared" si="313"/>
        <v>27</v>
      </c>
      <c r="N1260" s="49">
        <f t="shared" si="313"/>
        <v>24</v>
      </c>
      <c r="O1260" s="49">
        <f t="shared" si="313"/>
        <v>27</v>
      </c>
      <c r="P1260" s="49">
        <f t="shared" si="313"/>
        <v>36</v>
      </c>
      <c r="Q1260" s="49">
        <f t="shared" si="313"/>
        <v>0</v>
      </c>
      <c r="R1260" s="49">
        <f t="shared" si="313"/>
        <v>24</v>
      </c>
      <c r="S1260" s="49">
        <f>S1259*0.25</f>
        <v>0</v>
      </c>
      <c r="T1260" s="49">
        <f>T1259*0.25</f>
        <v>0</v>
      </c>
      <c r="U1260" s="49">
        <f t="shared" ref="U1260:AA1260" si="314">MROUND(U1259*0.25,3)</f>
        <v>30</v>
      </c>
      <c r="V1260" s="49">
        <f t="shared" si="314"/>
        <v>24</v>
      </c>
      <c r="W1260" s="49">
        <f t="shared" si="314"/>
        <v>33</v>
      </c>
      <c r="X1260" s="49">
        <f t="shared" si="314"/>
        <v>33</v>
      </c>
      <c r="Y1260" s="49">
        <f t="shared" si="314"/>
        <v>36</v>
      </c>
      <c r="Z1260" s="49">
        <f t="shared" si="314"/>
        <v>36</v>
      </c>
      <c r="AA1260" s="49">
        <f t="shared" si="314"/>
        <v>33</v>
      </c>
      <c r="AB1260" s="49">
        <f>AB1259*0.25</f>
        <v>27</v>
      </c>
      <c r="AC1260" s="49">
        <f>AC1259*0.25</f>
        <v>0</v>
      </c>
      <c r="AD1260" s="53" t="e">
        <f>#REF!*D1260</f>
        <v>#REF!</v>
      </c>
      <c r="AE1260" s="53" t="e">
        <f>AD1260-#REF!</f>
        <v>#REF!</v>
      </c>
      <c r="AF1260" s="9"/>
      <c r="AG1260" s="33" t="e">
        <f>#REF!-D1260</f>
        <v>#REF!</v>
      </c>
    </row>
    <row r="1261" spans="1:37" s="12" customFormat="1" ht="20.399999999999999" outlineLevel="1" x14ac:dyDescent="0.2">
      <c r="A1261" s="62" t="s">
        <v>2532</v>
      </c>
      <c r="B1261" s="14" t="s">
        <v>112</v>
      </c>
      <c r="C1261" s="9" t="s">
        <v>47</v>
      </c>
      <c r="D1261" s="25">
        <f t="shared" si="308"/>
        <v>4646</v>
      </c>
      <c r="E1261" s="54"/>
      <c r="F1261" s="9"/>
      <c r="G1261" s="49">
        <f t="shared" ref="G1261:AC1261" si="315">G1259*2</f>
        <v>80</v>
      </c>
      <c r="H1261" s="49">
        <f t="shared" si="315"/>
        <v>460</v>
      </c>
      <c r="I1261" s="49">
        <f t="shared" si="315"/>
        <v>250</v>
      </c>
      <c r="J1261" s="49">
        <f t="shared" si="315"/>
        <v>290</v>
      </c>
      <c r="K1261" s="49">
        <f t="shared" si="315"/>
        <v>120</v>
      </c>
      <c r="L1261" s="49">
        <f t="shared" si="315"/>
        <v>290</v>
      </c>
      <c r="M1261" s="49">
        <f t="shared" si="315"/>
        <v>220</v>
      </c>
      <c r="N1261" s="49">
        <f t="shared" si="315"/>
        <v>200</v>
      </c>
      <c r="O1261" s="49">
        <f t="shared" si="315"/>
        <v>220</v>
      </c>
      <c r="P1261" s="49">
        <f t="shared" si="315"/>
        <v>290</v>
      </c>
      <c r="Q1261" s="49">
        <f t="shared" si="315"/>
        <v>0</v>
      </c>
      <c r="R1261" s="49">
        <f t="shared" si="315"/>
        <v>200</v>
      </c>
      <c r="S1261" s="49">
        <f t="shared" si="315"/>
        <v>0</v>
      </c>
      <c r="T1261" s="49">
        <f t="shared" si="315"/>
        <v>0</v>
      </c>
      <c r="U1261" s="49">
        <f t="shared" si="315"/>
        <v>230</v>
      </c>
      <c r="V1261" s="49">
        <f t="shared" si="315"/>
        <v>200</v>
      </c>
      <c r="W1261" s="49">
        <f t="shared" si="315"/>
        <v>260</v>
      </c>
      <c r="X1261" s="49">
        <f t="shared" si="315"/>
        <v>270</v>
      </c>
      <c r="Y1261" s="49">
        <f t="shared" si="315"/>
        <v>290</v>
      </c>
      <c r="Z1261" s="49">
        <f t="shared" si="315"/>
        <v>290</v>
      </c>
      <c r="AA1261" s="49">
        <f t="shared" si="315"/>
        <v>270</v>
      </c>
      <c r="AB1261" s="49">
        <f t="shared" si="315"/>
        <v>216</v>
      </c>
      <c r="AC1261" s="49">
        <f t="shared" si="315"/>
        <v>0</v>
      </c>
      <c r="AD1261" s="53" t="e">
        <f>#REF!*D1261</f>
        <v>#REF!</v>
      </c>
      <c r="AE1261" s="53" t="e">
        <f>AD1261-#REF!</f>
        <v>#REF!</v>
      </c>
      <c r="AF1261" s="9"/>
      <c r="AG1261" s="33" t="e">
        <f>#REF!-D1261</f>
        <v>#REF!</v>
      </c>
    </row>
    <row r="1262" spans="1:37" s="12" customFormat="1" ht="20.399999999999999" outlineLevel="1" x14ac:dyDescent="0.2">
      <c r="A1262" s="62" t="s">
        <v>2533</v>
      </c>
      <c r="B1262" s="14" t="s">
        <v>1032</v>
      </c>
      <c r="C1262" s="9" t="s">
        <v>47</v>
      </c>
      <c r="D1262" s="25">
        <f t="shared" si="308"/>
        <v>2323</v>
      </c>
      <c r="E1262" s="54"/>
      <c r="F1262" s="9"/>
      <c r="G1262" s="49">
        <f t="shared" ref="G1262:AC1262" si="316">G1259</f>
        <v>40</v>
      </c>
      <c r="H1262" s="49">
        <f t="shared" si="316"/>
        <v>230</v>
      </c>
      <c r="I1262" s="49">
        <f t="shared" si="316"/>
        <v>125</v>
      </c>
      <c r="J1262" s="49">
        <f t="shared" si="316"/>
        <v>145</v>
      </c>
      <c r="K1262" s="49">
        <f t="shared" si="316"/>
        <v>60</v>
      </c>
      <c r="L1262" s="49">
        <f t="shared" si="316"/>
        <v>145</v>
      </c>
      <c r="M1262" s="49">
        <f t="shared" si="316"/>
        <v>110</v>
      </c>
      <c r="N1262" s="49">
        <f t="shared" si="316"/>
        <v>100</v>
      </c>
      <c r="O1262" s="49">
        <f t="shared" si="316"/>
        <v>110</v>
      </c>
      <c r="P1262" s="49">
        <f t="shared" si="316"/>
        <v>145</v>
      </c>
      <c r="Q1262" s="49">
        <f t="shared" si="316"/>
        <v>0</v>
      </c>
      <c r="R1262" s="49">
        <f t="shared" si="316"/>
        <v>100</v>
      </c>
      <c r="S1262" s="49">
        <f t="shared" si="316"/>
        <v>0</v>
      </c>
      <c r="T1262" s="49">
        <f t="shared" si="316"/>
        <v>0</v>
      </c>
      <c r="U1262" s="49">
        <f t="shared" si="316"/>
        <v>115</v>
      </c>
      <c r="V1262" s="49">
        <f t="shared" si="316"/>
        <v>100</v>
      </c>
      <c r="W1262" s="49">
        <f t="shared" si="316"/>
        <v>130</v>
      </c>
      <c r="X1262" s="49">
        <f t="shared" si="316"/>
        <v>135</v>
      </c>
      <c r="Y1262" s="49">
        <f t="shared" si="316"/>
        <v>145</v>
      </c>
      <c r="Z1262" s="49">
        <f t="shared" si="316"/>
        <v>145</v>
      </c>
      <c r="AA1262" s="49">
        <f t="shared" si="316"/>
        <v>135</v>
      </c>
      <c r="AB1262" s="49">
        <f t="shared" si="316"/>
        <v>108</v>
      </c>
      <c r="AC1262" s="49">
        <f t="shared" si="316"/>
        <v>0</v>
      </c>
      <c r="AD1262" s="53" t="e">
        <f>#REF!*D1262</f>
        <v>#REF!</v>
      </c>
      <c r="AE1262" s="53" t="e">
        <f>AD1262-#REF!</f>
        <v>#REF!</v>
      </c>
      <c r="AF1262" s="9"/>
      <c r="AG1262" s="33" t="e">
        <f>#REF!-D1262</f>
        <v>#REF!</v>
      </c>
    </row>
    <row r="1263" spans="1:37" s="17" customFormat="1" ht="20.399999999999999" outlineLevel="1" x14ac:dyDescent="0.2">
      <c r="A1263" s="62" t="s">
        <v>2534</v>
      </c>
      <c r="B1263" s="14" t="s">
        <v>1033</v>
      </c>
      <c r="C1263" s="8" t="s">
        <v>48</v>
      </c>
      <c r="D1263" s="25">
        <f t="shared" si="308"/>
        <v>1163</v>
      </c>
      <c r="E1263" s="54"/>
      <c r="F1263" s="9"/>
      <c r="G1263" s="49">
        <f>G1259*0.5</f>
        <v>20</v>
      </c>
      <c r="H1263" s="49">
        <f t="shared" ref="H1263:R1263" si="317">MROUND(H1259*0.5,3)</f>
        <v>114</v>
      </c>
      <c r="I1263" s="49">
        <f t="shared" si="317"/>
        <v>63</v>
      </c>
      <c r="J1263" s="49">
        <f t="shared" si="317"/>
        <v>72</v>
      </c>
      <c r="K1263" s="49">
        <f t="shared" si="317"/>
        <v>30</v>
      </c>
      <c r="L1263" s="49">
        <f t="shared" si="317"/>
        <v>72</v>
      </c>
      <c r="M1263" s="49">
        <f t="shared" si="317"/>
        <v>54</v>
      </c>
      <c r="N1263" s="49">
        <f t="shared" si="317"/>
        <v>51</v>
      </c>
      <c r="O1263" s="49">
        <f t="shared" si="317"/>
        <v>54</v>
      </c>
      <c r="P1263" s="49">
        <f t="shared" si="317"/>
        <v>72</v>
      </c>
      <c r="Q1263" s="49">
        <f t="shared" si="317"/>
        <v>0</v>
      </c>
      <c r="R1263" s="49">
        <f t="shared" si="317"/>
        <v>51</v>
      </c>
      <c r="S1263" s="49">
        <f>S1259*0.5</f>
        <v>0</v>
      </c>
      <c r="T1263" s="49">
        <f>T1259*0.5</f>
        <v>0</v>
      </c>
      <c r="U1263" s="49">
        <f t="shared" ref="U1263:AA1263" si="318">MROUND(U1259*0.5,3)</f>
        <v>57</v>
      </c>
      <c r="V1263" s="49">
        <f t="shared" si="318"/>
        <v>51</v>
      </c>
      <c r="W1263" s="49">
        <f t="shared" si="318"/>
        <v>66</v>
      </c>
      <c r="X1263" s="49">
        <f t="shared" si="318"/>
        <v>69</v>
      </c>
      <c r="Y1263" s="49">
        <f t="shared" si="318"/>
        <v>72</v>
      </c>
      <c r="Z1263" s="49">
        <f t="shared" si="318"/>
        <v>72</v>
      </c>
      <c r="AA1263" s="49">
        <f t="shared" si="318"/>
        <v>69</v>
      </c>
      <c r="AB1263" s="49">
        <f>AB1259*0.5</f>
        <v>54</v>
      </c>
      <c r="AC1263" s="49">
        <f>AC1259*0.5</f>
        <v>0</v>
      </c>
      <c r="AD1263" s="53" t="e">
        <f>#REF!*D1263</f>
        <v>#REF!</v>
      </c>
      <c r="AE1263" s="53" t="e">
        <f>AD1263-#REF!</f>
        <v>#REF!</v>
      </c>
      <c r="AF1263" s="8"/>
      <c r="AG1263" s="33" t="e">
        <f>#REF!-D1263</f>
        <v>#REF!</v>
      </c>
      <c r="AH1263" s="8"/>
      <c r="AI1263" s="8"/>
      <c r="AJ1263" s="8"/>
      <c r="AK1263" s="8"/>
    </row>
    <row r="1264" spans="1:37" s="17" customFormat="1" ht="20.399999999999999" outlineLevel="1" x14ac:dyDescent="0.2">
      <c r="A1264" s="62" t="s">
        <v>2544</v>
      </c>
      <c r="B1264" s="14" t="s">
        <v>2794</v>
      </c>
      <c r="C1264" s="21" t="s">
        <v>47</v>
      </c>
      <c r="D1264" s="25">
        <f t="shared" si="308"/>
        <v>1161.5</v>
      </c>
      <c r="E1264" s="54"/>
      <c r="F1264" s="9"/>
      <c r="G1264" s="49">
        <f t="shared" ref="G1264:AC1264" si="319">G1259*0.5</f>
        <v>20</v>
      </c>
      <c r="H1264" s="49">
        <f t="shared" si="319"/>
        <v>115</v>
      </c>
      <c r="I1264" s="49">
        <f t="shared" si="319"/>
        <v>62.5</v>
      </c>
      <c r="J1264" s="49">
        <f t="shared" si="319"/>
        <v>72.5</v>
      </c>
      <c r="K1264" s="49">
        <f t="shared" si="319"/>
        <v>30</v>
      </c>
      <c r="L1264" s="49">
        <f t="shared" si="319"/>
        <v>72.5</v>
      </c>
      <c r="M1264" s="49">
        <f t="shared" si="319"/>
        <v>55</v>
      </c>
      <c r="N1264" s="49">
        <f t="shared" si="319"/>
        <v>50</v>
      </c>
      <c r="O1264" s="49">
        <f t="shared" si="319"/>
        <v>55</v>
      </c>
      <c r="P1264" s="49">
        <f t="shared" si="319"/>
        <v>72.5</v>
      </c>
      <c r="Q1264" s="49">
        <f t="shared" si="319"/>
        <v>0</v>
      </c>
      <c r="R1264" s="49">
        <f t="shared" si="319"/>
        <v>50</v>
      </c>
      <c r="S1264" s="49">
        <f t="shared" si="319"/>
        <v>0</v>
      </c>
      <c r="T1264" s="49">
        <f t="shared" si="319"/>
        <v>0</v>
      </c>
      <c r="U1264" s="49">
        <f t="shared" si="319"/>
        <v>57.5</v>
      </c>
      <c r="V1264" s="49">
        <f t="shared" si="319"/>
        <v>50</v>
      </c>
      <c r="W1264" s="49">
        <f t="shared" si="319"/>
        <v>65</v>
      </c>
      <c r="X1264" s="49">
        <f t="shared" si="319"/>
        <v>67.5</v>
      </c>
      <c r="Y1264" s="49">
        <f t="shared" si="319"/>
        <v>72.5</v>
      </c>
      <c r="Z1264" s="49">
        <f t="shared" si="319"/>
        <v>72.5</v>
      </c>
      <c r="AA1264" s="49">
        <f t="shared" si="319"/>
        <v>67.5</v>
      </c>
      <c r="AB1264" s="49">
        <f t="shared" si="319"/>
        <v>54</v>
      </c>
      <c r="AC1264" s="49">
        <f t="shared" si="319"/>
        <v>0</v>
      </c>
      <c r="AD1264" s="53" t="e">
        <f>#REF!*D1264</f>
        <v>#REF!</v>
      </c>
      <c r="AE1264" s="53" t="e">
        <f>AD1264-#REF!</f>
        <v>#REF!</v>
      </c>
      <c r="AF1264" s="21"/>
      <c r="AG1264" s="33" t="e">
        <f>#REF!-D1264</f>
        <v>#REF!</v>
      </c>
      <c r="AH1264" s="21"/>
      <c r="AI1264" s="21"/>
      <c r="AJ1264" s="21"/>
      <c r="AK1264" s="21"/>
    </row>
    <row r="1265" spans="1:37" outlineLevel="1" x14ac:dyDescent="0.25">
      <c r="E1265" s="54"/>
      <c r="G1265" s="9"/>
      <c r="H1265" s="76"/>
      <c r="I1265" s="76"/>
      <c r="J1265" s="76"/>
      <c r="K1265" s="76"/>
      <c r="L1265" s="76"/>
      <c r="M1265" s="76"/>
      <c r="N1265" s="76"/>
      <c r="O1265" s="76"/>
      <c r="P1265" s="76"/>
      <c r="Q1265" s="76"/>
      <c r="R1265" s="76"/>
      <c r="S1265" s="76"/>
      <c r="T1265" s="76"/>
      <c r="U1265" s="76"/>
      <c r="V1265" s="76"/>
      <c r="W1265" s="76"/>
      <c r="X1265" s="76"/>
      <c r="Y1265" s="76"/>
      <c r="Z1265" s="76"/>
      <c r="AA1265" s="76"/>
      <c r="AB1265" s="76"/>
      <c r="AC1265" s="76"/>
      <c r="AD1265" s="53" t="e">
        <f>#REF!*D1265</f>
        <v>#REF!</v>
      </c>
      <c r="AE1265" s="53" t="e">
        <f>AD1265-#REF!</f>
        <v>#REF!</v>
      </c>
      <c r="AG1265" s="33" t="e">
        <f>#REF!-D1265</f>
        <v>#REF!</v>
      </c>
      <c r="AH1265" s="2"/>
      <c r="AI1265" s="2"/>
      <c r="AJ1265" s="2"/>
      <c r="AK1265" s="2"/>
    </row>
    <row r="1266" spans="1:37" x14ac:dyDescent="0.25">
      <c r="A1266" s="18" t="s">
        <v>1327</v>
      </c>
      <c r="B1266" s="35" t="s">
        <v>2378</v>
      </c>
      <c r="C1266" s="18" t="s">
        <v>41</v>
      </c>
      <c r="D1266" s="52" t="e">
        <f>#REF!/#REF!*100</f>
        <v>#REF!</v>
      </c>
      <c r="G1266" s="9"/>
      <c r="H1266" s="76"/>
      <c r="I1266" s="76"/>
      <c r="J1266" s="76"/>
      <c r="K1266" s="76"/>
      <c r="L1266" s="76"/>
      <c r="M1266" s="76"/>
      <c r="N1266" s="76"/>
      <c r="O1266" s="76"/>
      <c r="P1266" s="76"/>
      <c r="Q1266" s="76"/>
      <c r="R1266" s="76"/>
      <c r="S1266" s="76"/>
      <c r="T1266" s="76"/>
      <c r="U1266" s="76"/>
      <c r="V1266" s="76"/>
      <c r="W1266" s="76"/>
      <c r="X1266" s="76"/>
      <c r="Y1266" s="76"/>
      <c r="Z1266" s="76"/>
      <c r="AA1266" s="76"/>
      <c r="AB1266" s="214" t="s">
        <v>375</v>
      </c>
      <c r="AC1266" s="76"/>
      <c r="AD1266" s="53" t="e">
        <f>#REF!*D1266</f>
        <v>#REF!</v>
      </c>
      <c r="AE1266" s="53" t="e">
        <f>AD1266-#REF!</f>
        <v>#REF!</v>
      </c>
      <c r="AG1266" s="33" t="e">
        <f>#REF!-D1266</f>
        <v>#REF!</v>
      </c>
      <c r="AH1266" s="2"/>
      <c r="AI1266" s="2"/>
      <c r="AJ1266" s="2"/>
      <c r="AK1266" s="2"/>
    </row>
    <row r="1267" spans="1:37" s="16" customFormat="1" ht="20.399999999999999" outlineLevel="1" x14ac:dyDescent="0.2">
      <c r="A1267" s="62" t="s">
        <v>1500</v>
      </c>
      <c r="B1267" s="80" t="s">
        <v>1366</v>
      </c>
      <c r="C1267" s="9" t="s">
        <v>48</v>
      </c>
      <c r="D1267" s="25">
        <f t="shared" ref="D1267:D1298" si="320">SUM(G1267:AC1267)</f>
        <v>710</v>
      </c>
      <c r="E1267" s="54"/>
      <c r="F1267" s="9"/>
      <c r="G1267" s="9">
        <v>0</v>
      </c>
      <c r="H1267" s="9">
        <f>99-28</f>
        <v>71</v>
      </c>
      <c r="I1267" s="9">
        <v>36</v>
      </c>
      <c r="J1267" s="9">
        <v>48</v>
      </c>
      <c r="K1267" s="9">
        <v>0</v>
      </c>
      <c r="L1267" s="9">
        <v>45</v>
      </c>
      <c r="M1267" s="9">
        <v>36</v>
      </c>
      <c r="N1267" s="9">
        <v>36</v>
      </c>
      <c r="O1267" s="9">
        <v>45</v>
      </c>
      <c r="P1267" s="9">
        <v>60</v>
      </c>
      <c r="Q1267" s="9">
        <v>0</v>
      </c>
      <c r="R1267" s="9">
        <v>0</v>
      </c>
      <c r="S1267" s="9">
        <v>0</v>
      </c>
      <c r="T1267" s="9">
        <v>0</v>
      </c>
      <c r="U1267" s="9">
        <v>0</v>
      </c>
      <c r="V1267" s="9">
        <v>84</v>
      </c>
      <c r="W1267" s="9">
        <v>9</v>
      </c>
      <c r="X1267" s="9">
        <v>48</v>
      </c>
      <c r="Y1267" s="9">
        <v>93</v>
      </c>
      <c r="Z1267" s="9">
        <v>48</v>
      </c>
      <c r="AA1267" s="9">
        <v>51</v>
      </c>
      <c r="AB1267" s="9">
        <v>0</v>
      </c>
      <c r="AC1267" s="9">
        <v>0</v>
      </c>
      <c r="AD1267" s="53" t="e">
        <f>#REF!*D1267</f>
        <v>#REF!</v>
      </c>
      <c r="AE1267" s="53" t="e">
        <f>AD1267-#REF!</f>
        <v>#REF!</v>
      </c>
      <c r="AF1267" s="9"/>
      <c r="AG1267" s="33" t="e">
        <f>#REF!-D1267</f>
        <v>#REF!</v>
      </c>
    </row>
    <row r="1268" spans="1:37" s="16" customFormat="1" ht="20.399999999999999" outlineLevel="1" x14ac:dyDescent="0.2">
      <c r="A1268" s="62" t="s">
        <v>1562</v>
      </c>
      <c r="B1268" s="80" t="s">
        <v>1473</v>
      </c>
      <c r="C1268" s="9" t="s">
        <v>48</v>
      </c>
      <c r="D1268" s="25">
        <f t="shared" si="320"/>
        <v>463</v>
      </c>
      <c r="E1268" s="54"/>
      <c r="F1268" s="78"/>
      <c r="G1268" s="9">
        <v>0</v>
      </c>
      <c r="H1268" s="9">
        <f>96-26</f>
        <v>70</v>
      </c>
      <c r="I1268" s="9">
        <v>18</v>
      </c>
      <c r="J1268" s="9">
        <v>18</v>
      </c>
      <c r="K1268" s="9">
        <v>0</v>
      </c>
      <c r="L1268" s="9">
        <v>69</v>
      </c>
      <c r="M1268" s="9">
        <v>0</v>
      </c>
      <c r="N1268" s="9">
        <v>0</v>
      </c>
      <c r="O1268" s="9">
        <v>0</v>
      </c>
      <c r="P1268" s="9">
        <v>18</v>
      </c>
      <c r="Q1268" s="9">
        <v>0</v>
      </c>
      <c r="R1268" s="9">
        <v>0</v>
      </c>
      <c r="S1268" s="9">
        <v>0</v>
      </c>
      <c r="T1268" s="9">
        <v>60</v>
      </c>
      <c r="U1268" s="9">
        <v>0</v>
      </c>
      <c r="V1268" s="9">
        <v>51</v>
      </c>
      <c r="W1268" s="9">
        <v>54</v>
      </c>
      <c r="X1268" s="9">
        <v>12</v>
      </c>
      <c r="Y1268" s="9">
        <v>30</v>
      </c>
      <c r="Z1268" s="9">
        <v>27</v>
      </c>
      <c r="AA1268" s="9">
        <v>18</v>
      </c>
      <c r="AB1268" s="9">
        <v>18</v>
      </c>
      <c r="AC1268" s="9">
        <v>0</v>
      </c>
      <c r="AD1268" s="53" t="e">
        <f>#REF!*D1268</f>
        <v>#REF!</v>
      </c>
      <c r="AE1268" s="53" t="e">
        <f>AD1268-#REF!</f>
        <v>#REF!</v>
      </c>
      <c r="AF1268" s="9"/>
      <c r="AG1268" s="33" t="e">
        <f>#REF!-D1268</f>
        <v>#REF!</v>
      </c>
    </row>
    <row r="1269" spans="1:37" s="16" customFormat="1" ht="20.399999999999999" outlineLevel="1" x14ac:dyDescent="0.2">
      <c r="A1269" s="62" t="s">
        <v>1563</v>
      </c>
      <c r="B1269" s="80" t="s">
        <v>1474</v>
      </c>
      <c r="C1269" s="9" t="s">
        <v>48</v>
      </c>
      <c r="D1269" s="25">
        <f t="shared" si="320"/>
        <v>639</v>
      </c>
      <c r="E1269" s="54"/>
      <c r="F1269" s="78"/>
      <c r="G1269" s="9">
        <v>0</v>
      </c>
      <c r="H1269" s="9">
        <f>30-9</f>
        <v>21</v>
      </c>
      <c r="I1269" s="9">
        <v>51</v>
      </c>
      <c r="J1269" s="9">
        <v>51</v>
      </c>
      <c r="K1269" s="9">
        <v>0</v>
      </c>
      <c r="L1269" s="9">
        <f>81</f>
        <v>81</v>
      </c>
      <c r="M1269" s="9">
        <v>75</v>
      </c>
      <c r="N1269" s="9">
        <v>75</v>
      </c>
      <c r="O1269" s="9">
        <v>75</v>
      </c>
      <c r="P1269" s="9">
        <v>84</v>
      </c>
      <c r="Q1269" s="9">
        <v>0</v>
      </c>
      <c r="R1269" s="9">
        <v>0</v>
      </c>
      <c r="S1269" s="9">
        <v>0</v>
      </c>
      <c r="T1269" s="9">
        <v>6</v>
      </c>
      <c r="U1269" s="9">
        <v>0</v>
      </c>
      <c r="V1269" s="9">
        <v>0</v>
      </c>
      <c r="W1269" s="9">
        <v>24</v>
      </c>
      <c r="X1269" s="9">
        <v>24</v>
      </c>
      <c r="Y1269" s="9">
        <v>24</v>
      </c>
      <c r="Z1269" s="9">
        <v>24</v>
      </c>
      <c r="AA1269" s="9">
        <v>24</v>
      </c>
      <c r="AB1269" s="9">
        <v>0</v>
      </c>
      <c r="AC1269" s="9">
        <v>0</v>
      </c>
      <c r="AD1269" s="53" t="e">
        <f>#REF!*D1269</f>
        <v>#REF!</v>
      </c>
      <c r="AE1269" s="53" t="e">
        <f>AD1269-#REF!</f>
        <v>#REF!</v>
      </c>
      <c r="AF1269" s="9"/>
      <c r="AG1269" s="33" t="e">
        <f>#REF!-D1269</f>
        <v>#REF!</v>
      </c>
    </row>
    <row r="1270" spans="1:37" s="16" customFormat="1" ht="20.399999999999999" outlineLevel="1" x14ac:dyDescent="0.2">
      <c r="A1270" s="62" t="s">
        <v>1564</v>
      </c>
      <c r="B1270" s="80" t="s">
        <v>1475</v>
      </c>
      <c r="C1270" s="9" t="s">
        <v>48</v>
      </c>
      <c r="D1270" s="25">
        <f t="shared" si="320"/>
        <v>123</v>
      </c>
      <c r="E1270" s="54"/>
      <c r="F1270" s="78"/>
      <c r="G1270" s="9">
        <v>0</v>
      </c>
      <c r="H1270" s="9">
        <v>36</v>
      </c>
      <c r="I1270" s="9">
        <v>0</v>
      </c>
      <c r="J1270" s="9">
        <v>0</v>
      </c>
      <c r="K1270" s="9">
        <v>0</v>
      </c>
      <c r="L1270" s="9">
        <v>0</v>
      </c>
      <c r="M1270" s="9">
        <v>0</v>
      </c>
      <c r="N1270" s="9">
        <v>0</v>
      </c>
      <c r="O1270" s="9">
        <v>0</v>
      </c>
      <c r="P1270" s="9">
        <v>0</v>
      </c>
      <c r="Q1270" s="9">
        <v>0</v>
      </c>
      <c r="R1270" s="9">
        <v>0</v>
      </c>
      <c r="S1270" s="9">
        <v>0</v>
      </c>
      <c r="T1270" s="9">
        <v>33</v>
      </c>
      <c r="U1270" s="9">
        <v>0</v>
      </c>
      <c r="V1270" s="9">
        <v>0</v>
      </c>
      <c r="W1270" s="9">
        <v>54</v>
      </c>
      <c r="X1270" s="9">
        <v>0</v>
      </c>
      <c r="Y1270" s="9">
        <v>0</v>
      </c>
      <c r="Z1270" s="9">
        <v>0</v>
      </c>
      <c r="AA1270" s="9">
        <v>0</v>
      </c>
      <c r="AB1270" s="9">
        <v>0</v>
      </c>
      <c r="AC1270" s="9">
        <v>0</v>
      </c>
      <c r="AD1270" s="53" t="e">
        <f>#REF!*D1270</f>
        <v>#REF!</v>
      </c>
      <c r="AE1270" s="53" t="e">
        <f>AD1270-#REF!</f>
        <v>#REF!</v>
      </c>
      <c r="AF1270" s="9"/>
      <c r="AG1270" s="33" t="e">
        <f>#REF!-D1270</f>
        <v>#REF!</v>
      </c>
    </row>
    <row r="1271" spans="1:37" s="16" customFormat="1" ht="20.399999999999999" outlineLevel="1" x14ac:dyDescent="0.2">
      <c r="A1271" s="62" t="s">
        <v>1565</v>
      </c>
      <c r="B1271" s="80" t="s">
        <v>1476</v>
      </c>
      <c r="C1271" s="9" t="s">
        <v>48</v>
      </c>
      <c r="D1271" s="25">
        <f t="shared" si="320"/>
        <v>30</v>
      </c>
      <c r="E1271" s="54"/>
      <c r="F1271" s="78"/>
      <c r="G1271" s="9">
        <v>0</v>
      </c>
      <c r="H1271" s="9">
        <v>0</v>
      </c>
      <c r="I1271" s="9">
        <v>0</v>
      </c>
      <c r="J1271" s="9">
        <v>0</v>
      </c>
      <c r="K1271" s="9">
        <v>0</v>
      </c>
      <c r="L1271" s="9">
        <v>0</v>
      </c>
      <c r="M1271" s="9">
        <v>0</v>
      </c>
      <c r="N1271" s="9">
        <v>0</v>
      </c>
      <c r="O1271" s="9">
        <v>0</v>
      </c>
      <c r="P1271" s="9">
        <v>0</v>
      </c>
      <c r="Q1271" s="9">
        <v>0</v>
      </c>
      <c r="R1271" s="9">
        <v>0</v>
      </c>
      <c r="S1271" s="9">
        <v>0</v>
      </c>
      <c r="T1271" s="9">
        <v>12</v>
      </c>
      <c r="U1271" s="9">
        <v>0</v>
      </c>
      <c r="V1271" s="9">
        <v>0</v>
      </c>
      <c r="W1271" s="9">
        <v>0</v>
      </c>
      <c r="X1271" s="9">
        <v>0</v>
      </c>
      <c r="Y1271" s="9">
        <v>0</v>
      </c>
      <c r="Z1271" s="9">
        <v>0</v>
      </c>
      <c r="AA1271" s="9">
        <v>0</v>
      </c>
      <c r="AB1271" s="9">
        <v>18</v>
      </c>
      <c r="AC1271" s="9">
        <v>0</v>
      </c>
      <c r="AD1271" s="53" t="e">
        <f>#REF!*D1271</f>
        <v>#REF!</v>
      </c>
      <c r="AE1271" s="53" t="e">
        <f>AD1271-#REF!</f>
        <v>#REF!</v>
      </c>
      <c r="AF1271" s="9"/>
      <c r="AG1271" s="33" t="e">
        <f>#REF!-D1271</f>
        <v>#REF!</v>
      </c>
    </row>
    <row r="1272" spans="1:37" s="16" customFormat="1" ht="20.399999999999999" outlineLevel="1" x14ac:dyDescent="0.2">
      <c r="A1272" s="62" t="s">
        <v>1566</v>
      </c>
      <c r="B1272" s="80" t="s">
        <v>1524</v>
      </c>
      <c r="C1272" s="9" t="s">
        <v>48</v>
      </c>
      <c r="D1272" s="25">
        <f t="shared" si="320"/>
        <v>3</v>
      </c>
      <c r="E1272" s="54"/>
      <c r="F1272" s="78"/>
      <c r="G1272" s="9">
        <v>0</v>
      </c>
      <c r="H1272" s="9">
        <v>0</v>
      </c>
      <c r="I1272" s="9">
        <v>0</v>
      </c>
      <c r="J1272" s="9">
        <v>0</v>
      </c>
      <c r="K1272" s="9">
        <v>0</v>
      </c>
      <c r="L1272" s="9">
        <v>0</v>
      </c>
      <c r="M1272" s="9">
        <v>0</v>
      </c>
      <c r="N1272" s="9">
        <v>0</v>
      </c>
      <c r="O1272" s="9">
        <v>0</v>
      </c>
      <c r="P1272" s="9">
        <v>0</v>
      </c>
      <c r="Q1272" s="9">
        <v>0</v>
      </c>
      <c r="R1272" s="9">
        <v>0</v>
      </c>
      <c r="S1272" s="9">
        <v>0</v>
      </c>
      <c r="T1272" s="9">
        <v>3</v>
      </c>
      <c r="U1272" s="9">
        <v>0</v>
      </c>
      <c r="V1272" s="9">
        <v>0</v>
      </c>
      <c r="W1272" s="9">
        <v>0</v>
      </c>
      <c r="X1272" s="9">
        <v>0</v>
      </c>
      <c r="Y1272" s="9">
        <v>0</v>
      </c>
      <c r="Z1272" s="9">
        <v>0</v>
      </c>
      <c r="AA1272" s="9">
        <v>0</v>
      </c>
      <c r="AB1272" s="9">
        <v>0</v>
      </c>
      <c r="AC1272" s="9">
        <v>0</v>
      </c>
      <c r="AD1272" s="53" t="e">
        <f>#REF!*D1272</f>
        <v>#REF!</v>
      </c>
      <c r="AE1272" s="53" t="e">
        <f>AD1272-#REF!</f>
        <v>#REF!</v>
      </c>
      <c r="AF1272" s="9"/>
      <c r="AG1272" s="33" t="e">
        <f>#REF!-D1272</f>
        <v>#REF!</v>
      </c>
    </row>
    <row r="1273" spans="1:37" s="16" customFormat="1" ht="11.4" outlineLevel="1" x14ac:dyDescent="0.2">
      <c r="A1273" s="62" t="s">
        <v>1567</v>
      </c>
      <c r="B1273" s="80" t="s">
        <v>1367</v>
      </c>
      <c r="C1273" s="9" t="s">
        <v>47</v>
      </c>
      <c r="D1273" s="25">
        <f t="shared" si="320"/>
        <v>236.66666666666669</v>
      </c>
      <c r="E1273" s="54"/>
      <c r="F1273" s="9"/>
      <c r="G1273" s="49">
        <f t="shared" ref="G1273:AC1273" si="321">G1267/3</f>
        <v>0</v>
      </c>
      <c r="H1273" s="88">
        <f t="shared" si="321"/>
        <v>23.666666666666668</v>
      </c>
      <c r="I1273" s="49">
        <f t="shared" si="321"/>
        <v>12</v>
      </c>
      <c r="J1273" s="49">
        <f t="shared" si="321"/>
        <v>16</v>
      </c>
      <c r="K1273" s="49">
        <f t="shared" si="321"/>
        <v>0</v>
      </c>
      <c r="L1273" s="49">
        <f t="shared" si="321"/>
        <v>15</v>
      </c>
      <c r="M1273" s="49">
        <f t="shared" si="321"/>
        <v>12</v>
      </c>
      <c r="N1273" s="49">
        <f t="shared" si="321"/>
        <v>12</v>
      </c>
      <c r="O1273" s="49">
        <f t="shared" si="321"/>
        <v>15</v>
      </c>
      <c r="P1273" s="49">
        <f t="shared" si="321"/>
        <v>20</v>
      </c>
      <c r="Q1273" s="49">
        <f t="shared" si="321"/>
        <v>0</v>
      </c>
      <c r="R1273" s="49">
        <f t="shared" si="321"/>
        <v>0</v>
      </c>
      <c r="S1273" s="49">
        <f t="shared" si="321"/>
        <v>0</v>
      </c>
      <c r="T1273" s="49">
        <f t="shared" si="321"/>
        <v>0</v>
      </c>
      <c r="U1273" s="88">
        <f t="shared" si="321"/>
        <v>0</v>
      </c>
      <c r="V1273" s="49">
        <f t="shared" si="321"/>
        <v>28</v>
      </c>
      <c r="W1273" s="49">
        <f t="shared" si="321"/>
        <v>3</v>
      </c>
      <c r="X1273" s="49">
        <f t="shared" si="321"/>
        <v>16</v>
      </c>
      <c r="Y1273" s="49">
        <f t="shared" si="321"/>
        <v>31</v>
      </c>
      <c r="Z1273" s="49">
        <f t="shared" si="321"/>
        <v>16</v>
      </c>
      <c r="AA1273" s="49">
        <f t="shared" si="321"/>
        <v>17</v>
      </c>
      <c r="AB1273" s="49">
        <f t="shared" si="321"/>
        <v>0</v>
      </c>
      <c r="AC1273" s="49">
        <f t="shared" si="321"/>
        <v>0</v>
      </c>
      <c r="AD1273" s="53" t="e">
        <f>#REF!*D1273</f>
        <v>#REF!</v>
      </c>
      <c r="AE1273" s="53" t="e">
        <f>AD1273-#REF!</f>
        <v>#REF!</v>
      </c>
      <c r="AF1273" s="9"/>
      <c r="AG1273" s="33" t="e">
        <f>#REF!-D1273</f>
        <v>#REF!</v>
      </c>
    </row>
    <row r="1274" spans="1:37" s="16" customFormat="1" ht="11.4" outlineLevel="1" x14ac:dyDescent="0.2">
      <c r="A1274" s="62" t="s">
        <v>1568</v>
      </c>
      <c r="B1274" s="80" t="s">
        <v>1477</v>
      </c>
      <c r="C1274" s="9" t="s">
        <v>47</v>
      </c>
      <c r="D1274" s="25">
        <f t="shared" si="320"/>
        <v>154.33333333333331</v>
      </c>
      <c r="E1274" s="54"/>
      <c r="F1274" s="9"/>
      <c r="G1274" s="49">
        <f t="shared" ref="G1274:AC1274" si="322">G1268/3</f>
        <v>0</v>
      </c>
      <c r="H1274" s="88">
        <f t="shared" si="322"/>
        <v>23.333333333333332</v>
      </c>
      <c r="I1274" s="49">
        <f t="shared" si="322"/>
        <v>6</v>
      </c>
      <c r="J1274" s="49">
        <f t="shared" si="322"/>
        <v>6</v>
      </c>
      <c r="K1274" s="49">
        <f t="shared" si="322"/>
        <v>0</v>
      </c>
      <c r="L1274" s="49">
        <f t="shared" si="322"/>
        <v>23</v>
      </c>
      <c r="M1274" s="49">
        <f t="shared" si="322"/>
        <v>0</v>
      </c>
      <c r="N1274" s="49">
        <f t="shared" si="322"/>
        <v>0</v>
      </c>
      <c r="O1274" s="49">
        <f t="shared" si="322"/>
        <v>0</v>
      </c>
      <c r="P1274" s="49">
        <f t="shared" si="322"/>
        <v>6</v>
      </c>
      <c r="Q1274" s="49">
        <f t="shared" si="322"/>
        <v>0</v>
      </c>
      <c r="R1274" s="49">
        <f t="shared" si="322"/>
        <v>0</v>
      </c>
      <c r="S1274" s="49">
        <f t="shared" si="322"/>
        <v>0</v>
      </c>
      <c r="T1274" s="49">
        <f t="shared" si="322"/>
        <v>20</v>
      </c>
      <c r="U1274" s="88">
        <f t="shared" si="322"/>
        <v>0</v>
      </c>
      <c r="V1274" s="49">
        <f t="shared" si="322"/>
        <v>17</v>
      </c>
      <c r="W1274" s="49">
        <f t="shared" si="322"/>
        <v>18</v>
      </c>
      <c r="X1274" s="49">
        <f t="shared" si="322"/>
        <v>4</v>
      </c>
      <c r="Y1274" s="49">
        <f t="shared" si="322"/>
        <v>10</v>
      </c>
      <c r="Z1274" s="49">
        <f t="shared" si="322"/>
        <v>9</v>
      </c>
      <c r="AA1274" s="49">
        <f t="shared" si="322"/>
        <v>6</v>
      </c>
      <c r="AB1274" s="49">
        <f t="shared" si="322"/>
        <v>6</v>
      </c>
      <c r="AC1274" s="49">
        <f t="shared" si="322"/>
        <v>0</v>
      </c>
      <c r="AD1274" s="53" t="e">
        <f>#REF!*D1274</f>
        <v>#REF!</v>
      </c>
      <c r="AE1274" s="53" t="e">
        <f>AD1274-#REF!</f>
        <v>#REF!</v>
      </c>
      <c r="AF1274" s="9"/>
      <c r="AG1274" s="33" t="e">
        <f>#REF!-D1274</f>
        <v>#REF!</v>
      </c>
    </row>
    <row r="1275" spans="1:37" s="16" customFormat="1" ht="11.4" outlineLevel="1" x14ac:dyDescent="0.2">
      <c r="A1275" s="62" t="s">
        <v>1569</v>
      </c>
      <c r="B1275" s="80" t="s">
        <v>1478</v>
      </c>
      <c r="C1275" s="9" t="s">
        <v>47</v>
      </c>
      <c r="D1275" s="25">
        <f t="shared" si="320"/>
        <v>213</v>
      </c>
      <c r="E1275" s="54"/>
      <c r="F1275" s="9"/>
      <c r="G1275" s="49">
        <f t="shared" ref="G1275:AC1275" si="323">G1269/3</f>
        <v>0</v>
      </c>
      <c r="H1275" s="49">
        <f t="shared" si="323"/>
        <v>7</v>
      </c>
      <c r="I1275" s="49">
        <f t="shared" si="323"/>
        <v>17</v>
      </c>
      <c r="J1275" s="49">
        <f t="shared" si="323"/>
        <v>17</v>
      </c>
      <c r="K1275" s="49">
        <f t="shared" si="323"/>
        <v>0</v>
      </c>
      <c r="L1275" s="49">
        <f t="shared" si="323"/>
        <v>27</v>
      </c>
      <c r="M1275" s="49">
        <f t="shared" si="323"/>
        <v>25</v>
      </c>
      <c r="N1275" s="49">
        <f t="shared" si="323"/>
        <v>25</v>
      </c>
      <c r="O1275" s="49">
        <f t="shared" si="323"/>
        <v>25</v>
      </c>
      <c r="P1275" s="49">
        <f t="shared" si="323"/>
        <v>28</v>
      </c>
      <c r="Q1275" s="49">
        <f t="shared" si="323"/>
        <v>0</v>
      </c>
      <c r="R1275" s="49">
        <f t="shared" si="323"/>
        <v>0</v>
      </c>
      <c r="S1275" s="49">
        <f t="shared" si="323"/>
        <v>0</v>
      </c>
      <c r="T1275" s="49">
        <f t="shared" si="323"/>
        <v>2</v>
      </c>
      <c r="U1275" s="49">
        <f t="shared" si="323"/>
        <v>0</v>
      </c>
      <c r="V1275" s="49">
        <f t="shared" si="323"/>
        <v>0</v>
      </c>
      <c r="W1275" s="49">
        <f t="shared" si="323"/>
        <v>8</v>
      </c>
      <c r="X1275" s="49">
        <f t="shared" si="323"/>
        <v>8</v>
      </c>
      <c r="Y1275" s="49">
        <f t="shared" si="323"/>
        <v>8</v>
      </c>
      <c r="Z1275" s="49">
        <f t="shared" si="323"/>
        <v>8</v>
      </c>
      <c r="AA1275" s="49">
        <f t="shared" si="323"/>
        <v>8</v>
      </c>
      <c r="AB1275" s="49">
        <f t="shared" si="323"/>
        <v>0</v>
      </c>
      <c r="AC1275" s="49">
        <f t="shared" si="323"/>
        <v>0</v>
      </c>
      <c r="AD1275" s="53" t="e">
        <f>#REF!*D1275</f>
        <v>#REF!</v>
      </c>
      <c r="AE1275" s="53" t="e">
        <f>AD1275-#REF!</f>
        <v>#REF!</v>
      </c>
      <c r="AF1275" s="9"/>
      <c r="AG1275" s="33" t="e">
        <f>#REF!-D1275</f>
        <v>#REF!</v>
      </c>
    </row>
    <row r="1276" spans="1:37" s="16" customFormat="1" ht="11.4" outlineLevel="1" x14ac:dyDescent="0.2">
      <c r="A1276" s="62" t="s">
        <v>1570</v>
      </c>
      <c r="B1276" s="80" t="s">
        <v>1479</v>
      </c>
      <c r="C1276" s="9" t="s">
        <v>47</v>
      </c>
      <c r="D1276" s="25">
        <f t="shared" si="320"/>
        <v>41</v>
      </c>
      <c r="E1276" s="54"/>
      <c r="F1276" s="9"/>
      <c r="G1276" s="49">
        <f t="shared" ref="G1276:AC1276" si="324">G1270/3</f>
        <v>0</v>
      </c>
      <c r="H1276" s="49">
        <f t="shared" si="324"/>
        <v>12</v>
      </c>
      <c r="I1276" s="49">
        <f t="shared" si="324"/>
        <v>0</v>
      </c>
      <c r="J1276" s="49">
        <f t="shared" si="324"/>
        <v>0</v>
      </c>
      <c r="K1276" s="49">
        <f t="shared" si="324"/>
        <v>0</v>
      </c>
      <c r="L1276" s="49">
        <f t="shared" si="324"/>
        <v>0</v>
      </c>
      <c r="M1276" s="49">
        <f t="shared" si="324"/>
        <v>0</v>
      </c>
      <c r="N1276" s="49">
        <f t="shared" si="324"/>
        <v>0</v>
      </c>
      <c r="O1276" s="49">
        <f t="shared" si="324"/>
        <v>0</v>
      </c>
      <c r="P1276" s="49">
        <f t="shared" si="324"/>
        <v>0</v>
      </c>
      <c r="Q1276" s="49">
        <f t="shared" si="324"/>
        <v>0</v>
      </c>
      <c r="R1276" s="49">
        <f t="shared" si="324"/>
        <v>0</v>
      </c>
      <c r="S1276" s="49">
        <f t="shared" si="324"/>
        <v>0</v>
      </c>
      <c r="T1276" s="49">
        <f t="shared" si="324"/>
        <v>11</v>
      </c>
      <c r="U1276" s="49">
        <f t="shared" si="324"/>
        <v>0</v>
      </c>
      <c r="V1276" s="49">
        <f t="shared" si="324"/>
        <v>0</v>
      </c>
      <c r="W1276" s="49">
        <f t="shared" si="324"/>
        <v>18</v>
      </c>
      <c r="X1276" s="49">
        <f t="shared" si="324"/>
        <v>0</v>
      </c>
      <c r="Y1276" s="49">
        <f t="shared" si="324"/>
        <v>0</v>
      </c>
      <c r="Z1276" s="49">
        <f t="shared" si="324"/>
        <v>0</v>
      </c>
      <c r="AA1276" s="49">
        <f t="shared" si="324"/>
        <v>0</v>
      </c>
      <c r="AB1276" s="49">
        <f t="shared" si="324"/>
        <v>0</v>
      </c>
      <c r="AC1276" s="49">
        <f t="shared" si="324"/>
        <v>0</v>
      </c>
      <c r="AD1276" s="53" t="e">
        <f>#REF!*D1276</f>
        <v>#REF!</v>
      </c>
      <c r="AE1276" s="53" t="e">
        <f>AD1276-#REF!</f>
        <v>#REF!</v>
      </c>
      <c r="AF1276" s="9"/>
      <c r="AG1276" s="33" t="e">
        <f>#REF!-D1276</f>
        <v>#REF!</v>
      </c>
    </row>
    <row r="1277" spans="1:37" s="16" customFormat="1" ht="11.4" outlineLevel="1" x14ac:dyDescent="0.2">
      <c r="A1277" s="62" t="s">
        <v>1571</v>
      </c>
      <c r="B1277" s="80" t="s">
        <v>363</v>
      </c>
      <c r="C1277" s="9" t="s">
        <v>47</v>
      </c>
      <c r="D1277" s="25">
        <f t="shared" si="320"/>
        <v>10</v>
      </c>
      <c r="E1277" s="54"/>
      <c r="F1277" s="9"/>
      <c r="G1277" s="49">
        <f t="shared" ref="G1277:AC1277" si="325">G1271/3</f>
        <v>0</v>
      </c>
      <c r="H1277" s="49">
        <f t="shared" si="325"/>
        <v>0</v>
      </c>
      <c r="I1277" s="49">
        <f t="shared" si="325"/>
        <v>0</v>
      </c>
      <c r="J1277" s="49">
        <f t="shared" si="325"/>
        <v>0</v>
      </c>
      <c r="K1277" s="49">
        <f t="shared" si="325"/>
        <v>0</v>
      </c>
      <c r="L1277" s="49">
        <f t="shared" si="325"/>
        <v>0</v>
      </c>
      <c r="M1277" s="49">
        <f t="shared" si="325"/>
        <v>0</v>
      </c>
      <c r="N1277" s="49">
        <f t="shared" si="325"/>
        <v>0</v>
      </c>
      <c r="O1277" s="49">
        <f t="shared" si="325"/>
        <v>0</v>
      </c>
      <c r="P1277" s="49">
        <f t="shared" si="325"/>
        <v>0</v>
      </c>
      <c r="Q1277" s="49">
        <f t="shared" si="325"/>
        <v>0</v>
      </c>
      <c r="R1277" s="49">
        <f t="shared" si="325"/>
        <v>0</v>
      </c>
      <c r="S1277" s="49">
        <f t="shared" si="325"/>
        <v>0</v>
      </c>
      <c r="T1277" s="49">
        <f t="shared" si="325"/>
        <v>4</v>
      </c>
      <c r="U1277" s="49">
        <f t="shared" si="325"/>
        <v>0</v>
      </c>
      <c r="V1277" s="49">
        <f t="shared" si="325"/>
        <v>0</v>
      </c>
      <c r="W1277" s="49">
        <f t="shared" si="325"/>
        <v>0</v>
      </c>
      <c r="X1277" s="49">
        <f t="shared" si="325"/>
        <v>0</v>
      </c>
      <c r="Y1277" s="49">
        <f t="shared" si="325"/>
        <v>0</v>
      </c>
      <c r="Z1277" s="49">
        <f t="shared" si="325"/>
        <v>0</v>
      </c>
      <c r="AA1277" s="49">
        <f t="shared" si="325"/>
        <v>0</v>
      </c>
      <c r="AB1277" s="49">
        <f t="shared" si="325"/>
        <v>6</v>
      </c>
      <c r="AC1277" s="49">
        <f t="shared" si="325"/>
        <v>0</v>
      </c>
      <c r="AD1277" s="53" t="e">
        <f>#REF!*D1277</f>
        <v>#REF!</v>
      </c>
      <c r="AE1277" s="53" t="e">
        <f>AD1277-#REF!</f>
        <v>#REF!</v>
      </c>
      <c r="AF1277" s="9"/>
      <c r="AG1277" s="33" t="e">
        <f>#REF!-D1277</f>
        <v>#REF!</v>
      </c>
    </row>
    <row r="1278" spans="1:37" s="16" customFormat="1" ht="11.4" outlineLevel="1" x14ac:dyDescent="0.2">
      <c r="A1278" s="62" t="s">
        <v>1572</v>
      </c>
      <c r="B1278" s="80" t="s">
        <v>1525</v>
      </c>
      <c r="C1278" s="9" t="s">
        <v>47</v>
      </c>
      <c r="D1278" s="25">
        <f t="shared" si="320"/>
        <v>1</v>
      </c>
      <c r="E1278" s="54"/>
      <c r="F1278" s="9"/>
      <c r="G1278" s="49">
        <f t="shared" ref="G1278:AC1278" si="326">G1272/3</f>
        <v>0</v>
      </c>
      <c r="H1278" s="49">
        <f t="shared" si="326"/>
        <v>0</v>
      </c>
      <c r="I1278" s="49">
        <f t="shared" si="326"/>
        <v>0</v>
      </c>
      <c r="J1278" s="49">
        <f t="shared" si="326"/>
        <v>0</v>
      </c>
      <c r="K1278" s="49">
        <f t="shared" si="326"/>
        <v>0</v>
      </c>
      <c r="L1278" s="49">
        <f t="shared" si="326"/>
        <v>0</v>
      </c>
      <c r="M1278" s="49">
        <f t="shared" si="326"/>
        <v>0</v>
      </c>
      <c r="N1278" s="49">
        <f t="shared" si="326"/>
        <v>0</v>
      </c>
      <c r="O1278" s="49">
        <f t="shared" si="326"/>
        <v>0</v>
      </c>
      <c r="P1278" s="49">
        <f t="shared" si="326"/>
        <v>0</v>
      </c>
      <c r="Q1278" s="49">
        <f t="shared" si="326"/>
        <v>0</v>
      </c>
      <c r="R1278" s="49">
        <f t="shared" si="326"/>
        <v>0</v>
      </c>
      <c r="S1278" s="49">
        <f t="shared" si="326"/>
        <v>0</v>
      </c>
      <c r="T1278" s="49">
        <f t="shared" si="326"/>
        <v>1</v>
      </c>
      <c r="U1278" s="49">
        <f t="shared" si="326"/>
        <v>0</v>
      </c>
      <c r="V1278" s="49">
        <f t="shared" si="326"/>
        <v>0</v>
      </c>
      <c r="W1278" s="49">
        <f t="shared" si="326"/>
        <v>0</v>
      </c>
      <c r="X1278" s="49">
        <f t="shared" si="326"/>
        <v>0</v>
      </c>
      <c r="Y1278" s="49">
        <f t="shared" si="326"/>
        <v>0</v>
      </c>
      <c r="Z1278" s="49">
        <f t="shared" si="326"/>
        <v>0</v>
      </c>
      <c r="AA1278" s="49">
        <f t="shared" si="326"/>
        <v>0</v>
      </c>
      <c r="AB1278" s="49">
        <f t="shared" si="326"/>
        <v>0</v>
      </c>
      <c r="AC1278" s="49">
        <f t="shared" si="326"/>
        <v>0</v>
      </c>
      <c r="AD1278" s="53" t="e">
        <f>#REF!*D1278</f>
        <v>#REF!</v>
      </c>
      <c r="AE1278" s="53" t="e">
        <f>AD1278-#REF!</f>
        <v>#REF!</v>
      </c>
      <c r="AF1278" s="9"/>
      <c r="AG1278" s="33" t="e">
        <f>#REF!-D1278</f>
        <v>#REF!</v>
      </c>
    </row>
    <row r="1279" spans="1:37" s="16" customFormat="1" ht="11.4" outlineLevel="1" x14ac:dyDescent="0.2">
      <c r="A1279" s="62" t="s">
        <v>1573</v>
      </c>
      <c r="B1279" s="80" t="s">
        <v>1369</v>
      </c>
      <c r="C1279" s="9" t="s">
        <v>47</v>
      </c>
      <c r="D1279" s="25">
        <f t="shared" si="320"/>
        <v>233</v>
      </c>
      <c r="E1279" s="54"/>
      <c r="F1279" s="9"/>
      <c r="G1279" s="9">
        <v>0</v>
      </c>
      <c r="H1279" s="9">
        <v>7</v>
      </c>
      <c r="I1279" s="9">
        <v>5</v>
      </c>
      <c r="J1279" s="9">
        <v>10</v>
      </c>
      <c r="K1279" s="9">
        <v>0</v>
      </c>
      <c r="L1279" s="9">
        <v>20</v>
      </c>
      <c r="M1279" s="9">
        <v>18</v>
      </c>
      <c r="N1279" s="9">
        <v>18</v>
      </c>
      <c r="O1279" s="9">
        <v>19</v>
      </c>
      <c r="P1279" s="9">
        <v>10</v>
      </c>
      <c r="Q1279" s="9">
        <v>0</v>
      </c>
      <c r="R1279" s="9">
        <v>0</v>
      </c>
      <c r="S1279" s="9">
        <v>0</v>
      </c>
      <c r="T1279" s="9">
        <v>0</v>
      </c>
      <c r="U1279" s="9">
        <v>0</v>
      </c>
      <c r="V1279" s="9">
        <v>13</v>
      </c>
      <c r="W1279" s="9">
        <v>3</v>
      </c>
      <c r="X1279" s="9">
        <f>14+18</f>
        <v>32</v>
      </c>
      <c r="Y1279" s="9">
        <v>28</v>
      </c>
      <c r="Z1279" s="9">
        <v>21</v>
      </c>
      <c r="AA1279" s="9">
        <f>29</f>
        <v>29</v>
      </c>
      <c r="AB1279" s="9">
        <v>0</v>
      </c>
      <c r="AC1279" s="9">
        <v>0</v>
      </c>
      <c r="AD1279" s="53" t="e">
        <f>#REF!*D1279</f>
        <v>#REF!</v>
      </c>
      <c r="AE1279" s="53" t="e">
        <f>AD1279-#REF!</f>
        <v>#REF!</v>
      </c>
      <c r="AF1279" s="9"/>
      <c r="AG1279" s="33" t="e">
        <f>#REF!-D1279</f>
        <v>#REF!</v>
      </c>
    </row>
    <row r="1280" spans="1:37" s="16" customFormat="1" ht="11.4" outlineLevel="1" x14ac:dyDescent="0.2">
      <c r="A1280" s="62" t="s">
        <v>1574</v>
      </c>
      <c r="B1280" s="80" t="s">
        <v>1480</v>
      </c>
      <c r="C1280" s="9" t="s">
        <v>47</v>
      </c>
      <c r="D1280" s="25">
        <f t="shared" si="320"/>
        <v>48</v>
      </c>
      <c r="E1280" s="54"/>
      <c r="F1280" s="9"/>
      <c r="G1280" s="9">
        <v>0</v>
      </c>
      <c r="H1280" s="9">
        <v>6</v>
      </c>
      <c r="I1280" s="9">
        <v>1</v>
      </c>
      <c r="J1280" s="9">
        <v>0</v>
      </c>
      <c r="K1280" s="9">
        <v>0</v>
      </c>
      <c r="L1280" s="9">
        <v>9</v>
      </c>
      <c r="M1280" s="9">
        <v>0</v>
      </c>
      <c r="N1280" s="9">
        <v>0</v>
      </c>
      <c r="O1280" s="9">
        <v>0</v>
      </c>
      <c r="P1280" s="9">
        <v>0</v>
      </c>
      <c r="Q1280" s="9">
        <v>0</v>
      </c>
      <c r="R1280" s="9">
        <v>8</v>
      </c>
      <c r="S1280" s="9">
        <v>0</v>
      </c>
      <c r="T1280" s="9">
        <v>6</v>
      </c>
      <c r="U1280" s="9">
        <v>0</v>
      </c>
      <c r="V1280" s="9">
        <v>6</v>
      </c>
      <c r="W1280" s="9">
        <v>4</v>
      </c>
      <c r="X1280" s="9">
        <v>0</v>
      </c>
      <c r="Y1280" s="9">
        <v>0</v>
      </c>
      <c r="Z1280" s="9">
        <v>0</v>
      </c>
      <c r="AA1280" s="9">
        <v>0</v>
      </c>
      <c r="AB1280" s="9">
        <v>8</v>
      </c>
      <c r="AC1280" s="9">
        <v>0</v>
      </c>
      <c r="AD1280" s="53" t="e">
        <f>#REF!*D1280</f>
        <v>#REF!</v>
      </c>
      <c r="AE1280" s="53" t="e">
        <f>AD1280-#REF!</f>
        <v>#REF!</v>
      </c>
      <c r="AF1280" s="9"/>
      <c r="AG1280" s="33" t="e">
        <f>#REF!-D1280</f>
        <v>#REF!</v>
      </c>
    </row>
    <row r="1281" spans="1:33" s="16" customFormat="1" ht="11.4" outlineLevel="1" x14ac:dyDescent="0.2">
      <c r="A1281" s="62" t="s">
        <v>1575</v>
      </c>
      <c r="B1281" s="80" t="s">
        <v>1481</v>
      </c>
      <c r="C1281" s="9" t="s">
        <v>47</v>
      </c>
      <c r="D1281" s="25">
        <f t="shared" si="320"/>
        <v>67</v>
      </c>
      <c r="E1281" s="54"/>
      <c r="F1281" s="9"/>
      <c r="G1281" s="9">
        <v>0</v>
      </c>
      <c r="H1281" s="9">
        <v>2</v>
      </c>
      <c r="I1281" s="9">
        <v>4</v>
      </c>
      <c r="J1281" s="9">
        <v>3</v>
      </c>
      <c r="K1281" s="9">
        <v>0</v>
      </c>
      <c r="L1281" s="9">
        <v>7</v>
      </c>
      <c r="M1281" s="9">
        <v>6</v>
      </c>
      <c r="N1281" s="9">
        <v>6</v>
      </c>
      <c r="O1281" s="9">
        <v>6</v>
      </c>
      <c r="P1281" s="9">
        <v>4</v>
      </c>
      <c r="Q1281" s="9">
        <v>0</v>
      </c>
      <c r="R1281" s="9">
        <v>0</v>
      </c>
      <c r="S1281" s="9">
        <v>0</v>
      </c>
      <c r="T1281" s="9">
        <v>18</v>
      </c>
      <c r="U1281" s="9">
        <v>0</v>
      </c>
      <c r="V1281" s="9">
        <v>0</v>
      </c>
      <c r="W1281" s="9">
        <v>6</v>
      </c>
      <c r="X1281" s="9">
        <v>0</v>
      </c>
      <c r="Y1281" s="9">
        <v>1</v>
      </c>
      <c r="Z1281" s="9">
        <v>2</v>
      </c>
      <c r="AA1281" s="9">
        <v>2</v>
      </c>
      <c r="AB1281" s="9">
        <v>0</v>
      </c>
      <c r="AC1281" s="9">
        <v>0</v>
      </c>
      <c r="AD1281" s="53" t="e">
        <f>#REF!*D1281</f>
        <v>#REF!</v>
      </c>
      <c r="AE1281" s="53" t="e">
        <f>AD1281-#REF!</f>
        <v>#REF!</v>
      </c>
      <c r="AF1281" s="9"/>
      <c r="AG1281" s="33" t="e">
        <f>#REF!-D1281</f>
        <v>#REF!</v>
      </c>
    </row>
    <row r="1282" spans="1:33" s="16" customFormat="1" ht="11.4" outlineLevel="1" x14ac:dyDescent="0.2">
      <c r="A1282" s="62" t="s">
        <v>1576</v>
      </c>
      <c r="B1282" s="80" t="s">
        <v>1482</v>
      </c>
      <c r="C1282" s="9" t="s">
        <v>47</v>
      </c>
      <c r="D1282" s="25">
        <f t="shared" si="320"/>
        <v>35</v>
      </c>
      <c r="E1282" s="54"/>
      <c r="F1282" s="9"/>
      <c r="G1282" s="9">
        <v>0</v>
      </c>
      <c r="H1282" s="9">
        <v>14</v>
      </c>
      <c r="I1282" s="9">
        <v>0</v>
      </c>
      <c r="J1282" s="9">
        <v>0</v>
      </c>
      <c r="K1282" s="9">
        <v>0</v>
      </c>
      <c r="L1282" s="9">
        <v>0</v>
      </c>
      <c r="M1282" s="9">
        <v>0</v>
      </c>
      <c r="N1282" s="9">
        <v>0</v>
      </c>
      <c r="O1282" s="9">
        <v>0</v>
      </c>
      <c r="P1282" s="9">
        <v>0</v>
      </c>
      <c r="Q1282" s="9">
        <v>0</v>
      </c>
      <c r="R1282" s="9">
        <v>13</v>
      </c>
      <c r="S1282" s="9">
        <v>0</v>
      </c>
      <c r="T1282" s="9">
        <v>3</v>
      </c>
      <c r="U1282" s="9">
        <v>0</v>
      </c>
      <c r="V1282" s="9">
        <v>0</v>
      </c>
      <c r="W1282" s="9">
        <v>3</v>
      </c>
      <c r="X1282" s="9">
        <v>2</v>
      </c>
      <c r="Y1282" s="9">
        <v>0</v>
      </c>
      <c r="Z1282" s="9">
        <v>0</v>
      </c>
      <c r="AA1282" s="9">
        <v>0</v>
      </c>
      <c r="AB1282" s="9">
        <v>0</v>
      </c>
      <c r="AC1282" s="9">
        <v>0</v>
      </c>
      <c r="AD1282" s="53" t="e">
        <f>#REF!*D1282</f>
        <v>#REF!</v>
      </c>
      <c r="AE1282" s="53" t="e">
        <f>AD1282-#REF!</f>
        <v>#REF!</v>
      </c>
      <c r="AF1282" s="9"/>
      <c r="AG1282" s="33" t="e">
        <f>#REF!-D1282</f>
        <v>#REF!</v>
      </c>
    </row>
    <row r="1283" spans="1:33" s="16" customFormat="1" ht="11.4" outlineLevel="1" x14ac:dyDescent="0.2">
      <c r="A1283" s="62" t="s">
        <v>1577</v>
      </c>
      <c r="B1283" s="80" t="s">
        <v>364</v>
      </c>
      <c r="C1283" s="9" t="s">
        <v>47</v>
      </c>
      <c r="D1283" s="25">
        <f t="shared" si="320"/>
        <v>10</v>
      </c>
      <c r="E1283" s="54"/>
      <c r="F1283" s="9"/>
      <c r="G1283" s="9">
        <v>0</v>
      </c>
      <c r="H1283" s="9">
        <v>0</v>
      </c>
      <c r="I1283" s="9">
        <v>0</v>
      </c>
      <c r="J1283" s="9">
        <v>0</v>
      </c>
      <c r="K1283" s="9">
        <v>0</v>
      </c>
      <c r="L1283" s="9">
        <v>0</v>
      </c>
      <c r="M1283" s="9">
        <v>0</v>
      </c>
      <c r="N1283" s="9">
        <v>0</v>
      </c>
      <c r="O1283" s="9">
        <v>0</v>
      </c>
      <c r="P1283" s="9">
        <v>0</v>
      </c>
      <c r="Q1283" s="9">
        <v>0</v>
      </c>
      <c r="R1283" s="9">
        <v>4</v>
      </c>
      <c r="S1283" s="9">
        <v>0</v>
      </c>
      <c r="T1283" s="9">
        <v>1</v>
      </c>
      <c r="U1283" s="9">
        <v>0</v>
      </c>
      <c r="V1283" s="9">
        <v>0</v>
      </c>
      <c r="W1283" s="9">
        <v>0</v>
      </c>
      <c r="X1283" s="9">
        <v>0</v>
      </c>
      <c r="Y1283" s="9">
        <v>0</v>
      </c>
      <c r="Z1283" s="9">
        <v>0</v>
      </c>
      <c r="AA1283" s="9">
        <v>0</v>
      </c>
      <c r="AB1283" s="9">
        <v>5</v>
      </c>
      <c r="AC1283" s="9">
        <v>0</v>
      </c>
      <c r="AD1283" s="53" t="e">
        <f>#REF!*D1283</f>
        <v>#REF!</v>
      </c>
      <c r="AE1283" s="53" t="e">
        <f>AD1283-#REF!</f>
        <v>#REF!</v>
      </c>
      <c r="AF1283" s="9"/>
      <c r="AG1283" s="33" t="e">
        <f>#REF!-D1283</f>
        <v>#REF!</v>
      </c>
    </row>
    <row r="1284" spans="1:33" s="16" customFormat="1" ht="11.4" outlineLevel="1" x14ac:dyDescent="0.2">
      <c r="A1284" s="62" t="s">
        <v>1578</v>
      </c>
      <c r="B1284" s="80" t="s">
        <v>1526</v>
      </c>
      <c r="C1284" s="9" t="s">
        <v>47</v>
      </c>
      <c r="D1284" s="25">
        <f t="shared" si="320"/>
        <v>9</v>
      </c>
      <c r="E1284" s="54"/>
      <c r="F1284" s="9"/>
      <c r="G1284" s="9">
        <v>0</v>
      </c>
      <c r="H1284" s="9">
        <v>0</v>
      </c>
      <c r="I1284" s="9">
        <v>0</v>
      </c>
      <c r="J1284" s="9">
        <v>0</v>
      </c>
      <c r="K1284" s="9">
        <v>0</v>
      </c>
      <c r="L1284" s="9">
        <v>0</v>
      </c>
      <c r="M1284" s="9">
        <v>0</v>
      </c>
      <c r="N1284" s="9">
        <v>0</v>
      </c>
      <c r="O1284" s="9">
        <v>0</v>
      </c>
      <c r="P1284" s="9">
        <v>0</v>
      </c>
      <c r="Q1284" s="9">
        <v>0</v>
      </c>
      <c r="R1284" s="9">
        <f>4+5</f>
        <v>9</v>
      </c>
      <c r="S1284" s="9">
        <v>0</v>
      </c>
      <c r="T1284" s="9">
        <v>0</v>
      </c>
      <c r="U1284" s="9">
        <v>0</v>
      </c>
      <c r="V1284" s="9">
        <v>0</v>
      </c>
      <c r="W1284" s="9">
        <v>0</v>
      </c>
      <c r="X1284" s="9">
        <v>0</v>
      </c>
      <c r="Y1284" s="9">
        <v>0</v>
      </c>
      <c r="Z1284" s="9">
        <v>0</v>
      </c>
      <c r="AA1284" s="9">
        <v>0</v>
      </c>
      <c r="AB1284" s="9">
        <v>0</v>
      </c>
      <c r="AC1284" s="9">
        <v>0</v>
      </c>
      <c r="AD1284" s="53" t="e">
        <f>#REF!*D1284</f>
        <v>#REF!</v>
      </c>
      <c r="AE1284" s="53" t="e">
        <f>AD1284-#REF!</f>
        <v>#REF!</v>
      </c>
      <c r="AF1284" s="9"/>
      <c r="AG1284" s="33" t="e">
        <f>#REF!-D1284</f>
        <v>#REF!</v>
      </c>
    </row>
    <row r="1285" spans="1:33" s="16" customFormat="1" ht="11.4" outlineLevel="1" x14ac:dyDescent="0.2">
      <c r="A1285" s="62" t="s">
        <v>1579</v>
      </c>
      <c r="B1285" s="80" t="s">
        <v>1370</v>
      </c>
      <c r="C1285" s="9" t="s">
        <v>47</v>
      </c>
      <c r="D1285" s="25">
        <f t="shared" si="320"/>
        <v>20</v>
      </c>
      <c r="E1285" s="54"/>
      <c r="F1285" s="9"/>
      <c r="G1285" s="9">
        <v>0</v>
      </c>
      <c r="H1285" s="9">
        <v>0</v>
      </c>
      <c r="I1285" s="9">
        <v>0</v>
      </c>
      <c r="J1285" s="9">
        <v>1</v>
      </c>
      <c r="K1285" s="9">
        <v>0</v>
      </c>
      <c r="L1285" s="9">
        <v>1</v>
      </c>
      <c r="M1285" s="9">
        <v>0</v>
      </c>
      <c r="N1285" s="9">
        <v>0</v>
      </c>
      <c r="O1285" s="9">
        <v>0</v>
      </c>
      <c r="P1285" s="9">
        <v>5</v>
      </c>
      <c r="Q1285" s="9">
        <v>0</v>
      </c>
      <c r="R1285" s="9">
        <v>0</v>
      </c>
      <c r="S1285" s="9">
        <v>0</v>
      </c>
      <c r="T1285" s="9">
        <v>0</v>
      </c>
      <c r="U1285" s="9">
        <v>0</v>
      </c>
      <c r="V1285" s="9">
        <v>2</v>
      </c>
      <c r="W1285" s="9">
        <v>0</v>
      </c>
      <c r="X1285" s="9">
        <v>3</v>
      </c>
      <c r="Y1285" s="9">
        <v>2</v>
      </c>
      <c r="Z1285" s="9">
        <v>3</v>
      </c>
      <c r="AA1285" s="9">
        <v>3</v>
      </c>
      <c r="AB1285" s="9">
        <v>0</v>
      </c>
      <c r="AC1285" s="9">
        <v>0</v>
      </c>
      <c r="AD1285" s="53" t="e">
        <f>#REF!*D1285</f>
        <v>#REF!</v>
      </c>
      <c r="AE1285" s="53" t="e">
        <f>AD1285-#REF!</f>
        <v>#REF!</v>
      </c>
      <c r="AF1285" s="9"/>
      <c r="AG1285" s="33" t="e">
        <f>#REF!-D1285</f>
        <v>#REF!</v>
      </c>
    </row>
    <row r="1286" spans="1:33" s="16" customFormat="1" ht="11.4" outlineLevel="1" x14ac:dyDescent="0.2">
      <c r="A1286" s="62" t="s">
        <v>1580</v>
      </c>
      <c r="B1286" s="80" t="s">
        <v>1483</v>
      </c>
      <c r="C1286" s="9" t="s">
        <v>47</v>
      </c>
      <c r="D1286" s="25">
        <f t="shared" si="320"/>
        <v>6</v>
      </c>
      <c r="E1286" s="54"/>
      <c r="F1286" s="9"/>
      <c r="G1286" s="9">
        <v>0</v>
      </c>
      <c r="H1286" s="9">
        <v>0</v>
      </c>
      <c r="I1286" s="9">
        <v>1</v>
      </c>
      <c r="J1286" s="9">
        <v>0</v>
      </c>
      <c r="K1286" s="9">
        <v>0</v>
      </c>
      <c r="L1286" s="9">
        <v>0</v>
      </c>
      <c r="M1286" s="9">
        <v>0</v>
      </c>
      <c r="N1286" s="9">
        <v>0</v>
      </c>
      <c r="O1286" s="9">
        <v>0</v>
      </c>
      <c r="P1286" s="9">
        <v>1</v>
      </c>
      <c r="Q1286" s="9">
        <v>0</v>
      </c>
      <c r="R1286" s="9">
        <v>1</v>
      </c>
      <c r="S1286" s="9">
        <v>0</v>
      </c>
      <c r="T1286" s="9">
        <v>1</v>
      </c>
      <c r="U1286" s="9">
        <v>0</v>
      </c>
      <c r="V1286" s="9">
        <v>0</v>
      </c>
      <c r="W1286" s="9">
        <v>0</v>
      </c>
      <c r="X1286" s="9">
        <v>0</v>
      </c>
      <c r="Y1286" s="9">
        <v>1</v>
      </c>
      <c r="Z1286" s="9">
        <v>0</v>
      </c>
      <c r="AA1286" s="9">
        <v>0</v>
      </c>
      <c r="AB1286" s="9">
        <v>1</v>
      </c>
      <c r="AC1286" s="9">
        <v>0</v>
      </c>
      <c r="AD1286" s="53" t="e">
        <f>#REF!*D1286</f>
        <v>#REF!</v>
      </c>
      <c r="AE1286" s="53" t="e">
        <f>AD1286-#REF!</f>
        <v>#REF!</v>
      </c>
      <c r="AF1286" s="9"/>
      <c r="AG1286" s="33" t="e">
        <f>#REF!-D1286</f>
        <v>#REF!</v>
      </c>
    </row>
    <row r="1287" spans="1:33" s="16" customFormat="1" ht="11.4" outlineLevel="1" x14ac:dyDescent="0.2">
      <c r="A1287" s="62" t="s">
        <v>1581</v>
      </c>
      <c r="B1287" s="80" t="s">
        <v>1484</v>
      </c>
      <c r="C1287" s="9" t="s">
        <v>47</v>
      </c>
      <c r="D1287" s="25">
        <f t="shared" si="320"/>
        <v>9</v>
      </c>
      <c r="E1287" s="54"/>
      <c r="F1287" s="9"/>
      <c r="G1287" s="9">
        <v>0</v>
      </c>
      <c r="H1287" s="9">
        <v>0</v>
      </c>
      <c r="I1287" s="9">
        <v>0</v>
      </c>
      <c r="J1287" s="9">
        <v>0</v>
      </c>
      <c r="K1287" s="9">
        <v>0</v>
      </c>
      <c r="L1287" s="9">
        <v>1</v>
      </c>
      <c r="M1287" s="9">
        <v>0</v>
      </c>
      <c r="N1287" s="9">
        <v>0</v>
      </c>
      <c r="O1287" s="9">
        <v>0</v>
      </c>
      <c r="P1287" s="9">
        <v>2</v>
      </c>
      <c r="Q1287" s="9">
        <v>0</v>
      </c>
      <c r="R1287" s="9">
        <v>0</v>
      </c>
      <c r="S1287" s="9">
        <v>0</v>
      </c>
      <c r="T1287" s="9">
        <v>0</v>
      </c>
      <c r="U1287" s="9">
        <v>0</v>
      </c>
      <c r="V1287" s="9">
        <v>0</v>
      </c>
      <c r="W1287" s="9">
        <v>1</v>
      </c>
      <c r="X1287" s="9">
        <v>1</v>
      </c>
      <c r="Y1287" s="9">
        <v>2</v>
      </c>
      <c r="Z1287" s="9">
        <v>1</v>
      </c>
      <c r="AA1287" s="9">
        <v>1</v>
      </c>
      <c r="AB1287" s="9">
        <v>0</v>
      </c>
      <c r="AC1287" s="9">
        <v>0</v>
      </c>
      <c r="AD1287" s="53" t="e">
        <f>#REF!*D1287</f>
        <v>#REF!</v>
      </c>
      <c r="AE1287" s="53" t="e">
        <f>AD1287-#REF!</f>
        <v>#REF!</v>
      </c>
      <c r="AF1287" s="9"/>
      <c r="AG1287" s="33" t="e">
        <f>#REF!-D1287</f>
        <v>#REF!</v>
      </c>
    </row>
    <row r="1288" spans="1:33" s="16" customFormat="1" ht="11.4" outlineLevel="1" x14ac:dyDescent="0.2">
      <c r="A1288" s="62" t="s">
        <v>1582</v>
      </c>
      <c r="B1288" s="80" t="s">
        <v>1485</v>
      </c>
      <c r="C1288" s="9" t="s">
        <v>47</v>
      </c>
      <c r="D1288" s="25">
        <f t="shared" si="320"/>
        <v>8</v>
      </c>
      <c r="E1288" s="54"/>
      <c r="F1288" s="9"/>
      <c r="G1288" s="9">
        <v>0</v>
      </c>
      <c r="H1288" s="9">
        <v>0</v>
      </c>
      <c r="I1288" s="9">
        <v>0</v>
      </c>
      <c r="J1288" s="9">
        <v>0</v>
      </c>
      <c r="K1288" s="9">
        <v>0</v>
      </c>
      <c r="L1288" s="9">
        <v>0</v>
      </c>
      <c r="M1288" s="9">
        <v>0</v>
      </c>
      <c r="N1288" s="9">
        <v>0</v>
      </c>
      <c r="O1288" s="9">
        <v>0</v>
      </c>
      <c r="P1288" s="9">
        <v>0</v>
      </c>
      <c r="Q1288" s="9">
        <v>0</v>
      </c>
      <c r="R1288" s="9">
        <v>7</v>
      </c>
      <c r="S1288" s="9">
        <v>0</v>
      </c>
      <c r="T1288" s="9">
        <v>1</v>
      </c>
      <c r="U1288" s="9">
        <v>0</v>
      </c>
      <c r="V1288" s="9">
        <v>0</v>
      </c>
      <c r="W1288" s="9">
        <v>0</v>
      </c>
      <c r="X1288" s="9">
        <v>0</v>
      </c>
      <c r="Y1288" s="9">
        <v>0</v>
      </c>
      <c r="Z1288" s="9">
        <v>0</v>
      </c>
      <c r="AA1288" s="9">
        <v>0</v>
      </c>
      <c r="AB1288" s="9">
        <v>0</v>
      </c>
      <c r="AC1288" s="9">
        <v>0</v>
      </c>
      <c r="AD1288" s="53" t="e">
        <f>#REF!*D1288</f>
        <v>#REF!</v>
      </c>
      <c r="AE1288" s="53" t="e">
        <f>AD1288-#REF!</f>
        <v>#REF!</v>
      </c>
      <c r="AF1288" s="9"/>
      <c r="AG1288" s="33" t="e">
        <f>#REF!-D1288</f>
        <v>#REF!</v>
      </c>
    </row>
    <row r="1289" spans="1:33" s="16" customFormat="1" ht="11.4" outlineLevel="1" x14ac:dyDescent="0.2">
      <c r="A1289" s="62" t="s">
        <v>1583</v>
      </c>
      <c r="B1289" s="80" t="s">
        <v>3206</v>
      </c>
      <c r="C1289" s="9" t="s">
        <v>47</v>
      </c>
      <c r="D1289" s="25">
        <f t="shared" si="320"/>
        <v>1</v>
      </c>
      <c r="E1289" s="54"/>
      <c r="F1289" s="9"/>
      <c r="G1289" s="9">
        <v>0</v>
      </c>
      <c r="H1289" s="9">
        <v>0</v>
      </c>
      <c r="I1289" s="9">
        <v>0</v>
      </c>
      <c r="J1289" s="9">
        <v>0</v>
      </c>
      <c r="K1289" s="9">
        <v>0</v>
      </c>
      <c r="L1289" s="9">
        <v>0</v>
      </c>
      <c r="M1289" s="9">
        <v>0</v>
      </c>
      <c r="N1289" s="9">
        <v>0</v>
      </c>
      <c r="O1289" s="9">
        <v>0</v>
      </c>
      <c r="P1289" s="9">
        <v>0</v>
      </c>
      <c r="Q1289" s="9">
        <v>0</v>
      </c>
      <c r="R1289" s="9">
        <v>0</v>
      </c>
      <c r="S1289" s="9">
        <v>0</v>
      </c>
      <c r="T1289" s="9">
        <v>0</v>
      </c>
      <c r="U1289" s="9">
        <v>0</v>
      </c>
      <c r="V1289" s="9">
        <v>0</v>
      </c>
      <c r="W1289" s="9">
        <v>0</v>
      </c>
      <c r="X1289" s="9">
        <v>0</v>
      </c>
      <c r="Y1289" s="9">
        <v>0</v>
      </c>
      <c r="Z1289" s="9">
        <v>0</v>
      </c>
      <c r="AA1289" s="9">
        <v>0</v>
      </c>
      <c r="AB1289" s="9">
        <v>1</v>
      </c>
      <c r="AC1289" s="9">
        <v>0</v>
      </c>
      <c r="AD1289" s="53" t="e">
        <f>#REF!*D1289</f>
        <v>#REF!</v>
      </c>
      <c r="AE1289" s="53" t="e">
        <f>AD1289-#REF!</f>
        <v>#REF!</v>
      </c>
      <c r="AF1289" s="9"/>
      <c r="AG1289" s="33" t="e">
        <f>#REF!-D1289</f>
        <v>#REF!</v>
      </c>
    </row>
    <row r="1290" spans="1:33" s="16" customFormat="1" ht="11.4" outlineLevel="1" x14ac:dyDescent="0.2">
      <c r="A1290" s="62" t="s">
        <v>1584</v>
      </c>
      <c r="B1290" s="80" t="s">
        <v>1537</v>
      </c>
      <c r="C1290" s="9" t="s">
        <v>47</v>
      </c>
      <c r="D1290" s="25">
        <f t="shared" si="320"/>
        <v>3</v>
      </c>
      <c r="E1290" s="54"/>
      <c r="F1290" s="9"/>
      <c r="G1290" s="9">
        <v>0</v>
      </c>
      <c r="H1290" s="9">
        <v>0</v>
      </c>
      <c r="I1290" s="9">
        <v>0</v>
      </c>
      <c r="J1290" s="9">
        <v>0</v>
      </c>
      <c r="K1290" s="9">
        <v>0</v>
      </c>
      <c r="L1290" s="9">
        <v>0</v>
      </c>
      <c r="M1290" s="9">
        <v>0</v>
      </c>
      <c r="N1290" s="9">
        <v>0</v>
      </c>
      <c r="O1290" s="9">
        <v>0</v>
      </c>
      <c r="P1290" s="9">
        <v>0</v>
      </c>
      <c r="Q1290" s="9">
        <v>0</v>
      </c>
      <c r="R1290" s="9">
        <v>3</v>
      </c>
      <c r="S1290" s="9">
        <v>0</v>
      </c>
      <c r="T1290" s="9">
        <v>0</v>
      </c>
      <c r="U1290" s="9">
        <v>0</v>
      </c>
      <c r="V1290" s="9">
        <v>0</v>
      </c>
      <c r="W1290" s="9">
        <v>0</v>
      </c>
      <c r="X1290" s="9">
        <v>0</v>
      </c>
      <c r="Y1290" s="9">
        <v>0</v>
      </c>
      <c r="Z1290" s="9">
        <v>0</v>
      </c>
      <c r="AA1290" s="9">
        <v>0</v>
      </c>
      <c r="AB1290" s="9">
        <v>0</v>
      </c>
      <c r="AC1290" s="9">
        <v>0</v>
      </c>
      <c r="AD1290" s="53" t="e">
        <f>#REF!*D1290</f>
        <v>#REF!</v>
      </c>
      <c r="AE1290" s="53" t="e">
        <f>AD1290-#REF!</f>
        <v>#REF!</v>
      </c>
      <c r="AF1290" s="9"/>
      <c r="AG1290" s="33" t="e">
        <f>#REF!-D1290</f>
        <v>#REF!</v>
      </c>
    </row>
    <row r="1291" spans="1:33" s="16" customFormat="1" ht="21.6" outlineLevel="1" x14ac:dyDescent="0.2">
      <c r="A1291" s="62" t="s">
        <v>1585</v>
      </c>
      <c r="B1291" s="80" t="s">
        <v>1486</v>
      </c>
      <c r="C1291" s="9" t="s">
        <v>47</v>
      </c>
      <c r="D1291" s="25">
        <f t="shared" si="320"/>
        <v>32</v>
      </c>
      <c r="E1291" s="54"/>
      <c r="F1291" s="9"/>
      <c r="G1291" s="9">
        <v>0</v>
      </c>
      <c r="H1291" s="9">
        <v>2</v>
      </c>
      <c r="I1291" s="9">
        <v>1</v>
      </c>
      <c r="J1291" s="9">
        <v>4</v>
      </c>
      <c r="K1291" s="9">
        <v>0</v>
      </c>
      <c r="L1291" s="9">
        <v>2</v>
      </c>
      <c r="M1291" s="9">
        <v>0</v>
      </c>
      <c r="N1291" s="9">
        <v>0</v>
      </c>
      <c r="O1291" s="9">
        <v>0</v>
      </c>
      <c r="P1291" s="9">
        <v>0</v>
      </c>
      <c r="Q1291" s="9">
        <v>0</v>
      </c>
      <c r="R1291" s="9">
        <v>0</v>
      </c>
      <c r="S1291" s="9">
        <v>0</v>
      </c>
      <c r="T1291" s="9">
        <v>0</v>
      </c>
      <c r="U1291" s="9">
        <v>0</v>
      </c>
      <c r="V1291" s="9">
        <v>0</v>
      </c>
      <c r="W1291" s="9">
        <v>1</v>
      </c>
      <c r="X1291" s="9">
        <v>5</v>
      </c>
      <c r="Y1291" s="9">
        <v>7</v>
      </c>
      <c r="Z1291" s="9">
        <v>4</v>
      </c>
      <c r="AA1291" s="9">
        <v>6</v>
      </c>
      <c r="AB1291" s="9">
        <v>0</v>
      </c>
      <c r="AC1291" s="9">
        <v>0</v>
      </c>
      <c r="AD1291" s="53" t="e">
        <f>#REF!*D1291</f>
        <v>#REF!</v>
      </c>
      <c r="AE1291" s="53" t="e">
        <f>AD1291-#REF!</f>
        <v>#REF!</v>
      </c>
      <c r="AF1291" s="9"/>
      <c r="AG1291" s="33" t="e">
        <f>#REF!-D1291</f>
        <v>#REF!</v>
      </c>
    </row>
    <row r="1292" spans="1:33" s="16" customFormat="1" ht="21.6" outlineLevel="1" x14ac:dyDescent="0.2">
      <c r="A1292" s="62" t="s">
        <v>1586</v>
      </c>
      <c r="B1292" s="80" t="s">
        <v>1527</v>
      </c>
      <c r="C1292" s="9" t="s">
        <v>47</v>
      </c>
      <c r="D1292" s="25">
        <f t="shared" si="320"/>
        <v>101</v>
      </c>
      <c r="E1292" s="54"/>
      <c r="F1292" s="9"/>
      <c r="G1292" s="9">
        <v>0</v>
      </c>
      <c r="H1292" s="9">
        <v>0</v>
      </c>
      <c r="I1292" s="9">
        <v>1</v>
      </c>
      <c r="J1292" s="9">
        <v>2</v>
      </c>
      <c r="K1292" s="9">
        <v>0</v>
      </c>
      <c r="L1292" s="9">
        <v>15</v>
      </c>
      <c r="M1292" s="9">
        <v>17</v>
      </c>
      <c r="N1292" s="9">
        <v>17</v>
      </c>
      <c r="O1292" s="9">
        <v>18</v>
      </c>
      <c r="P1292" s="9">
        <v>18</v>
      </c>
      <c r="Q1292" s="9">
        <v>0</v>
      </c>
      <c r="R1292" s="9">
        <v>0</v>
      </c>
      <c r="S1292" s="9">
        <v>0</v>
      </c>
      <c r="T1292" s="9">
        <v>0</v>
      </c>
      <c r="U1292" s="9">
        <v>0</v>
      </c>
      <c r="V1292" s="9">
        <v>0</v>
      </c>
      <c r="W1292" s="9">
        <v>0</v>
      </c>
      <c r="X1292" s="9">
        <v>4</v>
      </c>
      <c r="Y1292" s="9">
        <v>4</v>
      </c>
      <c r="Z1292" s="9">
        <v>2</v>
      </c>
      <c r="AA1292" s="9">
        <v>3</v>
      </c>
      <c r="AB1292" s="9">
        <v>0</v>
      </c>
      <c r="AC1292" s="9">
        <v>0</v>
      </c>
      <c r="AD1292" s="53" t="e">
        <f>#REF!*D1292</f>
        <v>#REF!</v>
      </c>
      <c r="AE1292" s="53" t="e">
        <f>AD1292-#REF!</f>
        <v>#REF!</v>
      </c>
      <c r="AF1292" s="9"/>
      <c r="AG1292" s="33" t="e">
        <f>#REF!-D1292</f>
        <v>#REF!</v>
      </c>
    </row>
    <row r="1293" spans="1:33" s="16" customFormat="1" ht="21.6" outlineLevel="1" x14ac:dyDescent="0.2">
      <c r="A1293" s="62" t="s">
        <v>1587</v>
      </c>
      <c r="B1293" s="80" t="s">
        <v>1487</v>
      </c>
      <c r="C1293" s="9" t="s">
        <v>47</v>
      </c>
      <c r="D1293" s="25">
        <f t="shared" si="320"/>
        <v>5</v>
      </c>
      <c r="E1293" s="54"/>
      <c r="F1293" s="9"/>
      <c r="G1293" s="9">
        <v>0</v>
      </c>
      <c r="H1293" s="9">
        <v>1</v>
      </c>
      <c r="I1293" s="9">
        <v>0</v>
      </c>
      <c r="J1293" s="9">
        <v>1</v>
      </c>
      <c r="K1293" s="9">
        <v>0</v>
      </c>
      <c r="L1293" s="9">
        <v>1</v>
      </c>
      <c r="M1293" s="9">
        <v>0</v>
      </c>
      <c r="N1293" s="9">
        <v>0</v>
      </c>
      <c r="O1293" s="9">
        <v>0</v>
      </c>
      <c r="P1293" s="9">
        <v>1</v>
      </c>
      <c r="Q1293" s="9">
        <v>0</v>
      </c>
      <c r="R1293" s="9">
        <v>0</v>
      </c>
      <c r="S1293" s="9">
        <v>0</v>
      </c>
      <c r="T1293" s="9">
        <v>0</v>
      </c>
      <c r="U1293" s="9">
        <v>0</v>
      </c>
      <c r="V1293" s="9">
        <v>0</v>
      </c>
      <c r="W1293" s="9">
        <v>0</v>
      </c>
      <c r="X1293" s="9">
        <v>0</v>
      </c>
      <c r="Y1293" s="9">
        <v>0</v>
      </c>
      <c r="Z1293" s="9">
        <v>1</v>
      </c>
      <c r="AA1293" s="9">
        <v>0</v>
      </c>
      <c r="AB1293" s="9">
        <v>0</v>
      </c>
      <c r="AC1293" s="9">
        <v>0</v>
      </c>
      <c r="AD1293" s="53" t="e">
        <f>#REF!*D1293</f>
        <v>#REF!</v>
      </c>
      <c r="AE1293" s="53" t="e">
        <f>AD1293-#REF!</f>
        <v>#REF!</v>
      </c>
      <c r="AF1293" s="9"/>
      <c r="AG1293" s="33" t="e">
        <f>#REF!-D1293</f>
        <v>#REF!</v>
      </c>
    </row>
    <row r="1294" spans="1:33" s="16" customFormat="1" ht="21.6" outlineLevel="1" x14ac:dyDescent="0.2">
      <c r="A1294" s="62" t="s">
        <v>1588</v>
      </c>
      <c r="B1294" s="80" t="s">
        <v>1488</v>
      </c>
      <c r="C1294" s="9" t="s">
        <v>47</v>
      </c>
      <c r="D1294" s="25">
        <f t="shared" si="320"/>
        <v>5</v>
      </c>
      <c r="E1294" s="54"/>
      <c r="F1294" s="9"/>
      <c r="G1294" s="9">
        <v>0</v>
      </c>
      <c r="H1294" s="9">
        <v>0</v>
      </c>
      <c r="I1294" s="9">
        <v>0</v>
      </c>
      <c r="J1294" s="9">
        <v>0</v>
      </c>
      <c r="K1294" s="9">
        <v>0</v>
      </c>
      <c r="L1294" s="9">
        <v>0</v>
      </c>
      <c r="M1294" s="9">
        <v>0</v>
      </c>
      <c r="N1294" s="9">
        <v>0</v>
      </c>
      <c r="O1294" s="9">
        <v>0</v>
      </c>
      <c r="P1294" s="9">
        <v>0</v>
      </c>
      <c r="Q1294" s="9">
        <v>0</v>
      </c>
      <c r="R1294" s="9">
        <v>0</v>
      </c>
      <c r="S1294" s="9">
        <v>0</v>
      </c>
      <c r="T1294" s="9">
        <v>5</v>
      </c>
      <c r="U1294" s="9">
        <v>0</v>
      </c>
      <c r="V1294" s="9">
        <v>0</v>
      </c>
      <c r="W1294" s="9">
        <v>0</v>
      </c>
      <c r="X1294" s="9">
        <v>0</v>
      </c>
      <c r="Y1294" s="9">
        <v>0</v>
      </c>
      <c r="Z1294" s="9">
        <v>0</v>
      </c>
      <c r="AA1294" s="9">
        <v>0</v>
      </c>
      <c r="AB1294" s="9">
        <v>0</v>
      </c>
      <c r="AC1294" s="9">
        <v>0</v>
      </c>
      <c r="AD1294" s="53" t="e">
        <f>#REF!*D1294</f>
        <v>#REF!</v>
      </c>
      <c r="AE1294" s="53" t="e">
        <f>AD1294-#REF!</f>
        <v>#REF!</v>
      </c>
      <c r="AF1294" s="9"/>
      <c r="AG1294" s="33" t="e">
        <f>#REF!-D1294</f>
        <v>#REF!</v>
      </c>
    </row>
    <row r="1295" spans="1:33" s="16" customFormat="1" ht="21.6" outlineLevel="1" x14ac:dyDescent="0.2">
      <c r="A1295" s="62" t="s">
        <v>1589</v>
      </c>
      <c r="B1295" s="80" t="s">
        <v>1489</v>
      </c>
      <c r="C1295" s="9" t="s">
        <v>47</v>
      </c>
      <c r="D1295" s="25">
        <f t="shared" si="320"/>
        <v>4</v>
      </c>
      <c r="E1295" s="54"/>
      <c r="F1295" s="9"/>
      <c r="G1295" s="9">
        <v>0</v>
      </c>
      <c r="H1295" s="9">
        <v>0</v>
      </c>
      <c r="I1295" s="9">
        <v>0</v>
      </c>
      <c r="J1295" s="9">
        <v>0</v>
      </c>
      <c r="K1295" s="9">
        <v>0</v>
      </c>
      <c r="L1295" s="9">
        <v>0</v>
      </c>
      <c r="M1295" s="9">
        <v>0</v>
      </c>
      <c r="N1295" s="9">
        <v>0</v>
      </c>
      <c r="O1295" s="9">
        <v>0</v>
      </c>
      <c r="P1295" s="9">
        <v>0</v>
      </c>
      <c r="Q1295" s="9">
        <v>0</v>
      </c>
      <c r="R1295" s="9">
        <v>0</v>
      </c>
      <c r="S1295" s="9">
        <v>0</v>
      </c>
      <c r="T1295" s="9">
        <v>4</v>
      </c>
      <c r="U1295" s="9">
        <v>0</v>
      </c>
      <c r="V1295" s="9">
        <v>0</v>
      </c>
      <c r="W1295" s="9">
        <v>0</v>
      </c>
      <c r="X1295" s="9">
        <v>0</v>
      </c>
      <c r="Y1295" s="9">
        <v>0</v>
      </c>
      <c r="Z1295" s="9">
        <v>0</v>
      </c>
      <c r="AA1295" s="9">
        <v>0</v>
      </c>
      <c r="AB1295" s="9">
        <v>0</v>
      </c>
      <c r="AC1295" s="9">
        <v>0</v>
      </c>
      <c r="AD1295" s="53" t="e">
        <f>#REF!*D1295</f>
        <v>#REF!</v>
      </c>
      <c r="AE1295" s="53" t="e">
        <f>AD1295-#REF!</f>
        <v>#REF!</v>
      </c>
      <c r="AF1295" s="9"/>
      <c r="AG1295" s="33" t="e">
        <f>#REF!-D1295</f>
        <v>#REF!</v>
      </c>
    </row>
    <row r="1296" spans="1:33" s="16" customFormat="1" ht="21.6" outlineLevel="1" x14ac:dyDescent="0.2">
      <c r="A1296" s="62" t="s">
        <v>1590</v>
      </c>
      <c r="B1296" s="80" t="s">
        <v>1533</v>
      </c>
      <c r="C1296" s="9" t="s">
        <v>47</v>
      </c>
      <c r="D1296" s="25">
        <f t="shared" si="320"/>
        <v>4</v>
      </c>
      <c r="E1296" s="54"/>
      <c r="F1296" s="9"/>
      <c r="G1296" s="9">
        <v>0</v>
      </c>
      <c r="H1296" s="9">
        <v>0</v>
      </c>
      <c r="I1296" s="9">
        <v>0</v>
      </c>
      <c r="J1296" s="9">
        <v>0</v>
      </c>
      <c r="K1296" s="9">
        <v>0</v>
      </c>
      <c r="L1296" s="9">
        <v>0</v>
      </c>
      <c r="M1296" s="9">
        <v>0</v>
      </c>
      <c r="N1296" s="9">
        <v>0</v>
      </c>
      <c r="O1296" s="9">
        <v>0</v>
      </c>
      <c r="P1296" s="9">
        <v>0</v>
      </c>
      <c r="Q1296" s="9">
        <v>0</v>
      </c>
      <c r="R1296" s="9">
        <v>2</v>
      </c>
      <c r="S1296" s="9">
        <v>0</v>
      </c>
      <c r="T1296" s="9">
        <v>2</v>
      </c>
      <c r="U1296" s="9">
        <v>0</v>
      </c>
      <c r="V1296" s="9">
        <v>0</v>
      </c>
      <c r="W1296" s="9">
        <v>0</v>
      </c>
      <c r="X1296" s="9">
        <v>0</v>
      </c>
      <c r="Y1296" s="9">
        <v>0</v>
      </c>
      <c r="Z1296" s="9">
        <v>0</v>
      </c>
      <c r="AA1296" s="9">
        <v>0</v>
      </c>
      <c r="AB1296" s="9">
        <v>0</v>
      </c>
      <c r="AC1296" s="9">
        <v>0</v>
      </c>
      <c r="AD1296" s="53" t="e">
        <f>#REF!*D1296</f>
        <v>#REF!</v>
      </c>
      <c r="AE1296" s="53" t="e">
        <f>AD1296-#REF!</f>
        <v>#REF!</v>
      </c>
      <c r="AF1296" s="9"/>
      <c r="AG1296" s="33" t="e">
        <f>#REF!-D1296</f>
        <v>#REF!</v>
      </c>
    </row>
    <row r="1297" spans="1:33" s="16" customFormat="1" ht="20.399999999999999" outlineLevel="1" x14ac:dyDescent="0.2">
      <c r="A1297" s="62" t="s">
        <v>1591</v>
      </c>
      <c r="B1297" s="80" t="s">
        <v>1528</v>
      </c>
      <c r="C1297" s="9" t="s">
        <v>47</v>
      </c>
      <c r="D1297" s="25">
        <f t="shared" si="320"/>
        <v>19</v>
      </c>
      <c r="E1297" s="54"/>
      <c r="F1297" s="9"/>
      <c r="G1297" s="9">
        <v>0</v>
      </c>
      <c r="H1297" s="9">
        <v>3</v>
      </c>
      <c r="I1297" s="9">
        <v>1</v>
      </c>
      <c r="J1297" s="9">
        <v>2</v>
      </c>
      <c r="K1297" s="9">
        <v>0</v>
      </c>
      <c r="L1297" s="9">
        <v>1</v>
      </c>
      <c r="M1297" s="9">
        <v>0</v>
      </c>
      <c r="N1297" s="9">
        <v>0</v>
      </c>
      <c r="O1297" s="9">
        <v>0</v>
      </c>
      <c r="P1297" s="9">
        <v>1</v>
      </c>
      <c r="Q1297" s="9">
        <v>0</v>
      </c>
      <c r="R1297" s="9">
        <v>0</v>
      </c>
      <c r="S1297" s="9">
        <v>0</v>
      </c>
      <c r="T1297" s="9">
        <v>0</v>
      </c>
      <c r="U1297" s="9">
        <v>0</v>
      </c>
      <c r="V1297" s="9">
        <v>1</v>
      </c>
      <c r="W1297" s="9">
        <v>2</v>
      </c>
      <c r="X1297" s="9">
        <v>2</v>
      </c>
      <c r="Y1297" s="9">
        <v>2</v>
      </c>
      <c r="Z1297" s="9">
        <v>2</v>
      </c>
      <c r="AA1297" s="9">
        <v>2</v>
      </c>
      <c r="AB1297" s="9">
        <v>0</v>
      </c>
      <c r="AC1297" s="9">
        <v>0</v>
      </c>
      <c r="AD1297" s="53" t="e">
        <f>#REF!*D1297</f>
        <v>#REF!</v>
      </c>
      <c r="AE1297" s="53" t="e">
        <f>AD1297-#REF!</f>
        <v>#REF!</v>
      </c>
      <c r="AF1297" s="9"/>
      <c r="AG1297" s="33" t="e">
        <f>#REF!-D1297</f>
        <v>#REF!</v>
      </c>
    </row>
    <row r="1298" spans="1:33" s="16" customFormat="1" ht="20.399999999999999" outlineLevel="1" x14ac:dyDescent="0.2">
      <c r="A1298" s="62" t="s">
        <v>1592</v>
      </c>
      <c r="B1298" s="80" t="s">
        <v>1529</v>
      </c>
      <c r="C1298" s="9" t="s">
        <v>47</v>
      </c>
      <c r="D1298" s="25">
        <f t="shared" si="320"/>
        <v>8</v>
      </c>
      <c r="E1298" s="54"/>
      <c r="F1298" s="9"/>
      <c r="G1298" s="9">
        <v>0</v>
      </c>
      <c r="H1298" s="9">
        <v>0</v>
      </c>
      <c r="I1298" s="9">
        <v>0</v>
      </c>
      <c r="J1298" s="9">
        <v>0</v>
      </c>
      <c r="K1298" s="9">
        <v>0</v>
      </c>
      <c r="L1298" s="9">
        <v>1</v>
      </c>
      <c r="M1298" s="9">
        <v>0</v>
      </c>
      <c r="N1298" s="9">
        <v>0</v>
      </c>
      <c r="O1298" s="9">
        <v>0</v>
      </c>
      <c r="P1298" s="9">
        <v>2</v>
      </c>
      <c r="Q1298" s="9">
        <v>0</v>
      </c>
      <c r="R1298" s="9">
        <v>0</v>
      </c>
      <c r="S1298" s="9">
        <v>0</v>
      </c>
      <c r="T1298" s="9">
        <v>0</v>
      </c>
      <c r="U1298" s="9">
        <v>0</v>
      </c>
      <c r="V1298" s="9">
        <v>0</v>
      </c>
      <c r="W1298" s="9">
        <v>1</v>
      </c>
      <c r="X1298" s="9">
        <v>1</v>
      </c>
      <c r="Y1298" s="9">
        <v>1</v>
      </c>
      <c r="Z1298" s="9">
        <v>1</v>
      </c>
      <c r="AA1298" s="9">
        <v>1</v>
      </c>
      <c r="AB1298" s="9">
        <v>0</v>
      </c>
      <c r="AC1298" s="9">
        <v>0</v>
      </c>
      <c r="AD1298" s="53" t="e">
        <f>#REF!*D1298</f>
        <v>#REF!</v>
      </c>
      <c r="AE1298" s="53" t="e">
        <f>AD1298-#REF!</f>
        <v>#REF!</v>
      </c>
      <c r="AF1298" s="9"/>
      <c r="AG1298" s="33" t="e">
        <f>#REF!-D1298</f>
        <v>#REF!</v>
      </c>
    </row>
    <row r="1299" spans="1:33" s="16" customFormat="1" ht="20.399999999999999" outlineLevel="1" x14ac:dyDescent="0.2">
      <c r="A1299" s="62" t="s">
        <v>1593</v>
      </c>
      <c r="B1299" s="80" t="s">
        <v>1490</v>
      </c>
      <c r="C1299" s="9" t="s">
        <v>47</v>
      </c>
      <c r="D1299" s="25">
        <f t="shared" ref="D1299:D1319" si="327">SUM(G1299:AC1299)</f>
        <v>13</v>
      </c>
      <c r="E1299" s="54"/>
      <c r="F1299" s="9"/>
      <c r="G1299" s="9">
        <v>0</v>
      </c>
      <c r="H1299" s="9">
        <v>1</v>
      </c>
      <c r="I1299" s="9">
        <v>1</v>
      </c>
      <c r="J1299" s="9">
        <v>1</v>
      </c>
      <c r="K1299" s="9">
        <v>0</v>
      </c>
      <c r="L1299" s="9">
        <v>0</v>
      </c>
      <c r="M1299" s="9">
        <v>0</v>
      </c>
      <c r="N1299" s="9">
        <v>0</v>
      </c>
      <c r="O1299" s="9">
        <v>0</v>
      </c>
      <c r="P1299" s="9">
        <v>0</v>
      </c>
      <c r="Q1299" s="9">
        <v>0</v>
      </c>
      <c r="R1299" s="9">
        <v>0</v>
      </c>
      <c r="S1299" s="9">
        <v>0</v>
      </c>
      <c r="T1299" s="9">
        <v>0</v>
      </c>
      <c r="U1299" s="9">
        <v>0</v>
      </c>
      <c r="V1299" s="9">
        <v>0</v>
      </c>
      <c r="W1299" s="9">
        <v>2</v>
      </c>
      <c r="X1299" s="9">
        <v>2</v>
      </c>
      <c r="Y1299" s="9">
        <v>2</v>
      </c>
      <c r="Z1299" s="9">
        <v>2</v>
      </c>
      <c r="AA1299" s="9">
        <v>2</v>
      </c>
      <c r="AB1299" s="9">
        <v>0</v>
      </c>
      <c r="AC1299" s="9">
        <v>0</v>
      </c>
      <c r="AD1299" s="53" t="e">
        <f>#REF!*D1299</f>
        <v>#REF!</v>
      </c>
      <c r="AE1299" s="53" t="e">
        <f>AD1299-#REF!</f>
        <v>#REF!</v>
      </c>
      <c r="AF1299" s="9"/>
      <c r="AG1299" s="33" t="e">
        <f>#REF!-D1299</f>
        <v>#REF!</v>
      </c>
    </row>
    <row r="1300" spans="1:33" s="16" customFormat="1" ht="20.399999999999999" outlineLevel="1" x14ac:dyDescent="0.2">
      <c r="A1300" s="62" t="s">
        <v>1594</v>
      </c>
      <c r="B1300" s="80" t="s">
        <v>1491</v>
      </c>
      <c r="C1300" s="9" t="s">
        <v>47</v>
      </c>
      <c r="D1300" s="25">
        <f t="shared" si="327"/>
        <v>4</v>
      </c>
      <c r="E1300" s="54"/>
      <c r="F1300" s="9"/>
      <c r="G1300" s="9">
        <v>0</v>
      </c>
      <c r="H1300" s="9">
        <v>0</v>
      </c>
      <c r="I1300" s="9">
        <v>0</v>
      </c>
      <c r="J1300" s="9">
        <v>0</v>
      </c>
      <c r="K1300" s="9">
        <v>0</v>
      </c>
      <c r="L1300" s="9">
        <v>0</v>
      </c>
      <c r="M1300" s="9">
        <v>0</v>
      </c>
      <c r="N1300" s="9">
        <v>0</v>
      </c>
      <c r="O1300" s="9">
        <v>0</v>
      </c>
      <c r="P1300" s="9">
        <v>0</v>
      </c>
      <c r="Q1300" s="9">
        <v>0</v>
      </c>
      <c r="R1300" s="9">
        <v>0</v>
      </c>
      <c r="S1300" s="9">
        <v>0</v>
      </c>
      <c r="T1300" s="9">
        <v>3</v>
      </c>
      <c r="U1300" s="9">
        <v>0</v>
      </c>
      <c r="V1300" s="9">
        <v>0</v>
      </c>
      <c r="W1300" s="9">
        <v>1</v>
      </c>
      <c r="X1300" s="9">
        <v>0</v>
      </c>
      <c r="Y1300" s="9">
        <v>0</v>
      </c>
      <c r="Z1300" s="9">
        <v>0</v>
      </c>
      <c r="AA1300" s="9">
        <v>0</v>
      </c>
      <c r="AB1300" s="9">
        <v>0</v>
      </c>
      <c r="AC1300" s="9">
        <v>0</v>
      </c>
      <c r="AD1300" s="53" t="e">
        <f>#REF!*D1300</f>
        <v>#REF!</v>
      </c>
      <c r="AE1300" s="53" t="e">
        <f>AD1300-#REF!</f>
        <v>#REF!</v>
      </c>
      <c r="AF1300" s="9"/>
      <c r="AG1300" s="33" t="e">
        <f>#REF!-D1300</f>
        <v>#REF!</v>
      </c>
    </row>
    <row r="1301" spans="1:33" s="16" customFormat="1" ht="20.399999999999999" outlineLevel="1" x14ac:dyDescent="0.2">
      <c r="A1301" s="62" t="s">
        <v>1595</v>
      </c>
      <c r="B1301" s="80" t="s">
        <v>1492</v>
      </c>
      <c r="C1301" s="9" t="s">
        <v>47</v>
      </c>
      <c r="D1301" s="25">
        <f t="shared" si="327"/>
        <v>3</v>
      </c>
      <c r="E1301" s="54"/>
      <c r="F1301" s="9"/>
      <c r="G1301" s="9">
        <v>0</v>
      </c>
      <c r="H1301" s="9">
        <v>0</v>
      </c>
      <c r="I1301" s="9">
        <v>0</v>
      </c>
      <c r="J1301" s="9">
        <v>0</v>
      </c>
      <c r="K1301" s="9">
        <v>0</v>
      </c>
      <c r="L1301" s="9">
        <v>0</v>
      </c>
      <c r="M1301" s="9">
        <v>0</v>
      </c>
      <c r="N1301" s="9">
        <v>0</v>
      </c>
      <c r="O1301" s="9">
        <v>0</v>
      </c>
      <c r="P1301" s="9">
        <v>0</v>
      </c>
      <c r="Q1301" s="9">
        <v>0</v>
      </c>
      <c r="R1301" s="9">
        <v>0</v>
      </c>
      <c r="S1301" s="9">
        <v>0</v>
      </c>
      <c r="T1301" s="9">
        <v>3</v>
      </c>
      <c r="U1301" s="9">
        <v>0</v>
      </c>
      <c r="V1301" s="9">
        <v>0</v>
      </c>
      <c r="W1301" s="9">
        <v>0</v>
      </c>
      <c r="X1301" s="9">
        <v>0</v>
      </c>
      <c r="Y1301" s="9">
        <v>0</v>
      </c>
      <c r="Z1301" s="9">
        <v>0</v>
      </c>
      <c r="AA1301" s="9">
        <v>0</v>
      </c>
      <c r="AB1301" s="9">
        <v>0</v>
      </c>
      <c r="AC1301" s="9">
        <v>0</v>
      </c>
      <c r="AD1301" s="53" t="e">
        <f>#REF!*D1301</f>
        <v>#REF!</v>
      </c>
      <c r="AE1301" s="53" t="e">
        <f>AD1301-#REF!</f>
        <v>#REF!</v>
      </c>
      <c r="AF1301" s="9"/>
      <c r="AG1301" s="33" t="e">
        <f>#REF!-D1301</f>
        <v>#REF!</v>
      </c>
    </row>
    <row r="1302" spans="1:33" s="16" customFormat="1" ht="20.399999999999999" outlineLevel="1" x14ac:dyDescent="0.2">
      <c r="A1302" s="62" t="s">
        <v>1596</v>
      </c>
      <c r="B1302" s="80" t="s">
        <v>1534</v>
      </c>
      <c r="C1302" s="9" t="s">
        <v>47</v>
      </c>
      <c r="D1302" s="25">
        <f t="shared" si="327"/>
        <v>3</v>
      </c>
      <c r="E1302" s="54"/>
      <c r="F1302" s="9"/>
      <c r="G1302" s="9">
        <v>0</v>
      </c>
      <c r="H1302" s="9">
        <v>0</v>
      </c>
      <c r="I1302" s="9">
        <v>0</v>
      </c>
      <c r="J1302" s="9">
        <v>0</v>
      </c>
      <c r="K1302" s="9">
        <v>0</v>
      </c>
      <c r="L1302" s="9">
        <v>0</v>
      </c>
      <c r="M1302" s="9">
        <v>0</v>
      </c>
      <c r="N1302" s="9">
        <v>0</v>
      </c>
      <c r="O1302" s="9">
        <v>0</v>
      </c>
      <c r="P1302" s="9">
        <v>0</v>
      </c>
      <c r="Q1302" s="9">
        <v>0</v>
      </c>
      <c r="R1302" s="9">
        <v>2</v>
      </c>
      <c r="S1302" s="9">
        <v>0</v>
      </c>
      <c r="T1302" s="9">
        <v>1</v>
      </c>
      <c r="U1302" s="9">
        <v>0</v>
      </c>
      <c r="V1302" s="9">
        <v>0</v>
      </c>
      <c r="W1302" s="9">
        <v>0</v>
      </c>
      <c r="X1302" s="9">
        <v>0</v>
      </c>
      <c r="Y1302" s="9">
        <v>0</v>
      </c>
      <c r="Z1302" s="9">
        <v>0</v>
      </c>
      <c r="AA1302" s="9">
        <v>0</v>
      </c>
      <c r="AB1302" s="9">
        <v>0</v>
      </c>
      <c r="AC1302" s="9">
        <v>0</v>
      </c>
      <c r="AD1302" s="53" t="e">
        <f>#REF!*D1302</f>
        <v>#REF!</v>
      </c>
      <c r="AE1302" s="53" t="e">
        <f>AD1302-#REF!</f>
        <v>#REF!</v>
      </c>
      <c r="AF1302" s="9"/>
      <c r="AG1302" s="33" t="e">
        <f>#REF!-D1302</f>
        <v>#REF!</v>
      </c>
    </row>
    <row r="1303" spans="1:33" s="16" customFormat="1" ht="20.399999999999999" outlineLevel="1" x14ac:dyDescent="0.2">
      <c r="A1303" s="62" t="s">
        <v>1597</v>
      </c>
      <c r="B1303" s="80" t="s">
        <v>1493</v>
      </c>
      <c r="C1303" s="9" t="s">
        <v>47</v>
      </c>
      <c r="D1303" s="25">
        <f t="shared" si="327"/>
        <v>45</v>
      </c>
      <c r="E1303" s="54"/>
      <c r="F1303" s="9"/>
      <c r="G1303" s="9">
        <v>0</v>
      </c>
      <c r="H1303" s="9">
        <v>10</v>
      </c>
      <c r="I1303" s="9">
        <v>2</v>
      </c>
      <c r="J1303" s="9">
        <v>2</v>
      </c>
      <c r="K1303" s="9">
        <v>0</v>
      </c>
      <c r="L1303" s="9">
        <v>8</v>
      </c>
      <c r="M1303" s="9">
        <v>0</v>
      </c>
      <c r="N1303" s="9">
        <v>0</v>
      </c>
      <c r="O1303" s="9">
        <v>0</v>
      </c>
      <c r="P1303" s="9">
        <v>0</v>
      </c>
      <c r="Q1303" s="9">
        <v>0</v>
      </c>
      <c r="R1303" s="9">
        <v>8</v>
      </c>
      <c r="S1303" s="9">
        <v>0</v>
      </c>
      <c r="T1303" s="9">
        <v>4</v>
      </c>
      <c r="U1303" s="9">
        <v>2</v>
      </c>
      <c r="V1303" s="9">
        <v>2</v>
      </c>
      <c r="W1303" s="9">
        <v>2</v>
      </c>
      <c r="X1303" s="9">
        <v>0</v>
      </c>
      <c r="Y1303" s="9">
        <v>0</v>
      </c>
      <c r="Z1303" s="9">
        <v>0</v>
      </c>
      <c r="AA1303" s="9">
        <v>0</v>
      </c>
      <c r="AB1303" s="9">
        <v>5</v>
      </c>
      <c r="AC1303" s="9">
        <v>0</v>
      </c>
      <c r="AD1303" s="53" t="e">
        <f>#REF!*D1303</f>
        <v>#REF!</v>
      </c>
      <c r="AE1303" s="53" t="e">
        <f>AD1303-#REF!</f>
        <v>#REF!</v>
      </c>
      <c r="AF1303" s="9"/>
      <c r="AG1303" s="33" t="e">
        <f>#REF!-D1303</f>
        <v>#REF!</v>
      </c>
    </row>
    <row r="1304" spans="1:33" s="16" customFormat="1" ht="20.399999999999999" outlineLevel="1" x14ac:dyDescent="0.2">
      <c r="A1304" s="62" t="s">
        <v>1598</v>
      </c>
      <c r="B1304" s="80" t="s">
        <v>1494</v>
      </c>
      <c r="C1304" s="9" t="s">
        <v>47</v>
      </c>
      <c r="D1304" s="25">
        <f t="shared" si="327"/>
        <v>34</v>
      </c>
      <c r="E1304" s="54"/>
      <c r="F1304" s="9"/>
      <c r="G1304" s="9">
        <v>0</v>
      </c>
      <c r="H1304" s="9">
        <v>2</v>
      </c>
      <c r="I1304" s="9">
        <v>0</v>
      </c>
      <c r="J1304" s="9">
        <v>0</v>
      </c>
      <c r="K1304" s="9">
        <v>0</v>
      </c>
      <c r="L1304" s="9">
        <v>4</v>
      </c>
      <c r="M1304" s="9">
        <v>4</v>
      </c>
      <c r="N1304" s="9">
        <v>4</v>
      </c>
      <c r="O1304" s="9">
        <v>4</v>
      </c>
      <c r="P1304" s="9">
        <v>4</v>
      </c>
      <c r="Q1304" s="9">
        <v>0</v>
      </c>
      <c r="R1304" s="9">
        <v>0</v>
      </c>
      <c r="S1304" s="9">
        <v>0</v>
      </c>
      <c r="T1304" s="9">
        <v>0</v>
      </c>
      <c r="U1304" s="9">
        <v>0</v>
      </c>
      <c r="V1304" s="9">
        <v>2</v>
      </c>
      <c r="W1304" s="9">
        <v>2</v>
      </c>
      <c r="X1304" s="9">
        <v>2</v>
      </c>
      <c r="Y1304" s="9">
        <v>2</v>
      </c>
      <c r="Z1304" s="9">
        <v>2</v>
      </c>
      <c r="AA1304" s="9">
        <v>2</v>
      </c>
      <c r="AB1304" s="9">
        <v>0</v>
      </c>
      <c r="AC1304" s="9">
        <v>0</v>
      </c>
      <c r="AD1304" s="53" t="e">
        <f>#REF!*D1304</f>
        <v>#REF!</v>
      </c>
      <c r="AE1304" s="53" t="e">
        <f>AD1304-#REF!</f>
        <v>#REF!</v>
      </c>
      <c r="AF1304" s="9"/>
      <c r="AG1304" s="33" t="e">
        <f>#REF!-D1304</f>
        <v>#REF!</v>
      </c>
    </row>
    <row r="1305" spans="1:33" s="16" customFormat="1" ht="20.399999999999999" outlineLevel="1" x14ac:dyDescent="0.2">
      <c r="A1305" s="62" t="s">
        <v>1599</v>
      </c>
      <c r="B1305" s="80" t="s">
        <v>1495</v>
      </c>
      <c r="C1305" s="9" t="s">
        <v>47</v>
      </c>
      <c r="D1305" s="25">
        <f t="shared" si="327"/>
        <v>36</v>
      </c>
      <c r="E1305" s="54"/>
      <c r="F1305" s="9"/>
      <c r="G1305" s="9">
        <v>0</v>
      </c>
      <c r="H1305" s="9">
        <v>0</v>
      </c>
      <c r="I1305" s="9">
        <v>0</v>
      </c>
      <c r="J1305" s="9">
        <v>0</v>
      </c>
      <c r="K1305" s="9">
        <v>0</v>
      </c>
      <c r="L1305" s="9">
        <v>0</v>
      </c>
      <c r="M1305" s="9">
        <v>0</v>
      </c>
      <c r="N1305" s="9">
        <v>0</v>
      </c>
      <c r="O1305" s="9">
        <v>0</v>
      </c>
      <c r="P1305" s="9">
        <v>0</v>
      </c>
      <c r="Q1305" s="9">
        <v>0</v>
      </c>
      <c r="R1305" s="9">
        <v>28</v>
      </c>
      <c r="S1305" s="9">
        <v>0</v>
      </c>
      <c r="T1305" s="9">
        <v>6</v>
      </c>
      <c r="U1305" s="9">
        <v>0</v>
      </c>
      <c r="V1305" s="9">
        <v>0</v>
      </c>
      <c r="W1305" s="9">
        <v>2</v>
      </c>
      <c r="X1305" s="9">
        <v>0</v>
      </c>
      <c r="Y1305" s="9">
        <v>0</v>
      </c>
      <c r="Z1305" s="9">
        <v>0</v>
      </c>
      <c r="AA1305" s="9">
        <v>0</v>
      </c>
      <c r="AB1305" s="9">
        <v>0</v>
      </c>
      <c r="AC1305" s="9">
        <v>0</v>
      </c>
      <c r="AD1305" s="53" t="e">
        <f>#REF!*D1305</f>
        <v>#REF!</v>
      </c>
      <c r="AE1305" s="53" t="e">
        <f>AD1305-#REF!</f>
        <v>#REF!</v>
      </c>
      <c r="AF1305" s="9"/>
      <c r="AG1305" s="33" t="e">
        <f>#REF!-D1305</f>
        <v>#REF!</v>
      </c>
    </row>
    <row r="1306" spans="1:33" s="16" customFormat="1" ht="20.399999999999999" outlineLevel="1" x14ac:dyDescent="0.2">
      <c r="A1306" s="62" t="s">
        <v>1600</v>
      </c>
      <c r="B1306" s="80" t="s">
        <v>365</v>
      </c>
      <c r="C1306" s="9" t="s">
        <v>47</v>
      </c>
      <c r="D1306" s="25">
        <f t="shared" si="327"/>
        <v>12</v>
      </c>
      <c r="E1306" s="54"/>
      <c r="F1306" s="9"/>
      <c r="G1306" s="9">
        <v>0</v>
      </c>
      <c r="H1306" s="9">
        <v>0</v>
      </c>
      <c r="I1306" s="9">
        <v>0</v>
      </c>
      <c r="J1306" s="9">
        <v>0</v>
      </c>
      <c r="K1306" s="9">
        <v>0</v>
      </c>
      <c r="L1306" s="9">
        <v>0</v>
      </c>
      <c r="M1306" s="9">
        <v>0</v>
      </c>
      <c r="N1306" s="9">
        <v>0</v>
      </c>
      <c r="O1306" s="9">
        <v>0</v>
      </c>
      <c r="P1306" s="9">
        <v>0</v>
      </c>
      <c r="Q1306" s="9">
        <v>0</v>
      </c>
      <c r="R1306" s="9">
        <v>8</v>
      </c>
      <c r="S1306" s="9">
        <v>0</v>
      </c>
      <c r="T1306" s="9">
        <v>0</v>
      </c>
      <c r="U1306" s="9">
        <v>0</v>
      </c>
      <c r="V1306" s="9">
        <v>0</v>
      </c>
      <c r="W1306" s="9">
        <v>0</v>
      </c>
      <c r="X1306" s="9">
        <v>0</v>
      </c>
      <c r="Y1306" s="9">
        <v>0</v>
      </c>
      <c r="Z1306" s="9">
        <v>0</v>
      </c>
      <c r="AA1306" s="9">
        <v>0</v>
      </c>
      <c r="AB1306" s="9">
        <v>4</v>
      </c>
      <c r="AC1306" s="9">
        <v>0</v>
      </c>
      <c r="AD1306" s="53" t="e">
        <f>#REF!*D1306</f>
        <v>#REF!</v>
      </c>
      <c r="AE1306" s="53" t="e">
        <f>AD1306-#REF!</f>
        <v>#REF!</v>
      </c>
      <c r="AF1306" s="9"/>
      <c r="AG1306" s="33" t="e">
        <f>#REF!-D1306</f>
        <v>#REF!</v>
      </c>
    </row>
    <row r="1307" spans="1:33" s="16" customFormat="1" ht="20.399999999999999" outlineLevel="1" x14ac:dyDescent="0.2">
      <c r="A1307" s="62" t="s">
        <v>1601</v>
      </c>
      <c r="B1307" s="80" t="s">
        <v>2306</v>
      </c>
      <c r="C1307" s="9" t="s">
        <v>47</v>
      </c>
      <c r="D1307" s="25">
        <f t="shared" si="327"/>
        <v>6</v>
      </c>
      <c r="E1307" s="54"/>
      <c r="F1307" s="9"/>
      <c r="G1307" s="9">
        <v>0</v>
      </c>
      <c r="H1307" s="9">
        <v>0</v>
      </c>
      <c r="I1307" s="9">
        <v>0</v>
      </c>
      <c r="J1307" s="9">
        <v>0</v>
      </c>
      <c r="K1307" s="9">
        <v>0</v>
      </c>
      <c r="L1307" s="9">
        <v>0</v>
      </c>
      <c r="M1307" s="9">
        <v>0</v>
      </c>
      <c r="N1307" s="9">
        <v>0</v>
      </c>
      <c r="O1307" s="9">
        <v>0</v>
      </c>
      <c r="P1307" s="9">
        <v>0</v>
      </c>
      <c r="Q1307" s="9">
        <v>0</v>
      </c>
      <c r="R1307" s="9">
        <v>6</v>
      </c>
      <c r="S1307" s="9">
        <v>0</v>
      </c>
      <c r="T1307" s="9">
        <v>0</v>
      </c>
      <c r="U1307" s="9">
        <v>0</v>
      </c>
      <c r="V1307" s="9">
        <v>0</v>
      </c>
      <c r="W1307" s="9">
        <v>0</v>
      </c>
      <c r="X1307" s="9">
        <v>0</v>
      </c>
      <c r="Y1307" s="9">
        <v>0</v>
      </c>
      <c r="Z1307" s="9">
        <v>0</v>
      </c>
      <c r="AA1307" s="9">
        <v>0</v>
      </c>
      <c r="AB1307" s="9">
        <v>0</v>
      </c>
      <c r="AC1307" s="9">
        <v>0</v>
      </c>
      <c r="AD1307" s="53" t="e">
        <f>#REF!*D1307</f>
        <v>#REF!</v>
      </c>
      <c r="AE1307" s="53" t="e">
        <f>AD1307-#REF!</f>
        <v>#REF!</v>
      </c>
      <c r="AF1307" s="9"/>
      <c r="AG1307" s="33" t="e">
        <f>#REF!-D1307</f>
        <v>#REF!</v>
      </c>
    </row>
    <row r="1308" spans="1:33" s="16" customFormat="1" ht="20.399999999999999" outlineLevel="1" x14ac:dyDescent="0.2">
      <c r="A1308" s="62" t="s">
        <v>1602</v>
      </c>
      <c r="B1308" s="80" t="s">
        <v>2598</v>
      </c>
      <c r="C1308" s="9" t="s">
        <v>47</v>
      </c>
      <c r="D1308" s="25">
        <f t="shared" si="327"/>
        <v>22</v>
      </c>
      <c r="E1308" s="54"/>
      <c r="F1308" s="9"/>
      <c r="G1308" s="9">
        <v>0</v>
      </c>
      <c r="H1308" s="9">
        <v>5</v>
      </c>
      <c r="I1308" s="9">
        <v>1</v>
      </c>
      <c r="J1308" s="9">
        <v>1</v>
      </c>
      <c r="K1308" s="9">
        <v>0</v>
      </c>
      <c r="L1308" s="9">
        <v>4</v>
      </c>
      <c r="M1308" s="9">
        <v>0</v>
      </c>
      <c r="N1308" s="9">
        <v>0</v>
      </c>
      <c r="O1308" s="9">
        <v>0</v>
      </c>
      <c r="P1308" s="9">
        <v>0</v>
      </c>
      <c r="Q1308" s="9">
        <v>0</v>
      </c>
      <c r="R1308" s="9">
        <v>4</v>
      </c>
      <c r="S1308" s="9">
        <v>0</v>
      </c>
      <c r="T1308" s="9">
        <v>2</v>
      </c>
      <c r="U1308" s="9">
        <v>1</v>
      </c>
      <c r="V1308" s="9">
        <v>1</v>
      </c>
      <c r="W1308" s="9">
        <v>1</v>
      </c>
      <c r="X1308" s="9">
        <v>0</v>
      </c>
      <c r="Y1308" s="9">
        <v>0</v>
      </c>
      <c r="Z1308" s="9">
        <v>0</v>
      </c>
      <c r="AA1308" s="9">
        <v>0</v>
      </c>
      <c r="AB1308" s="9">
        <v>2</v>
      </c>
      <c r="AC1308" s="9">
        <v>0</v>
      </c>
      <c r="AD1308" s="53" t="e">
        <f>#REF!*D1308</f>
        <v>#REF!</v>
      </c>
      <c r="AE1308" s="53" t="e">
        <f>AD1308-#REF!</f>
        <v>#REF!</v>
      </c>
      <c r="AF1308" s="9"/>
      <c r="AG1308" s="33" t="e">
        <f>#REF!-D1308</f>
        <v>#REF!</v>
      </c>
    </row>
    <row r="1309" spans="1:33" s="16" customFormat="1" ht="20.399999999999999" outlineLevel="1" x14ac:dyDescent="0.2">
      <c r="A1309" s="62" t="s">
        <v>1603</v>
      </c>
      <c r="B1309" s="80" t="s">
        <v>1496</v>
      </c>
      <c r="C1309" s="9" t="s">
        <v>47</v>
      </c>
      <c r="D1309" s="25">
        <f t="shared" si="327"/>
        <v>17</v>
      </c>
      <c r="E1309" s="54"/>
      <c r="F1309" s="9"/>
      <c r="G1309" s="9">
        <v>0</v>
      </c>
      <c r="H1309" s="9">
        <v>1</v>
      </c>
      <c r="I1309" s="9">
        <v>0</v>
      </c>
      <c r="J1309" s="9">
        <v>0</v>
      </c>
      <c r="K1309" s="9">
        <v>0</v>
      </c>
      <c r="L1309" s="9">
        <v>2</v>
      </c>
      <c r="M1309" s="9">
        <v>2</v>
      </c>
      <c r="N1309" s="9">
        <v>2</v>
      </c>
      <c r="O1309" s="9">
        <v>2</v>
      </c>
      <c r="P1309" s="9">
        <v>2</v>
      </c>
      <c r="Q1309" s="9">
        <v>0</v>
      </c>
      <c r="R1309" s="9">
        <v>0</v>
      </c>
      <c r="S1309" s="9">
        <v>0</v>
      </c>
      <c r="T1309" s="9">
        <v>0</v>
      </c>
      <c r="U1309" s="9">
        <v>0</v>
      </c>
      <c r="V1309" s="9">
        <v>1</v>
      </c>
      <c r="W1309" s="9">
        <v>1</v>
      </c>
      <c r="X1309" s="9">
        <v>1</v>
      </c>
      <c r="Y1309" s="9">
        <v>1</v>
      </c>
      <c r="Z1309" s="9">
        <v>1</v>
      </c>
      <c r="AA1309" s="9">
        <v>1</v>
      </c>
      <c r="AB1309" s="9">
        <v>0</v>
      </c>
      <c r="AC1309" s="9">
        <v>0</v>
      </c>
      <c r="AD1309" s="53" t="e">
        <f>#REF!*D1309</f>
        <v>#REF!</v>
      </c>
      <c r="AE1309" s="53" t="e">
        <f>AD1309-#REF!</f>
        <v>#REF!</v>
      </c>
      <c r="AF1309" s="9"/>
      <c r="AG1309" s="33" t="e">
        <f>#REF!-D1309</f>
        <v>#REF!</v>
      </c>
    </row>
    <row r="1310" spans="1:33" s="16" customFormat="1" ht="20.399999999999999" outlineLevel="1" x14ac:dyDescent="0.2">
      <c r="A1310" s="62" t="s">
        <v>1604</v>
      </c>
      <c r="B1310" s="80" t="s">
        <v>1497</v>
      </c>
      <c r="C1310" s="9" t="s">
        <v>47</v>
      </c>
      <c r="D1310" s="25">
        <f t="shared" si="327"/>
        <v>18</v>
      </c>
      <c r="E1310" s="54"/>
      <c r="F1310" s="9"/>
      <c r="G1310" s="9">
        <v>0</v>
      </c>
      <c r="H1310" s="9">
        <v>0</v>
      </c>
      <c r="I1310" s="9">
        <v>0</v>
      </c>
      <c r="J1310" s="9">
        <v>0</v>
      </c>
      <c r="K1310" s="9">
        <v>0</v>
      </c>
      <c r="L1310" s="9">
        <v>0</v>
      </c>
      <c r="M1310" s="9">
        <v>0</v>
      </c>
      <c r="N1310" s="9">
        <v>0</v>
      </c>
      <c r="O1310" s="9">
        <v>0</v>
      </c>
      <c r="P1310" s="9">
        <v>0</v>
      </c>
      <c r="Q1310" s="9">
        <v>0</v>
      </c>
      <c r="R1310" s="9">
        <v>14</v>
      </c>
      <c r="S1310" s="9">
        <v>0</v>
      </c>
      <c r="T1310" s="9">
        <v>3</v>
      </c>
      <c r="U1310" s="9">
        <v>0</v>
      </c>
      <c r="V1310" s="9">
        <v>0</v>
      </c>
      <c r="W1310" s="9">
        <v>1</v>
      </c>
      <c r="X1310" s="9">
        <v>0</v>
      </c>
      <c r="Y1310" s="9">
        <v>0</v>
      </c>
      <c r="Z1310" s="9">
        <v>0</v>
      </c>
      <c r="AA1310" s="9">
        <v>0</v>
      </c>
      <c r="AB1310" s="9">
        <v>0</v>
      </c>
      <c r="AC1310" s="9">
        <v>0</v>
      </c>
      <c r="AD1310" s="53" t="e">
        <f>#REF!*D1310</f>
        <v>#REF!</v>
      </c>
      <c r="AE1310" s="53" t="e">
        <f>AD1310-#REF!</f>
        <v>#REF!</v>
      </c>
      <c r="AF1310" s="9"/>
      <c r="AG1310" s="33" t="e">
        <f>#REF!-D1310</f>
        <v>#REF!</v>
      </c>
    </row>
    <row r="1311" spans="1:33" s="16" customFormat="1" ht="20.399999999999999" outlineLevel="1" x14ac:dyDescent="0.2">
      <c r="A1311" s="62" t="s">
        <v>1605</v>
      </c>
      <c r="B1311" s="80" t="s">
        <v>366</v>
      </c>
      <c r="C1311" s="9" t="s">
        <v>47</v>
      </c>
      <c r="D1311" s="25">
        <f t="shared" si="327"/>
        <v>5</v>
      </c>
      <c r="E1311" s="54"/>
      <c r="F1311" s="9"/>
      <c r="G1311" s="9">
        <v>0</v>
      </c>
      <c r="H1311" s="9">
        <v>0</v>
      </c>
      <c r="I1311" s="9">
        <v>0</v>
      </c>
      <c r="J1311" s="9">
        <v>0</v>
      </c>
      <c r="K1311" s="9">
        <v>0</v>
      </c>
      <c r="L1311" s="9">
        <v>0</v>
      </c>
      <c r="M1311" s="9">
        <v>0</v>
      </c>
      <c r="N1311" s="9">
        <v>0</v>
      </c>
      <c r="O1311" s="9">
        <v>0</v>
      </c>
      <c r="P1311" s="9">
        <v>0</v>
      </c>
      <c r="Q1311" s="9">
        <v>0</v>
      </c>
      <c r="R1311" s="9">
        <v>4</v>
      </c>
      <c r="S1311" s="9">
        <v>0</v>
      </c>
      <c r="T1311" s="9">
        <v>0</v>
      </c>
      <c r="U1311" s="9">
        <v>0</v>
      </c>
      <c r="V1311" s="9">
        <v>0</v>
      </c>
      <c r="W1311" s="9">
        <v>0</v>
      </c>
      <c r="X1311" s="9">
        <v>0</v>
      </c>
      <c r="Y1311" s="9">
        <v>0</v>
      </c>
      <c r="Z1311" s="9">
        <v>0</v>
      </c>
      <c r="AA1311" s="9">
        <v>0</v>
      </c>
      <c r="AB1311" s="9">
        <v>1</v>
      </c>
      <c r="AC1311" s="9">
        <v>0</v>
      </c>
      <c r="AD1311" s="53" t="e">
        <f>#REF!*D1311</f>
        <v>#REF!</v>
      </c>
      <c r="AE1311" s="53" t="e">
        <f>AD1311-#REF!</f>
        <v>#REF!</v>
      </c>
      <c r="AF1311" s="9"/>
      <c r="AG1311" s="33" t="e">
        <f>#REF!-D1311</f>
        <v>#REF!</v>
      </c>
    </row>
    <row r="1312" spans="1:33" s="16" customFormat="1" ht="20.399999999999999" outlineLevel="1" x14ac:dyDescent="0.2">
      <c r="A1312" s="62" t="s">
        <v>1606</v>
      </c>
      <c r="B1312" s="80" t="s">
        <v>1561</v>
      </c>
      <c r="C1312" s="9" t="s">
        <v>47</v>
      </c>
      <c r="D1312" s="25">
        <f t="shared" si="327"/>
        <v>3</v>
      </c>
      <c r="E1312" s="54"/>
      <c r="F1312" s="9"/>
      <c r="G1312" s="9">
        <v>0</v>
      </c>
      <c r="H1312" s="9">
        <v>0</v>
      </c>
      <c r="I1312" s="9">
        <v>0</v>
      </c>
      <c r="J1312" s="9">
        <v>0</v>
      </c>
      <c r="K1312" s="9">
        <v>0</v>
      </c>
      <c r="L1312" s="9">
        <v>0</v>
      </c>
      <c r="M1312" s="9">
        <v>0</v>
      </c>
      <c r="N1312" s="9">
        <v>0</v>
      </c>
      <c r="O1312" s="9">
        <v>0</v>
      </c>
      <c r="P1312" s="9">
        <v>0</v>
      </c>
      <c r="Q1312" s="9">
        <v>0</v>
      </c>
      <c r="R1312" s="9">
        <v>3</v>
      </c>
      <c r="S1312" s="9">
        <v>0</v>
      </c>
      <c r="T1312" s="9">
        <v>0</v>
      </c>
      <c r="U1312" s="9">
        <v>0</v>
      </c>
      <c r="V1312" s="9">
        <v>0</v>
      </c>
      <c r="W1312" s="9">
        <v>0</v>
      </c>
      <c r="X1312" s="9">
        <v>0</v>
      </c>
      <c r="Y1312" s="9">
        <v>0</v>
      </c>
      <c r="Z1312" s="9">
        <v>0</v>
      </c>
      <c r="AA1312" s="9">
        <v>0</v>
      </c>
      <c r="AB1312" s="9">
        <v>0</v>
      </c>
      <c r="AC1312" s="9">
        <v>0</v>
      </c>
      <c r="AD1312" s="53" t="e">
        <f>#REF!*D1312</f>
        <v>#REF!</v>
      </c>
      <c r="AE1312" s="53" t="e">
        <f>AD1312-#REF!</f>
        <v>#REF!</v>
      </c>
      <c r="AF1312" s="9"/>
      <c r="AG1312" s="33" t="e">
        <f>#REF!-D1312</f>
        <v>#REF!</v>
      </c>
    </row>
    <row r="1313" spans="1:37" s="16" customFormat="1" ht="20.399999999999999" outlineLevel="1" x14ac:dyDescent="0.2">
      <c r="A1313" s="62" t="s">
        <v>1607</v>
      </c>
      <c r="B1313" s="14" t="s">
        <v>2146</v>
      </c>
      <c r="C1313" s="8" t="s">
        <v>47</v>
      </c>
      <c r="D1313" s="25">
        <f t="shared" si="327"/>
        <v>12</v>
      </c>
      <c r="E1313" s="54"/>
      <c r="F1313" s="9"/>
      <c r="G1313" s="9">
        <v>0</v>
      </c>
      <c r="H1313" s="9">
        <v>6</v>
      </c>
      <c r="I1313" s="9">
        <v>0</v>
      </c>
      <c r="J1313" s="9">
        <v>0</v>
      </c>
      <c r="K1313" s="9">
        <v>0</v>
      </c>
      <c r="L1313" s="9">
        <v>0</v>
      </c>
      <c r="M1313" s="9">
        <v>0</v>
      </c>
      <c r="N1313" s="9">
        <v>0</v>
      </c>
      <c r="O1313" s="9">
        <v>0</v>
      </c>
      <c r="P1313" s="9">
        <v>0</v>
      </c>
      <c r="Q1313" s="9">
        <v>0</v>
      </c>
      <c r="R1313" s="9">
        <v>0</v>
      </c>
      <c r="S1313" s="9">
        <v>0</v>
      </c>
      <c r="T1313" s="9">
        <v>0</v>
      </c>
      <c r="U1313" s="9">
        <v>6</v>
      </c>
      <c r="V1313" s="9">
        <v>0</v>
      </c>
      <c r="W1313" s="9">
        <v>0</v>
      </c>
      <c r="X1313" s="9">
        <v>0</v>
      </c>
      <c r="Y1313" s="9">
        <v>0</v>
      </c>
      <c r="Z1313" s="9">
        <v>0</v>
      </c>
      <c r="AA1313" s="9">
        <v>0</v>
      </c>
      <c r="AB1313" s="9">
        <v>0</v>
      </c>
      <c r="AC1313" s="9">
        <v>0</v>
      </c>
      <c r="AD1313" s="53" t="e">
        <f>#REF!*D1313</f>
        <v>#REF!</v>
      </c>
      <c r="AE1313" s="53" t="e">
        <f>AD1313-#REF!</f>
        <v>#REF!</v>
      </c>
      <c r="AF1313" s="9"/>
      <c r="AG1313" s="33" t="e">
        <f>#REF!-D1313</f>
        <v>#REF!</v>
      </c>
    </row>
    <row r="1314" spans="1:37" s="12" customFormat="1" ht="20.399999999999999" outlineLevel="1" x14ac:dyDescent="0.2">
      <c r="A1314" s="62" t="s">
        <v>1608</v>
      </c>
      <c r="B1314" s="14" t="s">
        <v>69</v>
      </c>
      <c r="C1314" s="9" t="s">
        <v>47</v>
      </c>
      <c r="D1314" s="25">
        <f t="shared" si="327"/>
        <v>1348</v>
      </c>
      <c r="E1314" s="54"/>
      <c r="F1314" s="9"/>
      <c r="G1314" s="9">
        <v>0</v>
      </c>
      <c r="H1314" s="9">
        <f>170-50</f>
        <v>120</v>
      </c>
      <c r="I1314" s="9">
        <v>80</v>
      </c>
      <c r="J1314" s="9">
        <v>90</v>
      </c>
      <c r="K1314" s="9">
        <v>0</v>
      </c>
      <c r="L1314" s="9">
        <v>140</v>
      </c>
      <c r="M1314" s="9">
        <v>85</v>
      </c>
      <c r="N1314" s="9">
        <v>85</v>
      </c>
      <c r="O1314" s="9">
        <v>90</v>
      </c>
      <c r="P1314" s="9">
        <v>120</v>
      </c>
      <c r="Q1314" s="9">
        <v>0</v>
      </c>
      <c r="R1314" s="9">
        <v>0</v>
      </c>
      <c r="S1314" s="9">
        <v>0</v>
      </c>
      <c r="T1314" s="9">
        <v>0</v>
      </c>
      <c r="U1314" s="49">
        <f>SUM(U1267:U1270)/1.4</f>
        <v>0</v>
      </c>
      <c r="V1314" s="9">
        <v>100</v>
      </c>
      <c r="W1314" s="9">
        <v>100</v>
      </c>
      <c r="X1314" s="9">
        <v>60</v>
      </c>
      <c r="Y1314" s="9">
        <v>105</v>
      </c>
      <c r="Z1314" s="9">
        <v>75</v>
      </c>
      <c r="AA1314" s="9">
        <v>70</v>
      </c>
      <c r="AB1314" s="9">
        <v>28</v>
      </c>
      <c r="AC1314" s="9">
        <v>0</v>
      </c>
      <c r="AD1314" s="53" t="e">
        <f>#REF!*D1314</f>
        <v>#REF!</v>
      </c>
      <c r="AE1314" s="53" t="e">
        <f>AD1314-#REF!</f>
        <v>#REF!</v>
      </c>
      <c r="AF1314" s="9"/>
      <c r="AG1314" s="33" t="e">
        <f>#REF!-D1314</f>
        <v>#REF!</v>
      </c>
    </row>
    <row r="1315" spans="1:37" s="12" customFormat="1" ht="20.399999999999999" outlineLevel="1" x14ac:dyDescent="0.2">
      <c r="A1315" s="62" t="s">
        <v>1609</v>
      </c>
      <c r="B1315" s="14" t="s">
        <v>110</v>
      </c>
      <c r="C1315" s="9" t="s">
        <v>48</v>
      </c>
      <c r="D1315" s="25">
        <f t="shared" si="327"/>
        <v>340</v>
      </c>
      <c r="E1315" s="54"/>
      <c r="F1315" s="9"/>
      <c r="G1315" s="49">
        <f>G1314*0.25</f>
        <v>0</v>
      </c>
      <c r="H1315" s="49">
        <f t="shared" ref="H1315:R1315" si="328">MROUND(H1314*0.25,3)</f>
        <v>30</v>
      </c>
      <c r="I1315" s="49">
        <f t="shared" si="328"/>
        <v>21</v>
      </c>
      <c r="J1315" s="49">
        <f t="shared" si="328"/>
        <v>24</v>
      </c>
      <c r="K1315" s="49">
        <f t="shared" si="328"/>
        <v>0</v>
      </c>
      <c r="L1315" s="49">
        <f t="shared" si="328"/>
        <v>36</v>
      </c>
      <c r="M1315" s="49">
        <f t="shared" si="328"/>
        <v>21</v>
      </c>
      <c r="N1315" s="49">
        <f t="shared" si="328"/>
        <v>21</v>
      </c>
      <c r="O1315" s="49">
        <f t="shared" si="328"/>
        <v>24</v>
      </c>
      <c r="P1315" s="49">
        <f t="shared" si="328"/>
        <v>30</v>
      </c>
      <c r="Q1315" s="49">
        <f t="shared" si="328"/>
        <v>0</v>
      </c>
      <c r="R1315" s="49">
        <f t="shared" si="328"/>
        <v>0</v>
      </c>
      <c r="S1315" s="49">
        <f>S1314*0.25</f>
        <v>0</v>
      </c>
      <c r="T1315" s="49">
        <f>T1314*0.25</f>
        <v>0</v>
      </c>
      <c r="U1315" s="49">
        <f t="shared" ref="U1315:AA1315" si="329">MROUND(U1314*0.25,3)</f>
        <v>0</v>
      </c>
      <c r="V1315" s="49">
        <f t="shared" si="329"/>
        <v>24</v>
      </c>
      <c r="W1315" s="49">
        <f t="shared" si="329"/>
        <v>24</v>
      </c>
      <c r="X1315" s="49">
        <f t="shared" si="329"/>
        <v>15</v>
      </c>
      <c r="Y1315" s="49">
        <f t="shared" si="329"/>
        <v>27</v>
      </c>
      <c r="Z1315" s="49">
        <f t="shared" si="329"/>
        <v>18</v>
      </c>
      <c r="AA1315" s="49">
        <f t="shared" si="329"/>
        <v>18</v>
      </c>
      <c r="AB1315" s="49">
        <f>AB1314*0.25</f>
        <v>7</v>
      </c>
      <c r="AC1315" s="49">
        <f>AC1314*0.25</f>
        <v>0</v>
      </c>
      <c r="AD1315" s="53" t="e">
        <f>#REF!*D1315</f>
        <v>#REF!</v>
      </c>
      <c r="AE1315" s="53" t="e">
        <f>AD1315-#REF!</f>
        <v>#REF!</v>
      </c>
      <c r="AF1315" s="9"/>
      <c r="AG1315" s="33" t="e">
        <f>#REF!-D1315</f>
        <v>#REF!</v>
      </c>
    </row>
    <row r="1316" spans="1:37" s="12" customFormat="1" ht="20.399999999999999" outlineLevel="1" x14ac:dyDescent="0.2">
      <c r="A1316" s="62" t="s">
        <v>1610</v>
      </c>
      <c r="B1316" s="14" t="s">
        <v>112</v>
      </c>
      <c r="C1316" s="9" t="s">
        <v>47</v>
      </c>
      <c r="D1316" s="25">
        <f t="shared" si="327"/>
        <v>2696</v>
      </c>
      <c r="E1316" s="54"/>
      <c r="F1316" s="9"/>
      <c r="G1316" s="49">
        <f t="shared" ref="G1316:AC1316" si="330">G1314*2</f>
        <v>0</v>
      </c>
      <c r="H1316" s="49">
        <f t="shared" si="330"/>
        <v>240</v>
      </c>
      <c r="I1316" s="49">
        <f t="shared" si="330"/>
        <v>160</v>
      </c>
      <c r="J1316" s="49">
        <f t="shared" si="330"/>
        <v>180</v>
      </c>
      <c r="K1316" s="49">
        <f t="shared" si="330"/>
        <v>0</v>
      </c>
      <c r="L1316" s="49">
        <f t="shared" si="330"/>
        <v>280</v>
      </c>
      <c r="M1316" s="49">
        <f t="shared" si="330"/>
        <v>170</v>
      </c>
      <c r="N1316" s="49">
        <f t="shared" si="330"/>
        <v>170</v>
      </c>
      <c r="O1316" s="49">
        <f t="shared" si="330"/>
        <v>180</v>
      </c>
      <c r="P1316" s="49">
        <f t="shared" si="330"/>
        <v>240</v>
      </c>
      <c r="Q1316" s="49">
        <f t="shared" si="330"/>
        <v>0</v>
      </c>
      <c r="R1316" s="49">
        <f t="shared" si="330"/>
        <v>0</v>
      </c>
      <c r="S1316" s="49">
        <f t="shared" si="330"/>
        <v>0</v>
      </c>
      <c r="T1316" s="49">
        <f t="shared" si="330"/>
        <v>0</v>
      </c>
      <c r="U1316" s="49">
        <f t="shared" si="330"/>
        <v>0</v>
      </c>
      <c r="V1316" s="49">
        <f t="shared" si="330"/>
        <v>200</v>
      </c>
      <c r="W1316" s="49">
        <f t="shared" si="330"/>
        <v>200</v>
      </c>
      <c r="X1316" s="49">
        <f t="shared" si="330"/>
        <v>120</v>
      </c>
      <c r="Y1316" s="49">
        <f t="shared" si="330"/>
        <v>210</v>
      </c>
      <c r="Z1316" s="49">
        <f t="shared" si="330"/>
        <v>150</v>
      </c>
      <c r="AA1316" s="49">
        <f t="shared" si="330"/>
        <v>140</v>
      </c>
      <c r="AB1316" s="49">
        <f t="shared" si="330"/>
        <v>56</v>
      </c>
      <c r="AC1316" s="49">
        <f t="shared" si="330"/>
        <v>0</v>
      </c>
      <c r="AD1316" s="53" t="e">
        <f>#REF!*D1316</f>
        <v>#REF!</v>
      </c>
      <c r="AE1316" s="53" t="e">
        <f>AD1316-#REF!</f>
        <v>#REF!</v>
      </c>
      <c r="AF1316" s="9"/>
      <c r="AG1316" s="33" t="e">
        <f>#REF!-D1316</f>
        <v>#REF!</v>
      </c>
    </row>
    <row r="1317" spans="1:37" s="12" customFormat="1" ht="20.399999999999999" outlineLevel="1" x14ac:dyDescent="0.2">
      <c r="A1317" s="62" t="s">
        <v>1611</v>
      </c>
      <c r="B1317" s="14" t="s">
        <v>1032</v>
      </c>
      <c r="C1317" s="9" t="s">
        <v>47</v>
      </c>
      <c r="D1317" s="25">
        <f t="shared" si="327"/>
        <v>1348</v>
      </c>
      <c r="E1317" s="54"/>
      <c r="F1317" s="9"/>
      <c r="G1317" s="49">
        <f t="shared" ref="G1317:AC1317" si="331">G1314</f>
        <v>0</v>
      </c>
      <c r="H1317" s="49">
        <f t="shared" si="331"/>
        <v>120</v>
      </c>
      <c r="I1317" s="49">
        <f t="shared" si="331"/>
        <v>80</v>
      </c>
      <c r="J1317" s="49">
        <f t="shared" si="331"/>
        <v>90</v>
      </c>
      <c r="K1317" s="49">
        <f t="shared" si="331"/>
        <v>0</v>
      </c>
      <c r="L1317" s="49">
        <f t="shared" si="331"/>
        <v>140</v>
      </c>
      <c r="M1317" s="49">
        <f t="shared" si="331"/>
        <v>85</v>
      </c>
      <c r="N1317" s="49">
        <f t="shared" si="331"/>
        <v>85</v>
      </c>
      <c r="O1317" s="49">
        <f t="shared" si="331"/>
        <v>90</v>
      </c>
      <c r="P1317" s="49">
        <f t="shared" si="331"/>
        <v>120</v>
      </c>
      <c r="Q1317" s="49">
        <f t="shared" si="331"/>
        <v>0</v>
      </c>
      <c r="R1317" s="49">
        <f t="shared" si="331"/>
        <v>0</v>
      </c>
      <c r="S1317" s="49">
        <f t="shared" si="331"/>
        <v>0</v>
      </c>
      <c r="T1317" s="49">
        <f t="shared" si="331"/>
        <v>0</v>
      </c>
      <c r="U1317" s="49">
        <f t="shared" si="331"/>
        <v>0</v>
      </c>
      <c r="V1317" s="49">
        <f t="shared" si="331"/>
        <v>100</v>
      </c>
      <c r="W1317" s="49">
        <f t="shared" si="331"/>
        <v>100</v>
      </c>
      <c r="X1317" s="49">
        <f t="shared" si="331"/>
        <v>60</v>
      </c>
      <c r="Y1317" s="49">
        <f t="shared" si="331"/>
        <v>105</v>
      </c>
      <c r="Z1317" s="49">
        <f t="shared" si="331"/>
        <v>75</v>
      </c>
      <c r="AA1317" s="49">
        <f t="shared" si="331"/>
        <v>70</v>
      </c>
      <c r="AB1317" s="49">
        <f t="shared" si="331"/>
        <v>28</v>
      </c>
      <c r="AC1317" s="49">
        <f t="shared" si="331"/>
        <v>0</v>
      </c>
      <c r="AD1317" s="53" t="e">
        <f>#REF!*D1317</f>
        <v>#REF!</v>
      </c>
      <c r="AE1317" s="53" t="e">
        <f>AD1317-#REF!</f>
        <v>#REF!</v>
      </c>
      <c r="AF1317" s="9"/>
      <c r="AG1317" s="33" t="e">
        <f>#REF!-D1317</f>
        <v>#REF!</v>
      </c>
    </row>
    <row r="1318" spans="1:37" s="17" customFormat="1" ht="20.399999999999999" outlineLevel="1" x14ac:dyDescent="0.2">
      <c r="A1318" s="62" t="s">
        <v>2546</v>
      </c>
      <c r="B1318" s="14" t="s">
        <v>1033</v>
      </c>
      <c r="C1318" s="8" t="s">
        <v>48</v>
      </c>
      <c r="D1318" s="25">
        <f t="shared" si="327"/>
        <v>677</v>
      </c>
      <c r="E1318" s="54"/>
      <c r="F1318" s="9"/>
      <c r="G1318" s="49">
        <f>G1314*0.5</f>
        <v>0</v>
      </c>
      <c r="H1318" s="49">
        <f t="shared" ref="H1318:R1318" si="332">MROUND(H1314*0.5,3)</f>
        <v>60</v>
      </c>
      <c r="I1318" s="49">
        <f t="shared" si="332"/>
        <v>39</v>
      </c>
      <c r="J1318" s="49">
        <f t="shared" si="332"/>
        <v>45</v>
      </c>
      <c r="K1318" s="49">
        <f t="shared" si="332"/>
        <v>0</v>
      </c>
      <c r="L1318" s="49">
        <f t="shared" si="332"/>
        <v>69</v>
      </c>
      <c r="M1318" s="49">
        <f t="shared" si="332"/>
        <v>42</v>
      </c>
      <c r="N1318" s="49">
        <f t="shared" si="332"/>
        <v>42</v>
      </c>
      <c r="O1318" s="49">
        <f t="shared" si="332"/>
        <v>45</v>
      </c>
      <c r="P1318" s="49">
        <f t="shared" si="332"/>
        <v>60</v>
      </c>
      <c r="Q1318" s="49">
        <f t="shared" si="332"/>
        <v>0</v>
      </c>
      <c r="R1318" s="49">
        <f t="shared" si="332"/>
        <v>0</v>
      </c>
      <c r="S1318" s="49">
        <f>S1314*0.5</f>
        <v>0</v>
      </c>
      <c r="T1318" s="49">
        <f>T1314*0.5</f>
        <v>0</v>
      </c>
      <c r="U1318" s="49">
        <f t="shared" ref="U1318:AA1318" si="333">MROUND(U1314*0.5,3)</f>
        <v>0</v>
      </c>
      <c r="V1318" s="49">
        <f t="shared" si="333"/>
        <v>51</v>
      </c>
      <c r="W1318" s="49">
        <f t="shared" si="333"/>
        <v>51</v>
      </c>
      <c r="X1318" s="49">
        <f t="shared" si="333"/>
        <v>30</v>
      </c>
      <c r="Y1318" s="49">
        <f t="shared" si="333"/>
        <v>54</v>
      </c>
      <c r="Z1318" s="49">
        <f t="shared" si="333"/>
        <v>39</v>
      </c>
      <c r="AA1318" s="49">
        <f t="shared" si="333"/>
        <v>36</v>
      </c>
      <c r="AB1318" s="49">
        <f>AB1314*0.5</f>
        <v>14</v>
      </c>
      <c r="AC1318" s="49">
        <f>AC1314*0.5</f>
        <v>0</v>
      </c>
      <c r="AD1318" s="53" t="e">
        <f>#REF!*D1318</f>
        <v>#REF!</v>
      </c>
      <c r="AE1318" s="53" t="e">
        <f>AD1318-#REF!</f>
        <v>#REF!</v>
      </c>
      <c r="AF1318" s="8"/>
      <c r="AG1318" s="33" t="e">
        <f>#REF!-D1318</f>
        <v>#REF!</v>
      </c>
      <c r="AH1318" s="8"/>
      <c r="AI1318" s="8"/>
      <c r="AJ1318" s="8"/>
      <c r="AK1318" s="8"/>
    </row>
    <row r="1319" spans="1:37" s="17" customFormat="1" ht="20.399999999999999" outlineLevel="1" x14ac:dyDescent="0.2">
      <c r="A1319" s="62" t="s">
        <v>3207</v>
      </c>
      <c r="B1319" s="14" t="s">
        <v>2497</v>
      </c>
      <c r="C1319" s="21" t="s">
        <v>47</v>
      </c>
      <c r="D1319" s="25">
        <f t="shared" si="327"/>
        <v>674</v>
      </c>
      <c r="E1319" s="54"/>
      <c r="F1319" s="9"/>
      <c r="G1319" s="49">
        <f t="shared" ref="G1319:AC1319" si="334">G1314*0.5</f>
        <v>0</v>
      </c>
      <c r="H1319" s="49">
        <f t="shared" si="334"/>
        <v>60</v>
      </c>
      <c r="I1319" s="49">
        <f t="shared" si="334"/>
        <v>40</v>
      </c>
      <c r="J1319" s="49">
        <f t="shared" si="334"/>
        <v>45</v>
      </c>
      <c r="K1319" s="49">
        <f t="shared" si="334"/>
        <v>0</v>
      </c>
      <c r="L1319" s="49">
        <f t="shared" si="334"/>
        <v>70</v>
      </c>
      <c r="M1319" s="49">
        <f t="shared" si="334"/>
        <v>42.5</v>
      </c>
      <c r="N1319" s="49">
        <f t="shared" si="334"/>
        <v>42.5</v>
      </c>
      <c r="O1319" s="49">
        <f t="shared" si="334"/>
        <v>45</v>
      </c>
      <c r="P1319" s="49">
        <f t="shared" si="334"/>
        <v>60</v>
      </c>
      <c r="Q1319" s="49">
        <f t="shared" si="334"/>
        <v>0</v>
      </c>
      <c r="R1319" s="49">
        <f t="shared" si="334"/>
        <v>0</v>
      </c>
      <c r="S1319" s="49">
        <f t="shared" si="334"/>
        <v>0</v>
      </c>
      <c r="T1319" s="49">
        <f t="shared" si="334"/>
        <v>0</v>
      </c>
      <c r="U1319" s="49">
        <f t="shared" si="334"/>
        <v>0</v>
      </c>
      <c r="V1319" s="49">
        <f t="shared" si="334"/>
        <v>50</v>
      </c>
      <c r="W1319" s="49">
        <f t="shared" si="334"/>
        <v>50</v>
      </c>
      <c r="X1319" s="49">
        <f t="shared" si="334"/>
        <v>30</v>
      </c>
      <c r="Y1319" s="49">
        <f t="shared" si="334"/>
        <v>52.5</v>
      </c>
      <c r="Z1319" s="49">
        <f t="shared" si="334"/>
        <v>37.5</v>
      </c>
      <c r="AA1319" s="49">
        <f t="shared" si="334"/>
        <v>35</v>
      </c>
      <c r="AB1319" s="49">
        <f t="shared" si="334"/>
        <v>14</v>
      </c>
      <c r="AC1319" s="49">
        <f t="shared" si="334"/>
        <v>0</v>
      </c>
      <c r="AD1319" s="53" t="e">
        <f>#REF!*D1319</f>
        <v>#REF!</v>
      </c>
      <c r="AE1319" s="53" t="e">
        <f>AD1319-#REF!</f>
        <v>#REF!</v>
      </c>
      <c r="AF1319" s="21"/>
      <c r="AG1319" s="33" t="e">
        <f>#REF!-D1319</f>
        <v>#REF!</v>
      </c>
      <c r="AH1319" s="21"/>
      <c r="AI1319" s="21"/>
      <c r="AJ1319" s="21"/>
      <c r="AK1319" s="21"/>
    </row>
    <row r="1320" spans="1:37" s="16" customFormat="1" ht="20.399999999999999" outlineLevel="1" x14ac:dyDescent="0.2">
      <c r="A1320" s="230" t="s">
        <v>1103</v>
      </c>
      <c r="B1320" s="63" t="s">
        <v>3548</v>
      </c>
      <c r="C1320" s="9"/>
      <c r="D1320" s="25"/>
      <c r="E1320" s="54"/>
      <c r="F1320" s="9"/>
      <c r="G1320" s="9"/>
      <c r="H1320" s="9"/>
      <c r="I1320" s="9"/>
      <c r="J1320" s="9"/>
      <c r="K1320" s="9"/>
      <c r="L1320" s="9"/>
      <c r="M1320" s="9"/>
      <c r="N1320" s="9"/>
      <c r="O1320" s="9"/>
      <c r="P1320" s="9"/>
      <c r="Q1320" s="9"/>
      <c r="R1320" s="9"/>
      <c r="S1320" s="9"/>
      <c r="T1320" s="9"/>
      <c r="U1320" s="9"/>
      <c r="V1320" s="9"/>
      <c r="W1320" s="9"/>
      <c r="X1320" s="9"/>
      <c r="Y1320" s="9"/>
      <c r="Z1320" s="9"/>
      <c r="AA1320" s="9"/>
      <c r="AB1320" s="9"/>
      <c r="AC1320" s="9"/>
      <c r="AD1320" s="53"/>
      <c r="AE1320" s="53"/>
      <c r="AF1320" s="9"/>
      <c r="AG1320" s="33"/>
    </row>
    <row r="1321" spans="1:37" outlineLevel="1" x14ac:dyDescent="0.25">
      <c r="AD1321" s="53" t="e">
        <f>#REF!*D1321</f>
        <v>#REF!</v>
      </c>
      <c r="AE1321" s="53" t="e">
        <f>AD1321-#REF!</f>
        <v>#REF!</v>
      </c>
      <c r="AG1321" s="33" t="e">
        <f>#REF!-D1321</f>
        <v>#REF!</v>
      </c>
    </row>
    <row r="1322" spans="1:37" x14ac:dyDescent="0.25">
      <c r="A1322" s="18" t="s">
        <v>1612</v>
      </c>
      <c r="B1322" s="35" t="s">
        <v>2377</v>
      </c>
      <c r="C1322" s="18" t="s">
        <v>41</v>
      </c>
      <c r="D1322" s="52" t="e">
        <f>#REF!/#REF!*100</f>
        <v>#REF!</v>
      </c>
      <c r="G1322" s="9"/>
      <c r="H1322" s="76"/>
      <c r="I1322" s="76"/>
      <c r="J1322" s="76"/>
      <c r="K1322" s="76"/>
      <c r="L1322" s="76"/>
      <c r="M1322" s="76"/>
      <c r="N1322" s="76"/>
      <c r="O1322" s="76"/>
      <c r="P1322" s="76"/>
      <c r="Q1322" s="76"/>
      <c r="R1322" s="76"/>
      <c r="S1322" s="76"/>
      <c r="T1322" s="76"/>
      <c r="U1322" s="76"/>
      <c r="V1322" s="76"/>
      <c r="W1322" s="76"/>
      <c r="X1322" s="76"/>
      <c r="Y1322" s="76"/>
      <c r="Z1322" s="76"/>
      <c r="AA1322" s="76"/>
      <c r="AB1322" s="214" t="s">
        <v>375</v>
      </c>
      <c r="AC1322" s="76"/>
      <c r="AD1322" s="53" t="e">
        <f>#REF!*D1322</f>
        <v>#REF!</v>
      </c>
      <c r="AE1322" s="53" t="e">
        <f>AD1322-#REF!</f>
        <v>#REF!</v>
      </c>
      <c r="AG1322" s="33" t="e">
        <f>#REF!-D1322</f>
        <v>#REF!</v>
      </c>
      <c r="AH1322" s="2"/>
      <c r="AI1322" s="2"/>
      <c r="AJ1322" s="2"/>
      <c r="AK1322" s="2"/>
    </row>
    <row r="1323" spans="1:37" s="16" customFormat="1" ht="20.399999999999999" outlineLevel="1" x14ac:dyDescent="0.2">
      <c r="A1323" s="62" t="s">
        <v>1613</v>
      </c>
      <c r="B1323" s="80" t="s">
        <v>1463</v>
      </c>
      <c r="C1323" s="9" t="s">
        <v>47</v>
      </c>
      <c r="D1323" s="25">
        <f t="shared" ref="D1323:D1348" si="335">SUM(G1323:AC1323)</f>
        <v>4</v>
      </c>
      <c r="E1323" s="54"/>
      <c r="F1323" s="9"/>
      <c r="G1323" s="9">
        <v>0</v>
      </c>
      <c r="H1323" s="9">
        <v>4</v>
      </c>
      <c r="I1323" s="9">
        <v>0</v>
      </c>
      <c r="J1323" s="9">
        <v>0</v>
      </c>
      <c r="K1323" s="9">
        <v>0</v>
      </c>
      <c r="L1323" s="9">
        <v>0</v>
      </c>
      <c r="M1323" s="9">
        <v>0</v>
      </c>
      <c r="N1323" s="9">
        <v>0</v>
      </c>
      <c r="O1323" s="9">
        <v>0</v>
      </c>
      <c r="P1323" s="9">
        <v>0</v>
      </c>
      <c r="Q1323" s="9">
        <v>0</v>
      </c>
      <c r="R1323" s="9">
        <v>0</v>
      </c>
      <c r="S1323" s="9">
        <v>0</v>
      </c>
      <c r="T1323" s="9">
        <v>0</v>
      </c>
      <c r="U1323" s="9">
        <v>0</v>
      </c>
      <c r="V1323" s="9">
        <v>0</v>
      </c>
      <c r="W1323" s="9">
        <v>0</v>
      </c>
      <c r="X1323" s="9">
        <v>0</v>
      </c>
      <c r="Y1323" s="9">
        <v>0</v>
      </c>
      <c r="Z1323" s="9">
        <v>0</v>
      </c>
      <c r="AA1323" s="9">
        <v>0</v>
      </c>
      <c r="AB1323" s="9">
        <v>0</v>
      </c>
      <c r="AC1323" s="9">
        <v>0</v>
      </c>
      <c r="AD1323" s="53" t="e">
        <f>#REF!*D1323</f>
        <v>#REF!</v>
      </c>
      <c r="AE1323" s="53" t="e">
        <f>AD1323-#REF!</f>
        <v>#REF!</v>
      </c>
      <c r="AF1323" s="9"/>
      <c r="AG1323" s="33" t="e">
        <f>#REF!-D1323</f>
        <v>#REF!</v>
      </c>
    </row>
    <row r="1324" spans="1:37" s="16" customFormat="1" ht="20.399999999999999" outlineLevel="1" x14ac:dyDescent="0.2">
      <c r="A1324" s="62" t="s">
        <v>1614</v>
      </c>
      <c r="B1324" s="80" t="s">
        <v>199</v>
      </c>
      <c r="C1324" s="9" t="s">
        <v>47</v>
      </c>
      <c r="D1324" s="25">
        <f t="shared" si="335"/>
        <v>61</v>
      </c>
      <c r="E1324" s="54"/>
      <c r="F1324" s="9"/>
      <c r="G1324" s="9">
        <v>0</v>
      </c>
      <c r="H1324" s="9">
        <v>13</v>
      </c>
      <c r="I1324" s="9">
        <v>8</v>
      </c>
      <c r="J1324" s="9">
        <v>5</v>
      </c>
      <c r="K1324" s="9">
        <v>3</v>
      </c>
      <c r="L1324" s="9">
        <v>3</v>
      </c>
      <c r="M1324" s="9">
        <v>4</v>
      </c>
      <c r="N1324" s="9">
        <v>4</v>
      </c>
      <c r="O1324" s="9">
        <v>7</v>
      </c>
      <c r="P1324" s="9">
        <v>5</v>
      </c>
      <c r="Q1324" s="9">
        <v>0</v>
      </c>
      <c r="R1324" s="9">
        <v>1</v>
      </c>
      <c r="S1324" s="9">
        <v>0</v>
      </c>
      <c r="T1324" s="9">
        <v>0</v>
      </c>
      <c r="U1324" s="9">
        <v>0</v>
      </c>
      <c r="V1324" s="9">
        <v>8</v>
      </c>
      <c r="W1324" s="9">
        <v>0</v>
      </c>
      <c r="X1324" s="9">
        <v>0</v>
      </c>
      <c r="Y1324" s="9">
        <v>0</v>
      </c>
      <c r="Z1324" s="9">
        <v>0</v>
      </c>
      <c r="AA1324" s="9">
        <v>0</v>
      </c>
      <c r="AB1324" s="9">
        <v>0</v>
      </c>
      <c r="AC1324" s="9">
        <v>0</v>
      </c>
      <c r="AD1324" s="53" t="e">
        <f>#REF!*D1324</f>
        <v>#REF!</v>
      </c>
      <c r="AE1324" s="53" t="e">
        <f>AD1324-#REF!</f>
        <v>#REF!</v>
      </c>
      <c r="AF1324" s="9"/>
      <c r="AG1324" s="33" t="e">
        <f>#REF!-D1324</f>
        <v>#REF!</v>
      </c>
    </row>
    <row r="1325" spans="1:37" s="16" customFormat="1" ht="20.399999999999999" outlineLevel="1" x14ac:dyDescent="0.2">
      <c r="A1325" s="62" t="s">
        <v>1615</v>
      </c>
      <c r="B1325" s="80" t="s">
        <v>200</v>
      </c>
      <c r="C1325" s="9" t="s">
        <v>47</v>
      </c>
      <c r="D1325" s="25">
        <f t="shared" si="335"/>
        <v>8</v>
      </c>
      <c r="E1325" s="54"/>
      <c r="F1325" s="9"/>
      <c r="G1325" s="9">
        <v>2</v>
      </c>
      <c r="H1325" s="9">
        <v>2</v>
      </c>
      <c r="I1325" s="9">
        <v>0</v>
      </c>
      <c r="J1325" s="9">
        <v>0</v>
      </c>
      <c r="K1325" s="9">
        <v>0</v>
      </c>
      <c r="L1325" s="9">
        <v>0</v>
      </c>
      <c r="M1325" s="9">
        <v>0</v>
      </c>
      <c r="N1325" s="9">
        <v>0</v>
      </c>
      <c r="O1325" s="9">
        <v>0</v>
      </c>
      <c r="P1325" s="9">
        <v>0</v>
      </c>
      <c r="Q1325" s="9">
        <v>0</v>
      </c>
      <c r="R1325" s="9">
        <v>0</v>
      </c>
      <c r="S1325" s="9">
        <v>0</v>
      </c>
      <c r="T1325" s="9">
        <v>0</v>
      </c>
      <c r="U1325" s="9">
        <v>0</v>
      </c>
      <c r="V1325" s="9">
        <v>0</v>
      </c>
      <c r="W1325" s="9">
        <v>0</v>
      </c>
      <c r="X1325" s="9">
        <v>0</v>
      </c>
      <c r="Y1325" s="9">
        <v>0</v>
      </c>
      <c r="Z1325" s="9">
        <v>0</v>
      </c>
      <c r="AA1325" s="9">
        <v>0</v>
      </c>
      <c r="AB1325" s="9">
        <v>4</v>
      </c>
      <c r="AC1325" s="9">
        <v>0</v>
      </c>
      <c r="AD1325" s="53" t="e">
        <f>#REF!*D1325</f>
        <v>#REF!</v>
      </c>
      <c r="AE1325" s="53" t="e">
        <f>AD1325-#REF!</f>
        <v>#REF!</v>
      </c>
      <c r="AF1325" s="9"/>
      <c r="AG1325" s="33" t="e">
        <f>#REF!-D1325</f>
        <v>#REF!</v>
      </c>
    </row>
    <row r="1326" spans="1:37" s="16" customFormat="1" ht="20.399999999999999" outlineLevel="1" x14ac:dyDescent="0.2">
      <c r="A1326" s="62" t="s">
        <v>1616</v>
      </c>
      <c r="B1326" s="80" t="s">
        <v>1461</v>
      </c>
      <c r="C1326" s="9" t="s">
        <v>47</v>
      </c>
      <c r="D1326" s="25">
        <f t="shared" si="335"/>
        <v>12</v>
      </c>
      <c r="E1326" s="54"/>
      <c r="F1326" s="9"/>
      <c r="G1326" s="9">
        <v>1</v>
      </c>
      <c r="H1326" s="9">
        <v>1</v>
      </c>
      <c r="I1326" s="9">
        <v>1</v>
      </c>
      <c r="J1326" s="9">
        <v>0</v>
      </c>
      <c r="K1326" s="9">
        <v>0</v>
      </c>
      <c r="L1326" s="9">
        <v>0</v>
      </c>
      <c r="M1326" s="9">
        <v>0</v>
      </c>
      <c r="N1326" s="9">
        <v>0</v>
      </c>
      <c r="O1326" s="9">
        <v>0</v>
      </c>
      <c r="P1326" s="9">
        <v>0</v>
      </c>
      <c r="Q1326" s="9">
        <v>0</v>
      </c>
      <c r="R1326" s="9">
        <v>0</v>
      </c>
      <c r="S1326" s="9">
        <v>0</v>
      </c>
      <c r="T1326" s="9">
        <v>0</v>
      </c>
      <c r="U1326" s="9">
        <v>2</v>
      </c>
      <c r="V1326" s="9">
        <v>1</v>
      </c>
      <c r="W1326" s="9">
        <v>1</v>
      </c>
      <c r="X1326" s="9">
        <v>0</v>
      </c>
      <c r="Y1326" s="9">
        <v>0</v>
      </c>
      <c r="Z1326" s="9">
        <v>0</v>
      </c>
      <c r="AA1326" s="9">
        <v>0</v>
      </c>
      <c r="AB1326" s="9">
        <v>5</v>
      </c>
      <c r="AC1326" s="9">
        <v>0</v>
      </c>
      <c r="AD1326" s="53" t="e">
        <f>#REF!*D1326</f>
        <v>#REF!</v>
      </c>
      <c r="AE1326" s="53" t="e">
        <f>AD1326-#REF!</f>
        <v>#REF!</v>
      </c>
      <c r="AF1326" s="9"/>
      <c r="AG1326" s="33" t="e">
        <f>#REF!-D1326</f>
        <v>#REF!</v>
      </c>
    </row>
    <row r="1327" spans="1:37" s="16" customFormat="1" ht="20.399999999999999" outlineLevel="1" x14ac:dyDescent="0.2">
      <c r="A1327" s="62" t="s">
        <v>1617</v>
      </c>
      <c r="B1327" s="80" t="s">
        <v>1462</v>
      </c>
      <c r="C1327" s="9" t="s">
        <v>47</v>
      </c>
      <c r="D1327" s="25">
        <f t="shared" si="335"/>
        <v>12</v>
      </c>
      <c r="E1327" s="54"/>
      <c r="F1327" s="9"/>
      <c r="G1327" s="9">
        <v>0</v>
      </c>
      <c r="H1327" s="9">
        <v>1</v>
      </c>
      <c r="I1327" s="9">
        <v>0</v>
      </c>
      <c r="J1327" s="9">
        <v>0</v>
      </c>
      <c r="K1327" s="9">
        <v>0</v>
      </c>
      <c r="L1327" s="9">
        <v>0</v>
      </c>
      <c r="M1327" s="9">
        <v>0</v>
      </c>
      <c r="N1327" s="9">
        <v>0</v>
      </c>
      <c r="O1327" s="9">
        <v>0</v>
      </c>
      <c r="P1327" s="9">
        <v>0</v>
      </c>
      <c r="Q1327" s="9">
        <v>0</v>
      </c>
      <c r="R1327" s="9">
        <v>0</v>
      </c>
      <c r="S1327" s="9">
        <v>0</v>
      </c>
      <c r="T1327" s="9">
        <v>9</v>
      </c>
      <c r="U1327" s="9">
        <v>0</v>
      </c>
      <c r="V1327" s="9">
        <v>1</v>
      </c>
      <c r="W1327" s="9">
        <v>1</v>
      </c>
      <c r="X1327" s="9">
        <v>0</v>
      </c>
      <c r="Y1327" s="9">
        <v>0</v>
      </c>
      <c r="Z1327" s="9">
        <v>0</v>
      </c>
      <c r="AA1327" s="9">
        <v>0</v>
      </c>
      <c r="AB1327" s="9">
        <v>0</v>
      </c>
      <c r="AC1327" s="9">
        <v>0</v>
      </c>
      <c r="AD1327" s="53" t="e">
        <f>#REF!*D1327</f>
        <v>#REF!</v>
      </c>
      <c r="AE1327" s="53" t="e">
        <f>AD1327-#REF!</f>
        <v>#REF!</v>
      </c>
      <c r="AF1327" s="9"/>
      <c r="AG1327" s="33" t="e">
        <f>#REF!-D1327</f>
        <v>#REF!</v>
      </c>
    </row>
    <row r="1328" spans="1:37" s="16" customFormat="1" ht="20.399999999999999" outlineLevel="1" x14ac:dyDescent="0.2">
      <c r="A1328" s="62" t="s">
        <v>1618</v>
      </c>
      <c r="B1328" s="80" t="s">
        <v>201</v>
      </c>
      <c r="C1328" s="9" t="s">
        <v>47</v>
      </c>
      <c r="D1328" s="25">
        <f t="shared" si="335"/>
        <v>10</v>
      </c>
      <c r="E1328" s="54"/>
      <c r="F1328" s="9"/>
      <c r="G1328" s="9">
        <v>2</v>
      </c>
      <c r="H1328" s="9">
        <v>0</v>
      </c>
      <c r="I1328" s="9">
        <v>1</v>
      </c>
      <c r="J1328" s="9">
        <v>0</v>
      </c>
      <c r="K1328" s="9">
        <v>0</v>
      </c>
      <c r="L1328" s="9">
        <v>0</v>
      </c>
      <c r="M1328" s="9">
        <v>0</v>
      </c>
      <c r="N1328" s="9">
        <v>0</v>
      </c>
      <c r="O1328" s="9">
        <v>0</v>
      </c>
      <c r="P1328" s="9">
        <v>0</v>
      </c>
      <c r="Q1328" s="9">
        <v>0</v>
      </c>
      <c r="R1328" s="9">
        <v>3</v>
      </c>
      <c r="S1328" s="9">
        <v>0</v>
      </c>
      <c r="T1328" s="9">
        <v>0</v>
      </c>
      <c r="U1328" s="9">
        <v>0</v>
      </c>
      <c r="V1328" s="9">
        <v>0</v>
      </c>
      <c r="W1328" s="9">
        <v>0</v>
      </c>
      <c r="X1328" s="9">
        <v>1</v>
      </c>
      <c r="Y1328" s="9">
        <v>1</v>
      </c>
      <c r="Z1328" s="9">
        <v>1</v>
      </c>
      <c r="AA1328" s="9">
        <v>1</v>
      </c>
      <c r="AB1328" s="9">
        <v>0</v>
      </c>
      <c r="AC1328" s="9">
        <v>0</v>
      </c>
      <c r="AD1328" s="53" t="e">
        <f>#REF!*D1328</f>
        <v>#REF!</v>
      </c>
      <c r="AE1328" s="53" t="e">
        <f>AD1328-#REF!</f>
        <v>#REF!</v>
      </c>
      <c r="AF1328" s="9"/>
      <c r="AG1328" s="33" t="e">
        <f>#REF!-D1328</f>
        <v>#REF!</v>
      </c>
    </row>
    <row r="1329" spans="1:33" s="16" customFormat="1" ht="25.5" customHeight="1" outlineLevel="1" x14ac:dyDescent="0.2">
      <c r="A1329" s="62" t="s">
        <v>1619</v>
      </c>
      <c r="B1329" s="80" t="s">
        <v>113</v>
      </c>
      <c r="C1329" s="9" t="s">
        <v>47</v>
      </c>
      <c r="D1329" s="25">
        <f t="shared" si="335"/>
        <v>11</v>
      </c>
      <c r="E1329" s="54"/>
      <c r="F1329" s="9"/>
      <c r="G1329" s="9">
        <v>0</v>
      </c>
      <c r="H1329" s="9">
        <v>1</v>
      </c>
      <c r="I1329" s="9">
        <v>0</v>
      </c>
      <c r="J1329" s="9">
        <v>1</v>
      </c>
      <c r="K1329" s="9">
        <v>1</v>
      </c>
      <c r="L1329" s="9">
        <v>0</v>
      </c>
      <c r="M1329" s="9">
        <v>1</v>
      </c>
      <c r="N1329" s="9">
        <v>1</v>
      </c>
      <c r="O1329" s="9">
        <v>1</v>
      </c>
      <c r="P1329" s="9">
        <v>1</v>
      </c>
      <c r="Q1329" s="9">
        <v>0</v>
      </c>
      <c r="R1329" s="9">
        <v>3</v>
      </c>
      <c r="S1329" s="9">
        <v>0</v>
      </c>
      <c r="T1329" s="9">
        <v>0</v>
      </c>
      <c r="U1329" s="9">
        <v>0</v>
      </c>
      <c r="V1329" s="9">
        <v>0</v>
      </c>
      <c r="W1329" s="9">
        <v>1</v>
      </c>
      <c r="X1329" s="9">
        <v>0</v>
      </c>
      <c r="Y1329" s="9">
        <v>0</v>
      </c>
      <c r="Z1329" s="9">
        <v>0</v>
      </c>
      <c r="AA1329" s="9">
        <v>0</v>
      </c>
      <c r="AB1329" s="9">
        <v>0</v>
      </c>
      <c r="AC1329" s="9">
        <v>0</v>
      </c>
      <c r="AD1329" s="53" t="e">
        <f>#REF!*D1329</f>
        <v>#REF!</v>
      </c>
      <c r="AE1329" s="53" t="e">
        <f>AD1329-#REF!</f>
        <v>#REF!</v>
      </c>
      <c r="AF1329" s="9"/>
      <c r="AG1329" s="33" t="e">
        <f>#REF!-D1329</f>
        <v>#REF!</v>
      </c>
    </row>
    <row r="1330" spans="1:33" s="16" customFormat="1" ht="24" customHeight="1" outlineLevel="1" x14ac:dyDescent="0.2">
      <c r="A1330" s="62" t="s">
        <v>1620</v>
      </c>
      <c r="B1330" s="80" t="s">
        <v>284</v>
      </c>
      <c r="C1330" s="9" t="s">
        <v>47</v>
      </c>
      <c r="D1330" s="25">
        <f t="shared" si="335"/>
        <v>23</v>
      </c>
      <c r="E1330" s="54"/>
      <c r="F1330" s="9"/>
      <c r="G1330" s="9">
        <v>9</v>
      </c>
      <c r="H1330" s="9">
        <v>0</v>
      </c>
      <c r="I1330" s="9">
        <v>0</v>
      </c>
      <c r="J1330" s="9">
        <v>0</v>
      </c>
      <c r="K1330" s="9">
        <v>0</v>
      </c>
      <c r="L1330" s="9">
        <v>0</v>
      </c>
      <c r="M1330" s="9">
        <v>0</v>
      </c>
      <c r="N1330" s="9">
        <v>0</v>
      </c>
      <c r="O1330" s="9">
        <v>0</v>
      </c>
      <c r="P1330" s="9">
        <v>0</v>
      </c>
      <c r="Q1330" s="9">
        <v>0</v>
      </c>
      <c r="R1330" s="9">
        <v>3</v>
      </c>
      <c r="S1330" s="9">
        <v>0</v>
      </c>
      <c r="T1330" s="9">
        <v>9</v>
      </c>
      <c r="U1330" s="9">
        <v>0</v>
      </c>
      <c r="V1330" s="9">
        <v>0</v>
      </c>
      <c r="W1330" s="9">
        <v>0</v>
      </c>
      <c r="X1330" s="9">
        <v>0</v>
      </c>
      <c r="Y1330" s="9">
        <v>0</v>
      </c>
      <c r="Z1330" s="9">
        <v>0</v>
      </c>
      <c r="AA1330" s="9">
        <v>0</v>
      </c>
      <c r="AB1330" s="9">
        <v>2</v>
      </c>
      <c r="AC1330" s="9">
        <v>0</v>
      </c>
      <c r="AD1330" s="53" t="e">
        <f>#REF!*D1330</f>
        <v>#REF!</v>
      </c>
      <c r="AE1330" s="53" t="e">
        <f>AD1330-#REF!</f>
        <v>#REF!</v>
      </c>
      <c r="AF1330" s="9"/>
      <c r="AG1330" s="33" t="e">
        <f>#REF!-D1330</f>
        <v>#REF!</v>
      </c>
    </row>
    <row r="1331" spans="1:33" s="16" customFormat="1" ht="24.75" customHeight="1" outlineLevel="1" x14ac:dyDescent="0.2">
      <c r="A1331" s="62" t="s">
        <v>1621</v>
      </c>
      <c r="B1331" s="80" t="s">
        <v>285</v>
      </c>
      <c r="C1331" s="9" t="s">
        <v>47</v>
      </c>
      <c r="D1331" s="25">
        <f t="shared" si="335"/>
        <v>3</v>
      </c>
      <c r="E1331" s="54"/>
      <c r="F1331" s="9"/>
      <c r="G1331" s="9">
        <v>0</v>
      </c>
      <c r="H1331" s="9">
        <v>0</v>
      </c>
      <c r="I1331" s="9">
        <v>0</v>
      </c>
      <c r="J1331" s="9">
        <v>0</v>
      </c>
      <c r="K1331" s="9">
        <v>0</v>
      </c>
      <c r="L1331" s="9">
        <v>0</v>
      </c>
      <c r="M1331" s="9">
        <v>0</v>
      </c>
      <c r="N1331" s="9">
        <v>0</v>
      </c>
      <c r="O1331" s="9">
        <v>0</v>
      </c>
      <c r="P1331" s="9">
        <v>0</v>
      </c>
      <c r="Q1331" s="9">
        <v>0</v>
      </c>
      <c r="R1331" s="9">
        <v>3</v>
      </c>
      <c r="S1331" s="9">
        <v>0</v>
      </c>
      <c r="T1331" s="9">
        <v>0</v>
      </c>
      <c r="U1331" s="9">
        <v>0</v>
      </c>
      <c r="V1331" s="9">
        <v>0</v>
      </c>
      <c r="W1331" s="9">
        <v>0</v>
      </c>
      <c r="X1331" s="9">
        <v>0</v>
      </c>
      <c r="Y1331" s="9">
        <v>0</v>
      </c>
      <c r="Z1331" s="9">
        <v>0</v>
      </c>
      <c r="AA1331" s="9">
        <v>0</v>
      </c>
      <c r="AB1331" s="9">
        <v>0</v>
      </c>
      <c r="AC1331" s="9">
        <v>0</v>
      </c>
      <c r="AD1331" s="53" t="e">
        <f>#REF!*D1331</f>
        <v>#REF!</v>
      </c>
      <c r="AE1331" s="53" t="e">
        <f>AD1331-#REF!</f>
        <v>#REF!</v>
      </c>
      <c r="AF1331" s="9"/>
      <c r="AG1331" s="33" t="e">
        <f>#REF!-D1331</f>
        <v>#REF!</v>
      </c>
    </row>
    <row r="1332" spans="1:33" s="16" customFormat="1" ht="20.399999999999999" outlineLevel="1" x14ac:dyDescent="0.2">
      <c r="A1332" s="62" t="s">
        <v>1622</v>
      </c>
      <c r="B1332" s="80" t="s">
        <v>2535</v>
      </c>
      <c r="C1332" s="9" t="s">
        <v>47</v>
      </c>
      <c r="D1332" s="25">
        <f t="shared" si="335"/>
        <v>1</v>
      </c>
      <c r="E1332" s="54"/>
      <c r="F1332" s="9"/>
      <c r="G1332" s="9">
        <v>1</v>
      </c>
      <c r="H1332" s="9">
        <v>0</v>
      </c>
      <c r="I1332" s="9">
        <v>0</v>
      </c>
      <c r="J1332" s="9">
        <v>0</v>
      </c>
      <c r="K1332" s="9">
        <v>0</v>
      </c>
      <c r="L1332" s="9">
        <v>0</v>
      </c>
      <c r="M1332" s="9">
        <v>0</v>
      </c>
      <c r="N1332" s="9">
        <v>0</v>
      </c>
      <c r="O1332" s="9">
        <v>0</v>
      </c>
      <c r="P1332" s="9">
        <v>0</v>
      </c>
      <c r="Q1332" s="9">
        <v>0</v>
      </c>
      <c r="R1332" s="9">
        <v>0</v>
      </c>
      <c r="S1332" s="9">
        <v>0</v>
      </c>
      <c r="T1332" s="9">
        <v>0</v>
      </c>
      <c r="U1332" s="9">
        <v>0</v>
      </c>
      <c r="V1332" s="9">
        <v>0</v>
      </c>
      <c r="W1332" s="9">
        <v>0</v>
      </c>
      <c r="X1332" s="9">
        <v>0</v>
      </c>
      <c r="Y1332" s="9">
        <v>0</v>
      </c>
      <c r="Z1332" s="9">
        <v>0</v>
      </c>
      <c r="AA1332" s="9">
        <v>0</v>
      </c>
      <c r="AB1332" s="9">
        <v>0</v>
      </c>
      <c r="AC1332" s="9">
        <v>0</v>
      </c>
      <c r="AD1332" s="53" t="e">
        <f>#REF!*D1332</f>
        <v>#REF!</v>
      </c>
      <c r="AE1332" s="53" t="e">
        <f>AD1332-#REF!</f>
        <v>#REF!</v>
      </c>
      <c r="AF1332" s="9"/>
      <c r="AG1332" s="33" t="e">
        <f>#REF!-D1332</f>
        <v>#REF!</v>
      </c>
    </row>
    <row r="1333" spans="1:33" s="16" customFormat="1" ht="20.399999999999999" outlineLevel="1" x14ac:dyDescent="0.2">
      <c r="A1333" s="62" t="s">
        <v>1623</v>
      </c>
      <c r="B1333" s="80" t="s">
        <v>1543</v>
      </c>
      <c r="C1333" s="9" t="s">
        <v>47</v>
      </c>
      <c r="D1333" s="25">
        <f t="shared" si="335"/>
        <v>2</v>
      </c>
      <c r="E1333" s="54"/>
      <c r="F1333" s="9"/>
      <c r="G1333" s="9">
        <v>2</v>
      </c>
      <c r="H1333" s="9">
        <v>0</v>
      </c>
      <c r="I1333" s="9">
        <v>0</v>
      </c>
      <c r="J1333" s="9">
        <v>0</v>
      </c>
      <c r="K1333" s="9">
        <v>0</v>
      </c>
      <c r="L1333" s="9">
        <v>0</v>
      </c>
      <c r="M1333" s="9">
        <v>0</v>
      </c>
      <c r="N1333" s="9">
        <v>0</v>
      </c>
      <c r="O1333" s="9">
        <v>0</v>
      </c>
      <c r="P1333" s="9">
        <v>0</v>
      </c>
      <c r="Q1333" s="9">
        <v>0</v>
      </c>
      <c r="R1333" s="9">
        <v>0</v>
      </c>
      <c r="S1333" s="9">
        <v>0</v>
      </c>
      <c r="T1333" s="9">
        <v>0</v>
      </c>
      <c r="U1333" s="9">
        <v>0</v>
      </c>
      <c r="V1333" s="9">
        <v>0</v>
      </c>
      <c r="W1333" s="9">
        <v>0</v>
      </c>
      <c r="X1333" s="9">
        <v>0</v>
      </c>
      <c r="Y1333" s="9">
        <v>0</v>
      </c>
      <c r="Z1333" s="9">
        <v>0</v>
      </c>
      <c r="AA1333" s="9">
        <v>0</v>
      </c>
      <c r="AB1333" s="9">
        <v>0</v>
      </c>
      <c r="AC1333" s="9">
        <v>0</v>
      </c>
      <c r="AD1333" s="53" t="e">
        <f>#REF!*D1333</f>
        <v>#REF!</v>
      </c>
      <c r="AE1333" s="53" t="e">
        <f>AD1333-#REF!</f>
        <v>#REF!</v>
      </c>
      <c r="AF1333" s="9"/>
      <c r="AG1333" s="33" t="e">
        <f>#REF!-D1333</f>
        <v>#REF!</v>
      </c>
    </row>
    <row r="1334" spans="1:33" s="16" customFormat="1" ht="20.399999999999999" outlineLevel="1" x14ac:dyDescent="0.2">
      <c r="A1334" s="62" t="s">
        <v>1624</v>
      </c>
      <c r="B1334" s="80" t="s">
        <v>1974</v>
      </c>
      <c r="C1334" s="9" t="s">
        <v>47</v>
      </c>
      <c r="D1334" s="25">
        <f t="shared" si="335"/>
        <v>16</v>
      </c>
      <c r="E1334" s="54"/>
      <c r="F1334" s="9"/>
      <c r="G1334" s="49">
        <f t="shared" ref="G1334:S1334" si="336">G1345</f>
        <v>0</v>
      </c>
      <c r="H1334" s="49">
        <f t="shared" si="336"/>
        <v>0</v>
      </c>
      <c r="I1334" s="49">
        <f t="shared" si="336"/>
        <v>0</v>
      </c>
      <c r="J1334" s="49">
        <f t="shared" si="336"/>
        <v>0</v>
      </c>
      <c r="K1334" s="49">
        <f t="shared" si="336"/>
        <v>0</v>
      </c>
      <c r="L1334" s="49">
        <f t="shared" si="336"/>
        <v>2</v>
      </c>
      <c r="M1334" s="49">
        <f t="shared" si="336"/>
        <v>2</v>
      </c>
      <c r="N1334" s="49">
        <f t="shared" si="336"/>
        <v>2</v>
      </c>
      <c r="O1334" s="49">
        <f t="shared" si="336"/>
        <v>4</v>
      </c>
      <c r="P1334" s="49">
        <f t="shared" si="336"/>
        <v>2</v>
      </c>
      <c r="Q1334" s="49">
        <f t="shared" si="336"/>
        <v>0</v>
      </c>
      <c r="R1334" s="49">
        <f t="shared" si="336"/>
        <v>0</v>
      </c>
      <c r="S1334" s="49">
        <f t="shared" si="336"/>
        <v>0</v>
      </c>
      <c r="T1334" s="9">
        <v>4</v>
      </c>
      <c r="U1334" s="49">
        <f>U1345</f>
        <v>0</v>
      </c>
      <c r="V1334" s="49">
        <f>V1345</f>
        <v>0</v>
      </c>
      <c r="W1334" s="49">
        <f>W1345</f>
        <v>0</v>
      </c>
      <c r="X1334" s="49">
        <f>X1345</f>
        <v>0</v>
      </c>
      <c r="Y1334" s="49">
        <f>Y1345</f>
        <v>0</v>
      </c>
      <c r="Z1334" s="9">
        <v>0</v>
      </c>
      <c r="AA1334" s="9">
        <v>0</v>
      </c>
      <c r="AB1334" s="9">
        <v>0</v>
      </c>
      <c r="AC1334" s="9">
        <v>0</v>
      </c>
      <c r="AD1334" s="53" t="e">
        <f>#REF!*D1334</f>
        <v>#REF!</v>
      </c>
      <c r="AE1334" s="53" t="e">
        <f>AD1334-#REF!</f>
        <v>#REF!</v>
      </c>
      <c r="AF1334" s="9"/>
      <c r="AG1334" s="33" t="e">
        <f>#REF!-D1334</f>
        <v>#REF!</v>
      </c>
    </row>
    <row r="1335" spans="1:33" s="16" customFormat="1" ht="20.399999999999999" outlineLevel="1" x14ac:dyDescent="0.2">
      <c r="A1335" s="62" t="s">
        <v>1625</v>
      </c>
      <c r="B1335" s="80" t="s">
        <v>362</v>
      </c>
      <c r="C1335" s="9" t="s">
        <v>47</v>
      </c>
      <c r="D1335" s="25">
        <f t="shared" si="335"/>
        <v>12</v>
      </c>
      <c r="E1335" s="54"/>
      <c r="F1335" s="9"/>
      <c r="G1335" s="9">
        <v>0</v>
      </c>
      <c r="H1335" s="9">
        <v>0</v>
      </c>
      <c r="I1335" s="9">
        <v>0</v>
      </c>
      <c r="J1335" s="9">
        <v>0</v>
      </c>
      <c r="K1335" s="9">
        <v>0</v>
      </c>
      <c r="L1335" s="9">
        <v>2</v>
      </c>
      <c r="M1335" s="9">
        <v>2</v>
      </c>
      <c r="N1335" s="9">
        <v>2</v>
      </c>
      <c r="O1335" s="9">
        <v>4</v>
      </c>
      <c r="P1335" s="9">
        <v>2</v>
      </c>
      <c r="Q1335" s="9">
        <v>0</v>
      </c>
      <c r="R1335" s="9">
        <v>0</v>
      </c>
      <c r="S1335" s="9">
        <v>0</v>
      </c>
      <c r="T1335" s="9">
        <v>0</v>
      </c>
      <c r="U1335" s="9">
        <v>0</v>
      </c>
      <c r="V1335" s="9">
        <v>0</v>
      </c>
      <c r="W1335" s="9">
        <v>0</v>
      </c>
      <c r="X1335" s="9">
        <v>0</v>
      </c>
      <c r="Y1335" s="9">
        <v>0</v>
      </c>
      <c r="Z1335" s="9">
        <v>0</v>
      </c>
      <c r="AA1335" s="9">
        <v>0</v>
      </c>
      <c r="AB1335" s="9">
        <v>0</v>
      </c>
      <c r="AC1335" s="9">
        <v>0</v>
      </c>
      <c r="AD1335" s="53" t="e">
        <f>#REF!*D1335</f>
        <v>#REF!</v>
      </c>
      <c r="AE1335" s="53" t="e">
        <f>AD1335-#REF!</f>
        <v>#REF!</v>
      </c>
      <c r="AF1335" s="9"/>
      <c r="AG1335" s="33" t="e">
        <f>#REF!-D1335</f>
        <v>#REF!</v>
      </c>
    </row>
    <row r="1336" spans="1:33" s="16" customFormat="1" ht="20.399999999999999" outlineLevel="1" x14ac:dyDescent="0.2">
      <c r="A1336" s="62" t="s">
        <v>1626</v>
      </c>
      <c r="B1336" s="80" t="s">
        <v>1499</v>
      </c>
      <c r="C1336" s="9" t="s">
        <v>47</v>
      </c>
      <c r="D1336" s="25">
        <f t="shared" si="335"/>
        <v>2</v>
      </c>
      <c r="E1336" s="54"/>
      <c r="F1336" s="9"/>
      <c r="G1336" s="9">
        <v>0</v>
      </c>
      <c r="H1336" s="9">
        <v>0</v>
      </c>
      <c r="I1336" s="9">
        <v>0</v>
      </c>
      <c r="J1336" s="9">
        <v>0</v>
      </c>
      <c r="K1336" s="9">
        <v>0</v>
      </c>
      <c r="L1336" s="9">
        <v>0</v>
      </c>
      <c r="M1336" s="9">
        <v>0</v>
      </c>
      <c r="N1336" s="9">
        <v>0</v>
      </c>
      <c r="O1336" s="9">
        <v>0</v>
      </c>
      <c r="P1336" s="9">
        <v>0</v>
      </c>
      <c r="Q1336" s="9">
        <v>0</v>
      </c>
      <c r="R1336" s="9">
        <v>0</v>
      </c>
      <c r="S1336" s="9">
        <v>0</v>
      </c>
      <c r="T1336" s="9">
        <v>2</v>
      </c>
      <c r="U1336" s="9">
        <v>0</v>
      </c>
      <c r="V1336" s="9">
        <v>0</v>
      </c>
      <c r="W1336" s="9">
        <v>0</v>
      </c>
      <c r="X1336" s="9">
        <v>0</v>
      </c>
      <c r="Y1336" s="9">
        <v>0</v>
      </c>
      <c r="Z1336" s="9">
        <v>0</v>
      </c>
      <c r="AA1336" s="9">
        <v>0</v>
      </c>
      <c r="AB1336" s="9">
        <v>0</v>
      </c>
      <c r="AC1336" s="9">
        <v>0</v>
      </c>
      <c r="AD1336" s="53" t="e">
        <f>#REF!*D1336</f>
        <v>#REF!</v>
      </c>
      <c r="AE1336" s="53" t="e">
        <f>AD1336-#REF!</f>
        <v>#REF!</v>
      </c>
      <c r="AF1336" s="9"/>
      <c r="AG1336" s="33" t="e">
        <f>#REF!-D1336</f>
        <v>#REF!</v>
      </c>
    </row>
    <row r="1337" spans="1:33" s="16" customFormat="1" ht="20.399999999999999" outlineLevel="1" x14ac:dyDescent="0.2">
      <c r="A1337" s="62" t="s">
        <v>1627</v>
      </c>
      <c r="B1337" s="80" t="s">
        <v>2542</v>
      </c>
      <c r="C1337" s="9" t="s">
        <v>47</v>
      </c>
      <c r="D1337" s="25">
        <f t="shared" si="335"/>
        <v>4</v>
      </c>
      <c r="E1337" s="54"/>
      <c r="F1337" s="9"/>
      <c r="G1337" s="9">
        <v>0</v>
      </c>
      <c r="H1337" s="9">
        <v>4</v>
      </c>
      <c r="I1337" s="9">
        <v>0</v>
      </c>
      <c r="J1337" s="9">
        <v>0</v>
      </c>
      <c r="K1337" s="9">
        <v>0</v>
      </c>
      <c r="L1337" s="9">
        <v>0</v>
      </c>
      <c r="M1337" s="9">
        <v>0</v>
      </c>
      <c r="N1337" s="9">
        <v>0</v>
      </c>
      <c r="O1337" s="9">
        <v>0</v>
      </c>
      <c r="P1337" s="9">
        <v>0</v>
      </c>
      <c r="Q1337" s="9">
        <v>0</v>
      </c>
      <c r="R1337" s="9">
        <v>0</v>
      </c>
      <c r="S1337" s="9">
        <v>0</v>
      </c>
      <c r="T1337" s="9">
        <v>0</v>
      </c>
      <c r="U1337" s="9">
        <v>0</v>
      </c>
      <c r="V1337" s="9">
        <v>0</v>
      </c>
      <c r="W1337" s="9">
        <v>0</v>
      </c>
      <c r="X1337" s="9">
        <v>0</v>
      </c>
      <c r="Y1337" s="9">
        <v>0</v>
      </c>
      <c r="Z1337" s="9">
        <v>0</v>
      </c>
      <c r="AA1337" s="9">
        <v>0</v>
      </c>
      <c r="AB1337" s="9">
        <v>0</v>
      </c>
      <c r="AC1337" s="9">
        <v>0</v>
      </c>
      <c r="AD1337" s="53" t="e">
        <f>#REF!*D1337</f>
        <v>#REF!</v>
      </c>
      <c r="AE1337" s="53" t="e">
        <f>AD1337-#REF!</f>
        <v>#REF!</v>
      </c>
      <c r="AF1337" s="9"/>
      <c r="AG1337" s="33" t="e">
        <f>#REF!-D1337</f>
        <v>#REF!</v>
      </c>
    </row>
    <row r="1338" spans="1:33" s="16" customFormat="1" ht="20.399999999999999" outlineLevel="1" x14ac:dyDescent="0.2">
      <c r="A1338" s="62" t="s">
        <v>1628</v>
      </c>
      <c r="B1338" s="80" t="s">
        <v>1464</v>
      </c>
      <c r="C1338" s="9" t="s">
        <v>47</v>
      </c>
      <c r="D1338" s="25">
        <f t="shared" si="335"/>
        <v>2</v>
      </c>
      <c r="E1338" s="54"/>
      <c r="F1338" s="9"/>
      <c r="G1338" s="9">
        <v>0</v>
      </c>
      <c r="H1338" s="9">
        <v>1</v>
      </c>
      <c r="I1338" s="9">
        <v>0</v>
      </c>
      <c r="J1338" s="9">
        <v>0</v>
      </c>
      <c r="K1338" s="9">
        <v>0</v>
      </c>
      <c r="L1338" s="9">
        <v>0</v>
      </c>
      <c r="M1338" s="9">
        <v>0</v>
      </c>
      <c r="N1338" s="9">
        <v>0</v>
      </c>
      <c r="O1338" s="9">
        <v>0</v>
      </c>
      <c r="P1338" s="9">
        <v>0</v>
      </c>
      <c r="Q1338" s="9">
        <v>0</v>
      </c>
      <c r="R1338" s="9">
        <v>0</v>
      </c>
      <c r="S1338" s="9">
        <v>0</v>
      </c>
      <c r="T1338" s="9">
        <v>0</v>
      </c>
      <c r="U1338" s="9">
        <v>0</v>
      </c>
      <c r="V1338" s="9">
        <v>0</v>
      </c>
      <c r="W1338" s="9">
        <v>0</v>
      </c>
      <c r="X1338" s="9">
        <v>0</v>
      </c>
      <c r="Y1338" s="9">
        <v>1</v>
      </c>
      <c r="Z1338" s="9">
        <v>0</v>
      </c>
      <c r="AA1338" s="9">
        <v>0</v>
      </c>
      <c r="AB1338" s="9">
        <v>0</v>
      </c>
      <c r="AC1338" s="9">
        <v>0</v>
      </c>
      <c r="AD1338" s="53" t="e">
        <f>#REF!*D1338</f>
        <v>#REF!</v>
      </c>
      <c r="AE1338" s="53" t="e">
        <f>AD1338-#REF!</f>
        <v>#REF!</v>
      </c>
      <c r="AF1338" s="9"/>
      <c r="AG1338" s="33" t="e">
        <f>#REF!-D1338</f>
        <v>#REF!</v>
      </c>
    </row>
    <row r="1339" spans="1:33" s="12" customFormat="1" ht="20.399999999999999" outlineLevel="1" x14ac:dyDescent="0.2">
      <c r="A1339" s="62" t="s">
        <v>1629</v>
      </c>
      <c r="B1339" s="14" t="s">
        <v>3208</v>
      </c>
      <c r="C1339" s="8" t="s">
        <v>47</v>
      </c>
      <c r="D1339" s="25">
        <f t="shared" si="335"/>
        <v>4</v>
      </c>
      <c r="E1339" s="54"/>
      <c r="F1339" s="9"/>
      <c r="G1339" s="9">
        <v>0</v>
      </c>
      <c r="H1339" s="9">
        <v>0</v>
      </c>
      <c r="I1339" s="9">
        <v>0</v>
      </c>
      <c r="J1339" s="9">
        <v>0</v>
      </c>
      <c r="K1339" s="9">
        <v>0</v>
      </c>
      <c r="L1339" s="9">
        <v>0</v>
      </c>
      <c r="M1339" s="9">
        <v>0</v>
      </c>
      <c r="N1339" s="9">
        <v>0</v>
      </c>
      <c r="O1339" s="9">
        <v>0</v>
      </c>
      <c r="P1339" s="9">
        <v>0</v>
      </c>
      <c r="Q1339" s="9">
        <v>0</v>
      </c>
      <c r="R1339" s="9">
        <v>0</v>
      </c>
      <c r="S1339" s="9">
        <v>0</v>
      </c>
      <c r="T1339" s="9">
        <v>0</v>
      </c>
      <c r="U1339" s="9">
        <v>0</v>
      </c>
      <c r="V1339" s="9">
        <v>0</v>
      </c>
      <c r="W1339" s="9">
        <v>0</v>
      </c>
      <c r="X1339" s="9">
        <v>0</v>
      </c>
      <c r="Y1339" s="9">
        <v>0</v>
      </c>
      <c r="Z1339" s="9">
        <v>0</v>
      </c>
      <c r="AA1339" s="9">
        <v>0</v>
      </c>
      <c r="AB1339" s="9">
        <v>4</v>
      </c>
      <c r="AC1339" s="9">
        <v>0</v>
      </c>
      <c r="AD1339" s="53" t="e">
        <f>#REF!*D1339</f>
        <v>#REF!</v>
      </c>
      <c r="AE1339" s="53" t="e">
        <f>AD1339-#REF!</f>
        <v>#REF!</v>
      </c>
      <c r="AF1339" s="8"/>
      <c r="AG1339" s="33" t="e">
        <f>#REF!-D1339</f>
        <v>#REF!</v>
      </c>
    </row>
    <row r="1340" spans="1:33" s="12" customFormat="1" ht="20.399999999999999" outlineLevel="1" x14ac:dyDescent="0.2">
      <c r="A1340" s="62" t="s">
        <v>1630</v>
      </c>
      <c r="B1340" s="14" t="s">
        <v>342</v>
      </c>
      <c r="C1340" s="8" t="s">
        <v>47</v>
      </c>
      <c r="D1340" s="25">
        <f t="shared" si="335"/>
        <v>2</v>
      </c>
      <c r="E1340" s="54"/>
      <c r="F1340" s="9"/>
      <c r="G1340" s="9">
        <v>2</v>
      </c>
      <c r="H1340" s="9">
        <v>0</v>
      </c>
      <c r="I1340" s="9">
        <v>0</v>
      </c>
      <c r="J1340" s="9">
        <v>0</v>
      </c>
      <c r="K1340" s="9">
        <v>0</v>
      </c>
      <c r="L1340" s="9">
        <v>0</v>
      </c>
      <c r="M1340" s="9">
        <v>0</v>
      </c>
      <c r="N1340" s="9">
        <v>0</v>
      </c>
      <c r="O1340" s="9">
        <v>0</v>
      </c>
      <c r="P1340" s="9">
        <v>0</v>
      </c>
      <c r="Q1340" s="9">
        <v>0</v>
      </c>
      <c r="R1340" s="9">
        <v>0</v>
      </c>
      <c r="S1340" s="9">
        <v>0</v>
      </c>
      <c r="T1340" s="9">
        <v>0</v>
      </c>
      <c r="U1340" s="9">
        <v>0</v>
      </c>
      <c r="V1340" s="9">
        <v>0</v>
      </c>
      <c r="W1340" s="9">
        <v>0</v>
      </c>
      <c r="X1340" s="9">
        <v>0</v>
      </c>
      <c r="Y1340" s="9">
        <v>0</v>
      </c>
      <c r="Z1340" s="9">
        <v>0</v>
      </c>
      <c r="AA1340" s="9">
        <v>0</v>
      </c>
      <c r="AB1340" s="9">
        <v>0</v>
      </c>
      <c r="AC1340" s="9">
        <v>0</v>
      </c>
      <c r="AD1340" s="53" t="e">
        <f>#REF!*D1340</f>
        <v>#REF!</v>
      </c>
      <c r="AE1340" s="53" t="e">
        <f>AD1340-#REF!</f>
        <v>#REF!</v>
      </c>
      <c r="AF1340" s="8"/>
      <c r="AG1340" s="33" t="e">
        <f>#REF!-D1340</f>
        <v>#REF!</v>
      </c>
    </row>
    <row r="1341" spans="1:33" s="16" customFormat="1" ht="11.4" outlineLevel="1" x14ac:dyDescent="0.2">
      <c r="A1341" s="62" t="s">
        <v>1631</v>
      </c>
      <c r="B1341" s="80" t="s">
        <v>1972</v>
      </c>
      <c r="C1341" s="9" t="s">
        <v>47</v>
      </c>
      <c r="D1341" s="25">
        <f t="shared" si="335"/>
        <v>1</v>
      </c>
      <c r="E1341" s="54"/>
      <c r="F1341" s="9"/>
      <c r="G1341" s="9">
        <v>0</v>
      </c>
      <c r="H1341" s="9">
        <v>1</v>
      </c>
      <c r="I1341" s="9">
        <v>0</v>
      </c>
      <c r="J1341" s="9">
        <v>0</v>
      </c>
      <c r="K1341" s="9">
        <v>0</v>
      </c>
      <c r="L1341" s="9">
        <v>0</v>
      </c>
      <c r="M1341" s="9">
        <v>0</v>
      </c>
      <c r="N1341" s="9">
        <v>0</v>
      </c>
      <c r="O1341" s="9">
        <v>0</v>
      </c>
      <c r="P1341" s="9">
        <v>0</v>
      </c>
      <c r="Q1341" s="9">
        <v>0</v>
      </c>
      <c r="R1341" s="9">
        <v>0</v>
      </c>
      <c r="S1341" s="9">
        <v>0</v>
      </c>
      <c r="T1341" s="9">
        <v>0</v>
      </c>
      <c r="U1341" s="9">
        <v>0</v>
      </c>
      <c r="V1341" s="9">
        <v>0</v>
      </c>
      <c r="W1341" s="9">
        <v>0</v>
      </c>
      <c r="X1341" s="9">
        <v>0</v>
      </c>
      <c r="Y1341" s="9">
        <v>0</v>
      </c>
      <c r="Z1341" s="9">
        <v>0</v>
      </c>
      <c r="AA1341" s="9">
        <v>0</v>
      </c>
      <c r="AB1341" s="9">
        <v>0</v>
      </c>
      <c r="AC1341" s="9">
        <v>0</v>
      </c>
      <c r="AD1341" s="53" t="e">
        <f>#REF!*D1341</f>
        <v>#REF!</v>
      </c>
      <c r="AE1341" s="53" t="e">
        <f>AD1341-#REF!</f>
        <v>#REF!</v>
      </c>
      <c r="AF1341" s="9"/>
      <c r="AG1341" s="33" t="e">
        <f>#REF!-D1341</f>
        <v>#REF!</v>
      </c>
    </row>
    <row r="1342" spans="1:33" s="16" customFormat="1" ht="30.6" outlineLevel="1" x14ac:dyDescent="0.2">
      <c r="A1342" s="62" t="s">
        <v>1632</v>
      </c>
      <c r="B1342" s="80" t="s">
        <v>2543</v>
      </c>
      <c r="C1342" s="9" t="s">
        <v>47</v>
      </c>
      <c r="D1342" s="25">
        <f t="shared" si="335"/>
        <v>2</v>
      </c>
      <c r="E1342" s="54"/>
      <c r="F1342" s="9"/>
      <c r="G1342" s="9">
        <v>0</v>
      </c>
      <c r="H1342" s="9">
        <v>2</v>
      </c>
      <c r="I1342" s="9">
        <v>0</v>
      </c>
      <c r="J1342" s="9">
        <v>0</v>
      </c>
      <c r="K1342" s="9">
        <v>0</v>
      </c>
      <c r="L1342" s="9">
        <v>0</v>
      </c>
      <c r="M1342" s="9">
        <v>0</v>
      </c>
      <c r="N1342" s="9">
        <v>0</v>
      </c>
      <c r="O1342" s="9">
        <v>0</v>
      </c>
      <c r="P1342" s="9">
        <v>0</v>
      </c>
      <c r="Q1342" s="9">
        <v>0</v>
      </c>
      <c r="R1342" s="9">
        <v>0</v>
      </c>
      <c r="S1342" s="9">
        <v>0</v>
      </c>
      <c r="T1342" s="9">
        <v>0</v>
      </c>
      <c r="U1342" s="9">
        <v>0</v>
      </c>
      <c r="V1342" s="9">
        <v>0</v>
      </c>
      <c r="W1342" s="9">
        <v>0</v>
      </c>
      <c r="X1342" s="9">
        <v>0</v>
      </c>
      <c r="Y1342" s="9">
        <v>0</v>
      </c>
      <c r="Z1342" s="9">
        <v>0</v>
      </c>
      <c r="AA1342" s="9">
        <v>0</v>
      </c>
      <c r="AB1342" s="9">
        <v>0</v>
      </c>
      <c r="AC1342" s="9">
        <v>0</v>
      </c>
      <c r="AD1342" s="53" t="e">
        <f>#REF!*D1342</f>
        <v>#REF!</v>
      </c>
      <c r="AE1342" s="53" t="e">
        <f>AD1342-#REF!</f>
        <v>#REF!</v>
      </c>
      <c r="AF1342" s="9"/>
      <c r="AG1342" s="33" t="e">
        <f>#REF!-D1342</f>
        <v>#REF!</v>
      </c>
    </row>
    <row r="1343" spans="1:33" s="16" customFormat="1" ht="20.399999999999999" outlineLevel="1" x14ac:dyDescent="0.2">
      <c r="A1343" s="62" t="s">
        <v>1633</v>
      </c>
      <c r="B1343" s="14" t="s">
        <v>1976</v>
      </c>
      <c r="C1343" s="9" t="s">
        <v>47</v>
      </c>
      <c r="D1343" s="25">
        <f t="shared" si="335"/>
        <v>2</v>
      </c>
      <c r="E1343" s="54"/>
      <c r="F1343" s="9"/>
      <c r="G1343" s="9">
        <v>0</v>
      </c>
      <c r="H1343" s="9">
        <v>2</v>
      </c>
      <c r="I1343" s="9">
        <v>0</v>
      </c>
      <c r="J1343" s="9">
        <v>0</v>
      </c>
      <c r="K1343" s="9">
        <v>0</v>
      </c>
      <c r="L1343" s="9">
        <v>0</v>
      </c>
      <c r="M1343" s="9">
        <v>0</v>
      </c>
      <c r="N1343" s="9">
        <v>0</v>
      </c>
      <c r="O1343" s="9">
        <v>0</v>
      </c>
      <c r="P1343" s="9">
        <v>0</v>
      </c>
      <c r="Q1343" s="9">
        <v>0</v>
      </c>
      <c r="R1343" s="9">
        <v>0</v>
      </c>
      <c r="S1343" s="9">
        <v>0</v>
      </c>
      <c r="T1343" s="9">
        <v>0</v>
      </c>
      <c r="U1343" s="9">
        <v>0</v>
      </c>
      <c r="V1343" s="9">
        <v>0</v>
      </c>
      <c r="W1343" s="9">
        <v>0</v>
      </c>
      <c r="X1343" s="9">
        <v>0</v>
      </c>
      <c r="Y1343" s="9">
        <v>0</v>
      </c>
      <c r="Z1343" s="9">
        <v>0</v>
      </c>
      <c r="AA1343" s="9">
        <v>0</v>
      </c>
      <c r="AB1343" s="9">
        <v>0</v>
      </c>
      <c r="AC1343" s="9">
        <v>0</v>
      </c>
      <c r="AD1343" s="53" t="e">
        <f>#REF!*D1343</f>
        <v>#REF!</v>
      </c>
      <c r="AE1343" s="53" t="e">
        <f>AD1343-#REF!</f>
        <v>#REF!</v>
      </c>
      <c r="AF1343" s="9"/>
      <c r="AG1343" s="33" t="e">
        <f>#REF!-D1343</f>
        <v>#REF!</v>
      </c>
    </row>
    <row r="1344" spans="1:33" s="16" customFormat="1" ht="20.399999999999999" outlineLevel="1" x14ac:dyDescent="0.2">
      <c r="A1344" s="62" t="s">
        <v>1634</v>
      </c>
      <c r="B1344" s="14" t="s">
        <v>115</v>
      </c>
      <c r="C1344" s="9" t="s">
        <v>47</v>
      </c>
      <c r="D1344" s="25">
        <f t="shared" si="335"/>
        <v>4</v>
      </c>
      <c r="E1344" s="54"/>
      <c r="F1344" s="9"/>
      <c r="G1344" s="9">
        <v>2</v>
      </c>
      <c r="H1344" s="9">
        <v>2</v>
      </c>
      <c r="I1344" s="9">
        <v>0</v>
      </c>
      <c r="J1344" s="9">
        <v>0</v>
      </c>
      <c r="K1344" s="9">
        <v>0</v>
      </c>
      <c r="L1344" s="9">
        <v>0</v>
      </c>
      <c r="M1344" s="9">
        <v>0</v>
      </c>
      <c r="N1344" s="9">
        <v>0</v>
      </c>
      <c r="O1344" s="9">
        <v>0</v>
      </c>
      <c r="P1344" s="9">
        <v>0</v>
      </c>
      <c r="Q1344" s="9">
        <v>0</v>
      </c>
      <c r="R1344" s="9">
        <v>0</v>
      </c>
      <c r="S1344" s="9">
        <v>0</v>
      </c>
      <c r="T1344" s="9">
        <v>0</v>
      </c>
      <c r="U1344" s="9">
        <v>0</v>
      </c>
      <c r="V1344" s="9">
        <v>0</v>
      </c>
      <c r="W1344" s="9">
        <v>0</v>
      </c>
      <c r="X1344" s="9">
        <v>0</v>
      </c>
      <c r="Y1344" s="9">
        <v>0</v>
      </c>
      <c r="Z1344" s="9">
        <v>0</v>
      </c>
      <c r="AA1344" s="9">
        <v>0</v>
      </c>
      <c r="AB1344" s="9">
        <v>0</v>
      </c>
      <c r="AC1344" s="9">
        <v>0</v>
      </c>
      <c r="AD1344" s="53" t="e">
        <f>#REF!*D1344</f>
        <v>#REF!</v>
      </c>
      <c r="AE1344" s="53" t="e">
        <f>AD1344-#REF!</f>
        <v>#REF!</v>
      </c>
      <c r="AF1344" s="9"/>
      <c r="AG1344" s="33" t="e">
        <f>#REF!-D1344</f>
        <v>#REF!</v>
      </c>
    </row>
    <row r="1345" spans="1:37" s="16" customFormat="1" ht="20.399999999999999" outlineLevel="1" x14ac:dyDescent="0.2">
      <c r="A1345" s="62" t="s">
        <v>2538</v>
      </c>
      <c r="B1345" s="80" t="s">
        <v>1978</v>
      </c>
      <c r="C1345" s="9" t="s">
        <v>47</v>
      </c>
      <c r="D1345" s="25">
        <f t="shared" si="335"/>
        <v>12</v>
      </c>
      <c r="E1345" s="54"/>
      <c r="F1345" s="9"/>
      <c r="G1345" s="9">
        <v>0</v>
      </c>
      <c r="H1345" s="9">
        <v>0</v>
      </c>
      <c r="I1345" s="9">
        <v>0</v>
      </c>
      <c r="J1345" s="9">
        <v>0</v>
      </c>
      <c r="K1345" s="9">
        <v>0</v>
      </c>
      <c r="L1345" s="9">
        <v>2</v>
      </c>
      <c r="M1345" s="9">
        <v>2</v>
      </c>
      <c r="N1345" s="9">
        <v>2</v>
      </c>
      <c r="O1345" s="9">
        <v>4</v>
      </c>
      <c r="P1345" s="9">
        <v>2</v>
      </c>
      <c r="Q1345" s="9">
        <v>0</v>
      </c>
      <c r="R1345" s="9">
        <v>0</v>
      </c>
      <c r="S1345" s="9">
        <v>0</v>
      </c>
      <c r="T1345" s="9">
        <v>0</v>
      </c>
      <c r="U1345" s="9">
        <v>0</v>
      </c>
      <c r="V1345" s="9">
        <v>0</v>
      </c>
      <c r="W1345" s="9">
        <v>0</v>
      </c>
      <c r="X1345" s="9">
        <v>0</v>
      </c>
      <c r="Y1345" s="9">
        <v>0</v>
      </c>
      <c r="Z1345" s="9">
        <v>0</v>
      </c>
      <c r="AA1345" s="9">
        <v>0</v>
      </c>
      <c r="AB1345" s="9">
        <v>0</v>
      </c>
      <c r="AC1345" s="9">
        <v>0</v>
      </c>
      <c r="AD1345" s="53" t="e">
        <f>#REF!*D1345</f>
        <v>#REF!</v>
      </c>
      <c r="AE1345" s="53" t="e">
        <f>AD1345-#REF!</f>
        <v>#REF!</v>
      </c>
      <c r="AF1345" s="9"/>
      <c r="AG1345" s="33" t="e">
        <f>#REF!-D1345</f>
        <v>#REF!</v>
      </c>
    </row>
    <row r="1346" spans="1:37" s="16" customFormat="1" ht="39" customHeight="1" outlineLevel="1" x14ac:dyDescent="0.2">
      <c r="A1346" s="62" t="s">
        <v>2539</v>
      </c>
      <c r="B1346" s="80" t="s">
        <v>2536</v>
      </c>
      <c r="C1346" s="9" t="s">
        <v>47</v>
      </c>
      <c r="D1346" s="25">
        <f t="shared" si="335"/>
        <v>2</v>
      </c>
      <c r="E1346" s="54"/>
      <c r="F1346" s="9"/>
      <c r="G1346" s="9">
        <v>2</v>
      </c>
      <c r="H1346" s="9">
        <v>0</v>
      </c>
      <c r="I1346" s="9">
        <v>0</v>
      </c>
      <c r="J1346" s="9">
        <v>0</v>
      </c>
      <c r="K1346" s="9">
        <v>0</v>
      </c>
      <c r="L1346" s="9">
        <v>0</v>
      </c>
      <c r="M1346" s="9">
        <v>0</v>
      </c>
      <c r="N1346" s="9">
        <v>0</v>
      </c>
      <c r="O1346" s="9">
        <v>0</v>
      </c>
      <c r="P1346" s="9">
        <v>0</v>
      </c>
      <c r="Q1346" s="9">
        <v>0</v>
      </c>
      <c r="R1346" s="9">
        <v>0</v>
      </c>
      <c r="S1346" s="9">
        <v>0</v>
      </c>
      <c r="T1346" s="9">
        <v>0</v>
      </c>
      <c r="U1346" s="9">
        <v>0</v>
      </c>
      <c r="V1346" s="9">
        <v>0</v>
      </c>
      <c r="W1346" s="9">
        <v>0</v>
      </c>
      <c r="X1346" s="9">
        <v>0</v>
      </c>
      <c r="Y1346" s="9">
        <v>0</v>
      </c>
      <c r="Z1346" s="9">
        <v>0</v>
      </c>
      <c r="AA1346" s="9">
        <v>0</v>
      </c>
      <c r="AB1346" s="9">
        <v>0</v>
      </c>
      <c r="AC1346" s="9">
        <v>0</v>
      </c>
      <c r="AD1346" s="53" t="e">
        <f>#REF!*D1346</f>
        <v>#REF!</v>
      </c>
      <c r="AE1346" s="53" t="e">
        <f>AD1346-#REF!</f>
        <v>#REF!</v>
      </c>
      <c r="AF1346" s="9"/>
      <c r="AG1346" s="33" t="e">
        <f>#REF!-D1346</f>
        <v>#REF!</v>
      </c>
    </row>
    <row r="1347" spans="1:37" s="16" customFormat="1" ht="40.799999999999997" outlineLevel="1" x14ac:dyDescent="0.2">
      <c r="A1347" s="62" t="s">
        <v>2540</v>
      </c>
      <c r="B1347" s="80" t="s">
        <v>3584</v>
      </c>
      <c r="C1347" s="9" t="s">
        <v>47</v>
      </c>
      <c r="D1347" s="25">
        <f t="shared" si="335"/>
        <v>2</v>
      </c>
      <c r="E1347" s="54"/>
      <c r="F1347" s="9"/>
      <c r="G1347" s="9">
        <v>2</v>
      </c>
      <c r="H1347" s="9">
        <v>0</v>
      </c>
      <c r="I1347" s="9">
        <v>0</v>
      </c>
      <c r="J1347" s="9">
        <v>0</v>
      </c>
      <c r="K1347" s="9">
        <v>0</v>
      </c>
      <c r="L1347" s="9">
        <v>0</v>
      </c>
      <c r="M1347" s="9">
        <v>0</v>
      </c>
      <c r="N1347" s="9">
        <v>0</v>
      </c>
      <c r="O1347" s="9">
        <v>0</v>
      </c>
      <c r="P1347" s="9">
        <v>0</v>
      </c>
      <c r="Q1347" s="9">
        <v>0</v>
      </c>
      <c r="R1347" s="9">
        <v>0</v>
      </c>
      <c r="S1347" s="9">
        <v>0</v>
      </c>
      <c r="T1347" s="9">
        <v>0</v>
      </c>
      <c r="U1347" s="9">
        <v>0</v>
      </c>
      <c r="V1347" s="9">
        <v>0</v>
      </c>
      <c r="W1347" s="9">
        <v>0</v>
      </c>
      <c r="X1347" s="9">
        <v>0</v>
      </c>
      <c r="Y1347" s="9">
        <v>0</v>
      </c>
      <c r="Z1347" s="9">
        <v>0</v>
      </c>
      <c r="AA1347" s="9">
        <v>0</v>
      </c>
      <c r="AB1347" s="9">
        <v>0</v>
      </c>
      <c r="AC1347" s="9">
        <v>0</v>
      </c>
      <c r="AD1347" s="53" t="e">
        <f>#REF!*D1347</f>
        <v>#REF!</v>
      </c>
      <c r="AE1347" s="53" t="e">
        <f>AD1347-#REF!</f>
        <v>#REF!</v>
      </c>
      <c r="AF1347" s="9"/>
      <c r="AG1347" s="33" t="e">
        <f>#REF!-D1347</f>
        <v>#REF!</v>
      </c>
    </row>
    <row r="1348" spans="1:37" s="16" customFormat="1" ht="173.4" outlineLevel="1" x14ac:dyDescent="0.2">
      <c r="A1348" s="62" t="s">
        <v>2541</v>
      </c>
      <c r="B1348" s="80" t="s">
        <v>3586</v>
      </c>
      <c r="C1348" s="9" t="s">
        <v>20</v>
      </c>
      <c r="D1348" s="25">
        <f t="shared" si="335"/>
        <v>1</v>
      </c>
      <c r="E1348" s="54"/>
      <c r="F1348" s="9"/>
      <c r="G1348" s="9">
        <v>1</v>
      </c>
      <c r="H1348" s="9" t="s">
        <v>2415</v>
      </c>
      <c r="I1348" s="9">
        <v>0</v>
      </c>
      <c r="J1348" s="9">
        <v>0</v>
      </c>
      <c r="K1348" s="9">
        <v>0</v>
      </c>
      <c r="L1348" s="9">
        <v>0</v>
      </c>
      <c r="M1348" s="9">
        <v>0</v>
      </c>
      <c r="N1348" s="9">
        <v>0</v>
      </c>
      <c r="O1348" s="9">
        <v>0</v>
      </c>
      <c r="P1348" s="9">
        <v>0</v>
      </c>
      <c r="Q1348" s="9">
        <v>0</v>
      </c>
      <c r="R1348" s="9">
        <v>0</v>
      </c>
      <c r="S1348" s="9">
        <v>0</v>
      </c>
      <c r="T1348" s="9">
        <v>0</v>
      </c>
      <c r="U1348" s="9" t="s">
        <v>2415</v>
      </c>
      <c r="V1348" s="9">
        <v>0</v>
      </c>
      <c r="W1348" s="9">
        <v>0</v>
      </c>
      <c r="X1348" s="9">
        <v>0</v>
      </c>
      <c r="Y1348" s="9">
        <v>0</v>
      </c>
      <c r="Z1348" s="9">
        <v>0</v>
      </c>
      <c r="AA1348" s="9">
        <v>0</v>
      </c>
      <c r="AB1348" s="9">
        <v>0</v>
      </c>
      <c r="AC1348" s="9">
        <v>0</v>
      </c>
      <c r="AD1348" s="53" t="e">
        <f>#REF!*D1348</f>
        <v>#REF!</v>
      </c>
      <c r="AE1348" s="53" t="e">
        <f>AD1348-#REF!</f>
        <v>#REF!</v>
      </c>
      <c r="AF1348" s="9"/>
      <c r="AG1348" s="33" t="e">
        <f>#REF!-D1348</f>
        <v>#REF!</v>
      </c>
    </row>
    <row r="1349" spans="1:37" outlineLevel="1" x14ac:dyDescent="0.25">
      <c r="AD1349" s="53" t="e">
        <f>#REF!*D1349</f>
        <v>#REF!</v>
      </c>
      <c r="AE1349" s="53" t="e">
        <f>AD1349-#REF!</f>
        <v>#REF!</v>
      </c>
      <c r="AG1349" s="33" t="e">
        <f>#REF!-D1349</f>
        <v>#REF!</v>
      </c>
    </row>
    <row r="1350" spans="1:37" x14ac:dyDescent="0.25">
      <c r="A1350" s="18" t="s">
        <v>2375</v>
      </c>
      <c r="B1350" s="35" t="s">
        <v>2376</v>
      </c>
      <c r="C1350" s="18" t="s">
        <v>41</v>
      </c>
      <c r="D1350" s="52" t="e">
        <f>#REF!/#REF!*100</f>
        <v>#REF!</v>
      </c>
      <c r="G1350" s="9"/>
      <c r="H1350" s="76"/>
      <c r="I1350" s="76"/>
      <c r="J1350" s="76"/>
      <c r="K1350" s="76"/>
      <c r="L1350" s="76"/>
      <c r="M1350" s="76"/>
      <c r="N1350" s="76"/>
      <c r="O1350" s="76"/>
      <c r="P1350" s="76"/>
      <c r="Q1350" s="76"/>
      <c r="R1350" s="76"/>
      <c r="S1350" s="76"/>
      <c r="T1350" s="76"/>
      <c r="U1350" s="76"/>
      <c r="V1350" s="76"/>
      <c r="W1350" s="76"/>
      <c r="X1350" s="76"/>
      <c r="Y1350" s="76"/>
      <c r="Z1350" s="76"/>
      <c r="AA1350" s="76"/>
      <c r="AB1350" s="214" t="s">
        <v>375</v>
      </c>
      <c r="AC1350" s="76"/>
      <c r="AD1350" s="53" t="e">
        <f>#REF!*D1350</f>
        <v>#REF!</v>
      </c>
      <c r="AE1350" s="53" t="e">
        <f>AD1350-#REF!</f>
        <v>#REF!</v>
      </c>
      <c r="AG1350" s="33" t="e">
        <f>#REF!-D1350</f>
        <v>#REF!</v>
      </c>
      <c r="AH1350" s="2"/>
      <c r="AI1350" s="2"/>
      <c r="AJ1350" s="2"/>
      <c r="AK1350" s="2"/>
    </row>
    <row r="1351" spans="1:37" s="16" customFormat="1" ht="20.399999999999999" outlineLevel="1" x14ac:dyDescent="0.2">
      <c r="A1351" s="62" t="s">
        <v>2382</v>
      </c>
      <c r="B1351" s="80" t="s">
        <v>199</v>
      </c>
      <c r="C1351" s="9" t="s">
        <v>47</v>
      </c>
      <c r="D1351" s="25">
        <f t="shared" ref="D1351:D1373" si="337">SUM(G1351:AC1351)</f>
        <v>3</v>
      </c>
      <c r="E1351" s="54"/>
      <c r="F1351" s="9"/>
      <c r="G1351" s="9">
        <v>0</v>
      </c>
      <c r="H1351" s="9">
        <v>0</v>
      </c>
      <c r="I1351" s="9">
        <v>0</v>
      </c>
      <c r="J1351" s="9">
        <v>0</v>
      </c>
      <c r="K1351" s="9">
        <v>0</v>
      </c>
      <c r="L1351" s="9">
        <v>0</v>
      </c>
      <c r="M1351" s="9">
        <v>0</v>
      </c>
      <c r="N1351" s="9">
        <v>0</v>
      </c>
      <c r="O1351" s="9">
        <v>0</v>
      </c>
      <c r="P1351" s="9">
        <v>0</v>
      </c>
      <c r="Q1351" s="9">
        <v>0</v>
      </c>
      <c r="R1351" s="9">
        <v>0</v>
      </c>
      <c r="S1351" s="9">
        <v>0</v>
      </c>
      <c r="T1351" s="9">
        <v>0</v>
      </c>
      <c r="U1351" s="9">
        <v>0</v>
      </c>
      <c r="V1351" s="9">
        <v>3</v>
      </c>
      <c r="W1351" s="9">
        <v>0</v>
      </c>
      <c r="X1351" s="9">
        <v>0</v>
      </c>
      <c r="Y1351" s="9">
        <v>0</v>
      </c>
      <c r="Z1351" s="9">
        <v>0</v>
      </c>
      <c r="AA1351" s="9">
        <v>0</v>
      </c>
      <c r="AB1351" s="9">
        <v>0</v>
      </c>
      <c r="AC1351" s="9">
        <v>0</v>
      </c>
      <c r="AD1351" s="53" t="e">
        <f>#REF!*D1351</f>
        <v>#REF!</v>
      </c>
      <c r="AE1351" s="53" t="e">
        <f>AD1351-#REF!</f>
        <v>#REF!</v>
      </c>
      <c r="AF1351" s="9"/>
      <c r="AG1351" s="33" t="e">
        <f>#REF!-D1351</f>
        <v>#REF!</v>
      </c>
    </row>
    <row r="1352" spans="1:37" s="16" customFormat="1" ht="20.399999999999999" outlineLevel="1" x14ac:dyDescent="0.2">
      <c r="A1352" s="62" t="s">
        <v>2383</v>
      </c>
      <c r="B1352" s="80" t="s">
        <v>200</v>
      </c>
      <c r="C1352" s="9" t="s">
        <v>47</v>
      </c>
      <c r="D1352" s="25">
        <f t="shared" si="337"/>
        <v>8</v>
      </c>
      <c r="E1352" s="54"/>
      <c r="F1352" s="9"/>
      <c r="G1352" s="9">
        <v>0</v>
      </c>
      <c r="H1352" s="9">
        <v>2</v>
      </c>
      <c r="I1352" s="9">
        <v>1</v>
      </c>
      <c r="J1352" s="9">
        <v>1</v>
      </c>
      <c r="K1352" s="9">
        <v>0</v>
      </c>
      <c r="L1352" s="9">
        <v>0</v>
      </c>
      <c r="M1352" s="9">
        <v>0</v>
      </c>
      <c r="N1352" s="9">
        <v>0</v>
      </c>
      <c r="O1352" s="9">
        <v>0</v>
      </c>
      <c r="P1352" s="9">
        <v>0</v>
      </c>
      <c r="Q1352" s="9">
        <v>0</v>
      </c>
      <c r="R1352" s="9">
        <v>2</v>
      </c>
      <c r="S1352" s="9">
        <v>0</v>
      </c>
      <c r="T1352" s="9">
        <v>0</v>
      </c>
      <c r="U1352" s="9">
        <v>0</v>
      </c>
      <c r="V1352" s="9">
        <v>1</v>
      </c>
      <c r="W1352" s="9">
        <v>1</v>
      </c>
      <c r="X1352" s="9">
        <v>0</v>
      </c>
      <c r="Y1352" s="9">
        <v>0</v>
      </c>
      <c r="Z1352" s="9">
        <v>0</v>
      </c>
      <c r="AA1352" s="9">
        <v>0</v>
      </c>
      <c r="AB1352" s="9">
        <v>0</v>
      </c>
      <c r="AC1352" s="9">
        <v>0</v>
      </c>
      <c r="AD1352" s="53" t="e">
        <f>#REF!*D1352</f>
        <v>#REF!</v>
      </c>
      <c r="AE1352" s="53" t="e">
        <f>AD1352-#REF!</f>
        <v>#REF!</v>
      </c>
      <c r="AF1352" s="9"/>
      <c r="AG1352" s="33" t="e">
        <f>#REF!-D1352</f>
        <v>#REF!</v>
      </c>
    </row>
    <row r="1353" spans="1:37" s="16" customFormat="1" ht="20.399999999999999" outlineLevel="1" x14ac:dyDescent="0.2">
      <c r="A1353" s="62" t="s">
        <v>2384</v>
      </c>
      <c r="B1353" s="80" t="s">
        <v>1461</v>
      </c>
      <c r="C1353" s="9" t="s">
        <v>47</v>
      </c>
      <c r="D1353" s="25">
        <f t="shared" si="337"/>
        <v>17</v>
      </c>
      <c r="E1353" s="54"/>
      <c r="F1353" s="9"/>
      <c r="G1353" s="9">
        <v>0</v>
      </c>
      <c r="H1353" s="9">
        <v>1</v>
      </c>
      <c r="I1353" s="9">
        <v>0</v>
      </c>
      <c r="J1353" s="9">
        <v>0</v>
      </c>
      <c r="K1353" s="9">
        <v>0</v>
      </c>
      <c r="L1353" s="9">
        <v>2</v>
      </c>
      <c r="M1353" s="9">
        <v>2</v>
      </c>
      <c r="N1353" s="9">
        <v>2</v>
      </c>
      <c r="O1353" s="9">
        <v>2</v>
      </c>
      <c r="P1353" s="9">
        <v>2</v>
      </c>
      <c r="Q1353" s="9">
        <v>0</v>
      </c>
      <c r="R1353" s="9">
        <v>0</v>
      </c>
      <c r="S1353" s="9">
        <v>0</v>
      </c>
      <c r="T1353" s="9">
        <v>0</v>
      </c>
      <c r="U1353" s="9">
        <v>0</v>
      </c>
      <c r="V1353" s="9">
        <v>1</v>
      </c>
      <c r="W1353" s="9">
        <v>1</v>
      </c>
      <c r="X1353" s="9">
        <v>1</v>
      </c>
      <c r="Y1353" s="9">
        <v>1</v>
      </c>
      <c r="Z1353" s="9">
        <v>1</v>
      </c>
      <c r="AA1353" s="9">
        <v>1</v>
      </c>
      <c r="AB1353" s="9">
        <v>0</v>
      </c>
      <c r="AC1353" s="9">
        <v>0</v>
      </c>
      <c r="AD1353" s="53" t="e">
        <f>#REF!*D1353</f>
        <v>#REF!</v>
      </c>
      <c r="AE1353" s="53" t="e">
        <f>AD1353-#REF!</f>
        <v>#REF!</v>
      </c>
      <c r="AF1353" s="9"/>
      <c r="AG1353" s="33" t="e">
        <f>#REF!-D1353</f>
        <v>#REF!</v>
      </c>
    </row>
    <row r="1354" spans="1:37" s="16" customFormat="1" ht="20.399999999999999" outlineLevel="1" x14ac:dyDescent="0.2">
      <c r="A1354" s="62" t="s">
        <v>2385</v>
      </c>
      <c r="B1354" s="80" t="s">
        <v>1462</v>
      </c>
      <c r="C1354" s="9" t="s">
        <v>47</v>
      </c>
      <c r="D1354" s="25">
        <f t="shared" si="337"/>
        <v>27</v>
      </c>
      <c r="E1354" s="54"/>
      <c r="F1354" s="9"/>
      <c r="G1354" s="9">
        <v>0</v>
      </c>
      <c r="H1354" s="9">
        <v>0</v>
      </c>
      <c r="I1354" s="9">
        <v>0</v>
      </c>
      <c r="J1354" s="9">
        <v>0</v>
      </c>
      <c r="K1354" s="9">
        <v>0</v>
      </c>
      <c r="L1354" s="9">
        <v>0</v>
      </c>
      <c r="M1354" s="9">
        <v>0</v>
      </c>
      <c r="N1354" s="9">
        <v>0</v>
      </c>
      <c r="O1354" s="9">
        <v>0</v>
      </c>
      <c r="P1354" s="9">
        <v>0</v>
      </c>
      <c r="Q1354" s="9">
        <v>0</v>
      </c>
      <c r="R1354" s="9">
        <v>14</v>
      </c>
      <c r="S1354" s="9">
        <v>0</v>
      </c>
      <c r="T1354" s="9">
        <v>0</v>
      </c>
      <c r="U1354" s="9">
        <v>0</v>
      </c>
      <c r="V1354" s="9">
        <v>0</v>
      </c>
      <c r="W1354" s="9">
        <v>1</v>
      </c>
      <c r="X1354" s="9">
        <v>0</v>
      </c>
      <c r="Y1354" s="9">
        <v>0</v>
      </c>
      <c r="Z1354" s="9">
        <v>0</v>
      </c>
      <c r="AA1354" s="9">
        <v>0</v>
      </c>
      <c r="AB1354" s="9">
        <v>12</v>
      </c>
      <c r="AC1354" s="9">
        <v>0</v>
      </c>
      <c r="AD1354" s="53" t="e">
        <f>#REF!*D1354</f>
        <v>#REF!</v>
      </c>
      <c r="AE1354" s="53" t="e">
        <f>AD1354-#REF!</f>
        <v>#REF!</v>
      </c>
      <c r="AF1354" s="9"/>
      <c r="AG1354" s="33" t="e">
        <f>#REF!-D1354</f>
        <v>#REF!</v>
      </c>
    </row>
    <row r="1355" spans="1:37" s="16" customFormat="1" ht="20.399999999999999" outlineLevel="1" x14ac:dyDescent="0.2">
      <c r="A1355" s="62" t="s">
        <v>2386</v>
      </c>
      <c r="B1355" s="80" t="s">
        <v>201</v>
      </c>
      <c r="C1355" s="9" t="s">
        <v>47</v>
      </c>
      <c r="D1355" s="25">
        <f t="shared" si="337"/>
        <v>8</v>
      </c>
      <c r="E1355" s="54"/>
      <c r="F1355" s="9"/>
      <c r="G1355" s="9">
        <v>0</v>
      </c>
      <c r="H1355" s="9">
        <v>0</v>
      </c>
      <c r="I1355" s="9">
        <v>0</v>
      </c>
      <c r="J1355" s="9">
        <v>0</v>
      </c>
      <c r="K1355" s="9">
        <v>0</v>
      </c>
      <c r="L1355" s="9">
        <v>0</v>
      </c>
      <c r="M1355" s="9">
        <v>0</v>
      </c>
      <c r="N1355" s="9">
        <v>0</v>
      </c>
      <c r="O1355" s="9">
        <v>0</v>
      </c>
      <c r="P1355" s="9">
        <v>0</v>
      </c>
      <c r="Q1355" s="9">
        <v>0</v>
      </c>
      <c r="R1355" s="9">
        <v>4</v>
      </c>
      <c r="S1355" s="9">
        <v>0</v>
      </c>
      <c r="T1355" s="9">
        <v>0</v>
      </c>
      <c r="U1355" s="9">
        <v>0</v>
      </c>
      <c r="V1355" s="9">
        <v>0</v>
      </c>
      <c r="W1355" s="9">
        <v>0</v>
      </c>
      <c r="X1355" s="9">
        <v>0</v>
      </c>
      <c r="Y1355" s="9">
        <v>0</v>
      </c>
      <c r="Z1355" s="9">
        <v>0</v>
      </c>
      <c r="AA1355" s="9">
        <v>0</v>
      </c>
      <c r="AB1355" s="9">
        <v>4</v>
      </c>
      <c r="AC1355" s="9">
        <v>0</v>
      </c>
      <c r="AD1355" s="53" t="e">
        <f>#REF!*D1355</f>
        <v>#REF!</v>
      </c>
      <c r="AE1355" s="53" t="e">
        <f>AD1355-#REF!</f>
        <v>#REF!</v>
      </c>
      <c r="AF1355" s="9"/>
      <c r="AG1355" s="33" t="e">
        <f>#REF!-D1355</f>
        <v>#REF!</v>
      </c>
    </row>
    <row r="1356" spans="1:37" s="16" customFormat="1" ht="23.25" customHeight="1" outlineLevel="1" x14ac:dyDescent="0.2">
      <c r="A1356" s="62" t="s">
        <v>2387</v>
      </c>
      <c r="B1356" s="80" t="s">
        <v>284</v>
      </c>
      <c r="C1356" s="9" t="s">
        <v>47</v>
      </c>
      <c r="D1356" s="25">
        <f t="shared" si="337"/>
        <v>3</v>
      </c>
      <c r="E1356" s="54"/>
      <c r="F1356" s="9"/>
      <c r="G1356" s="9">
        <v>0</v>
      </c>
      <c r="H1356" s="9">
        <v>0</v>
      </c>
      <c r="I1356" s="9">
        <v>0</v>
      </c>
      <c r="J1356" s="9">
        <v>0</v>
      </c>
      <c r="K1356" s="9">
        <v>0</v>
      </c>
      <c r="L1356" s="9">
        <v>0</v>
      </c>
      <c r="M1356" s="9">
        <v>0</v>
      </c>
      <c r="N1356" s="9">
        <v>0</v>
      </c>
      <c r="O1356" s="9">
        <v>0</v>
      </c>
      <c r="P1356" s="9">
        <v>0</v>
      </c>
      <c r="Q1356" s="9">
        <v>0</v>
      </c>
      <c r="R1356" s="9">
        <v>3</v>
      </c>
      <c r="S1356" s="9">
        <v>0</v>
      </c>
      <c r="T1356" s="9">
        <v>0</v>
      </c>
      <c r="U1356" s="9">
        <v>0</v>
      </c>
      <c r="V1356" s="9">
        <v>0</v>
      </c>
      <c r="W1356" s="9">
        <v>0</v>
      </c>
      <c r="X1356" s="9">
        <v>0</v>
      </c>
      <c r="Y1356" s="9">
        <v>0</v>
      </c>
      <c r="Z1356" s="9">
        <v>0</v>
      </c>
      <c r="AA1356" s="9">
        <v>0</v>
      </c>
      <c r="AB1356" s="9">
        <v>0</v>
      </c>
      <c r="AC1356" s="9">
        <v>0</v>
      </c>
      <c r="AD1356" s="53" t="e">
        <f>#REF!*D1356</f>
        <v>#REF!</v>
      </c>
      <c r="AE1356" s="53" t="e">
        <f>AD1356-#REF!</f>
        <v>#REF!</v>
      </c>
      <c r="AF1356" s="9"/>
      <c r="AG1356" s="33" t="e">
        <f>#REF!-D1356</f>
        <v>#REF!</v>
      </c>
    </row>
    <row r="1357" spans="1:37" s="16" customFormat="1" ht="20.399999999999999" outlineLevel="1" x14ac:dyDescent="0.2">
      <c r="A1357" s="62" t="s">
        <v>2388</v>
      </c>
      <c r="B1357" s="80" t="s">
        <v>1530</v>
      </c>
      <c r="C1357" s="9" t="s">
        <v>47</v>
      </c>
      <c r="D1357" s="25">
        <f t="shared" si="337"/>
        <v>6</v>
      </c>
      <c r="E1357" s="54"/>
      <c r="F1357" s="9"/>
      <c r="G1357" s="9">
        <v>0</v>
      </c>
      <c r="H1357" s="9">
        <v>1</v>
      </c>
      <c r="I1357" s="9">
        <v>0</v>
      </c>
      <c r="J1357" s="9">
        <v>0</v>
      </c>
      <c r="K1357" s="9">
        <v>0</v>
      </c>
      <c r="L1357" s="9">
        <v>1</v>
      </c>
      <c r="M1357" s="9">
        <v>0</v>
      </c>
      <c r="N1357" s="9">
        <v>0</v>
      </c>
      <c r="O1357" s="9">
        <v>0</v>
      </c>
      <c r="P1357" s="9">
        <v>0</v>
      </c>
      <c r="Q1357" s="9">
        <v>0</v>
      </c>
      <c r="R1357" s="9">
        <v>0</v>
      </c>
      <c r="S1357" s="9">
        <v>0</v>
      </c>
      <c r="T1357" s="9">
        <v>2</v>
      </c>
      <c r="U1357" s="9">
        <v>0</v>
      </c>
      <c r="V1357" s="9">
        <v>1</v>
      </c>
      <c r="W1357" s="9">
        <v>0</v>
      </c>
      <c r="X1357" s="9">
        <v>0</v>
      </c>
      <c r="Y1357" s="9">
        <v>0</v>
      </c>
      <c r="Z1357" s="9">
        <v>0</v>
      </c>
      <c r="AA1357" s="9">
        <v>0</v>
      </c>
      <c r="AB1357" s="9">
        <v>1</v>
      </c>
      <c r="AC1357" s="9">
        <v>0</v>
      </c>
      <c r="AD1357" s="53" t="e">
        <f>#REF!*D1357</f>
        <v>#REF!</v>
      </c>
      <c r="AE1357" s="53" t="e">
        <f>AD1357-#REF!</f>
        <v>#REF!</v>
      </c>
      <c r="AF1357" s="9"/>
      <c r="AG1357" s="33" t="e">
        <f>#REF!-D1357</f>
        <v>#REF!</v>
      </c>
    </row>
    <row r="1358" spans="1:37" s="16" customFormat="1" ht="20.399999999999999" outlineLevel="1" x14ac:dyDescent="0.2">
      <c r="A1358" s="62" t="s">
        <v>2389</v>
      </c>
      <c r="B1358" s="80" t="s">
        <v>1535</v>
      </c>
      <c r="C1358" s="9" t="s">
        <v>47</v>
      </c>
      <c r="D1358" s="25">
        <f t="shared" si="337"/>
        <v>2</v>
      </c>
      <c r="E1358" s="54"/>
      <c r="F1358" s="9"/>
      <c r="G1358" s="9">
        <v>0</v>
      </c>
      <c r="H1358" s="9">
        <v>0</v>
      </c>
      <c r="I1358" s="9">
        <v>0</v>
      </c>
      <c r="J1358" s="9">
        <v>0</v>
      </c>
      <c r="K1358" s="9">
        <v>0</v>
      </c>
      <c r="L1358" s="9">
        <v>0</v>
      </c>
      <c r="M1358" s="9">
        <v>0</v>
      </c>
      <c r="N1358" s="9">
        <v>0</v>
      </c>
      <c r="O1358" s="9">
        <v>0</v>
      </c>
      <c r="P1358" s="9">
        <v>0</v>
      </c>
      <c r="Q1358" s="9">
        <v>0</v>
      </c>
      <c r="R1358" s="9">
        <v>0</v>
      </c>
      <c r="S1358" s="9">
        <v>0</v>
      </c>
      <c r="T1358" s="9">
        <v>2</v>
      </c>
      <c r="U1358" s="9">
        <v>0</v>
      </c>
      <c r="V1358" s="9">
        <v>0</v>
      </c>
      <c r="W1358" s="9">
        <v>0</v>
      </c>
      <c r="X1358" s="9">
        <v>0</v>
      </c>
      <c r="Y1358" s="9">
        <v>0</v>
      </c>
      <c r="Z1358" s="9">
        <v>0</v>
      </c>
      <c r="AA1358" s="9">
        <v>0</v>
      </c>
      <c r="AB1358" s="9">
        <v>0</v>
      </c>
      <c r="AC1358" s="9">
        <v>0</v>
      </c>
      <c r="AD1358" s="53" t="e">
        <f>#REF!*D1358</f>
        <v>#REF!</v>
      </c>
      <c r="AE1358" s="53" t="e">
        <f>AD1358-#REF!</f>
        <v>#REF!</v>
      </c>
      <c r="AF1358" s="9"/>
      <c r="AG1358" s="33" t="e">
        <f>#REF!-D1358</f>
        <v>#REF!</v>
      </c>
    </row>
    <row r="1359" spans="1:37" s="16" customFormat="1" ht="20.399999999999999" outlineLevel="1" x14ac:dyDescent="0.2">
      <c r="A1359" s="62" t="s">
        <v>2390</v>
      </c>
      <c r="B1359" s="80" t="s">
        <v>1498</v>
      </c>
      <c r="C1359" s="9" t="s">
        <v>47</v>
      </c>
      <c r="D1359" s="25">
        <f t="shared" si="337"/>
        <v>3</v>
      </c>
      <c r="E1359" s="54"/>
      <c r="F1359" s="9"/>
      <c r="G1359" s="9">
        <v>0</v>
      </c>
      <c r="H1359" s="9">
        <v>0</v>
      </c>
      <c r="I1359" s="9">
        <v>0</v>
      </c>
      <c r="J1359" s="9">
        <v>0</v>
      </c>
      <c r="K1359" s="9">
        <v>0</v>
      </c>
      <c r="L1359" s="9">
        <v>0</v>
      </c>
      <c r="M1359" s="9">
        <v>0</v>
      </c>
      <c r="N1359" s="9">
        <v>0</v>
      </c>
      <c r="O1359" s="9">
        <v>0</v>
      </c>
      <c r="P1359" s="9">
        <v>0</v>
      </c>
      <c r="Q1359" s="9">
        <v>0</v>
      </c>
      <c r="R1359" s="9">
        <v>0</v>
      </c>
      <c r="S1359" s="9">
        <v>0</v>
      </c>
      <c r="T1359" s="9">
        <v>1</v>
      </c>
      <c r="U1359" s="9">
        <v>0</v>
      </c>
      <c r="V1359" s="9">
        <v>0</v>
      </c>
      <c r="W1359" s="9">
        <v>0</v>
      </c>
      <c r="X1359" s="9">
        <v>0</v>
      </c>
      <c r="Y1359" s="9">
        <v>0</v>
      </c>
      <c r="Z1359" s="9">
        <v>0</v>
      </c>
      <c r="AA1359" s="9">
        <v>0</v>
      </c>
      <c r="AB1359" s="9">
        <v>2</v>
      </c>
      <c r="AC1359" s="9">
        <v>0</v>
      </c>
      <c r="AD1359" s="53" t="e">
        <f>#REF!*D1359</f>
        <v>#REF!</v>
      </c>
      <c r="AE1359" s="53" t="e">
        <f>AD1359-#REF!</f>
        <v>#REF!</v>
      </c>
      <c r="AF1359" s="9"/>
      <c r="AG1359" s="33" t="e">
        <f>#REF!-D1359</f>
        <v>#REF!</v>
      </c>
    </row>
    <row r="1360" spans="1:37" s="16" customFormat="1" ht="20.399999999999999" outlineLevel="1" x14ac:dyDescent="0.2">
      <c r="A1360" s="62" t="s">
        <v>2391</v>
      </c>
      <c r="B1360" s="80" t="s">
        <v>1499</v>
      </c>
      <c r="C1360" s="9" t="s">
        <v>47</v>
      </c>
      <c r="D1360" s="25">
        <f t="shared" si="337"/>
        <v>4</v>
      </c>
      <c r="E1360" s="54"/>
      <c r="F1360" s="9"/>
      <c r="G1360" s="9">
        <v>0</v>
      </c>
      <c r="H1360" s="9">
        <v>2</v>
      </c>
      <c r="I1360" s="9">
        <v>0</v>
      </c>
      <c r="J1360" s="9">
        <v>0</v>
      </c>
      <c r="K1360" s="9">
        <v>0</v>
      </c>
      <c r="L1360" s="9">
        <v>2</v>
      </c>
      <c r="M1360" s="9">
        <v>0</v>
      </c>
      <c r="N1360" s="9">
        <v>0</v>
      </c>
      <c r="O1360" s="9">
        <v>0</v>
      </c>
      <c r="P1360" s="9">
        <v>0</v>
      </c>
      <c r="Q1360" s="9">
        <v>0</v>
      </c>
      <c r="R1360" s="9">
        <v>0</v>
      </c>
      <c r="S1360" s="9">
        <v>0</v>
      </c>
      <c r="T1360" s="9">
        <v>0</v>
      </c>
      <c r="U1360" s="9">
        <v>0</v>
      </c>
      <c r="V1360" s="9">
        <v>0</v>
      </c>
      <c r="W1360" s="9">
        <v>0</v>
      </c>
      <c r="X1360" s="9">
        <v>0</v>
      </c>
      <c r="Y1360" s="9">
        <v>0</v>
      </c>
      <c r="Z1360" s="9">
        <v>0</v>
      </c>
      <c r="AA1360" s="9">
        <v>0</v>
      </c>
      <c r="AB1360" s="9">
        <v>0</v>
      </c>
      <c r="AC1360" s="9">
        <v>0</v>
      </c>
      <c r="AD1360" s="53" t="e">
        <f>#REF!*D1360</f>
        <v>#REF!</v>
      </c>
      <c r="AE1360" s="53" t="e">
        <f>AD1360-#REF!</f>
        <v>#REF!</v>
      </c>
      <c r="AF1360" s="9"/>
      <c r="AG1360" s="33" t="e">
        <f>#REF!-D1360</f>
        <v>#REF!</v>
      </c>
    </row>
    <row r="1361" spans="1:37" s="16" customFormat="1" ht="61.2" outlineLevel="1" x14ac:dyDescent="0.2">
      <c r="A1361" s="62" t="s">
        <v>2392</v>
      </c>
      <c r="B1361" s="47" t="s">
        <v>3533</v>
      </c>
      <c r="C1361" s="9" t="s">
        <v>47</v>
      </c>
      <c r="D1361" s="25">
        <f t="shared" si="337"/>
        <v>1</v>
      </c>
      <c r="E1361" s="54"/>
      <c r="F1361" s="9"/>
      <c r="G1361" s="9">
        <v>0</v>
      </c>
      <c r="H1361" s="9">
        <v>0</v>
      </c>
      <c r="I1361" s="9">
        <v>0</v>
      </c>
      <c r="J1361" s="9">
        <v>0</v>
      </c>
      <c r="K1361" s="9">
        <v>0</v>
      </c>
      <c r="L1361" s="9">
        <v>0</v>
      </c>
      <c r="M1361" s="9">
        <v>0</v>
      </c>
      <c r="N1361" s="9">
        <v>0</v>
      </c>
      <c r="O1361" s="9">
        <v>0</v>
      </c>
      <c r="P1361" s="9">
        <v>0</v>
      </c>
      <c r="Q1361" s="9">
        <v>0</v>
      </c>
      <c r="R1361" s="9">
        <v>1</v>
      </c>
      <c r="S1361" s="9">
        <v>0</v>
      </c>
      <c r="T1361" s="9">
        <v>0</v>
      </c>
      <c r="U1361" s="9">
        <v>0</v>
      </c>
      <c r="V1361" s="9">
        <v>0</v>
      </c>
      <c r="W1361" s="9">
        <v>0</v>
      </c>
      <c r="X1361" s="9">
        <v>0</v>
      </c>
      <c r="Y1361" s="9">
        <v>0</v>
      </c>
      <c r="Z1361" s="9">
        <v>0</v>
      </c>
      <c r="AA1361" s="9">
        <v>0</v>
      </c>
      <c r="AB1361" s="9">
        <v>0</v>
      </c>
      <c r="AC1361" s="9">
        <v>0</v>
      </c>
      <c r="AD1361" s="53" t="e">
        <f>#REF!*D1361</f>
        <v>#REF!</v>
      </c>
      <c r="AE1361" s="53" t="e">
        <f>AD1361-#REF!</f>
        <v>#REF!</v>
      </c>
      <c r="AF1361" s="9"/>
      <c r="AG1361" s="33" t="e">
        <f>#REF!-D1361</f>
        <v>#REF!</v>
      </c>
    </row>
    <row r="1362" spans="1:37" s="16" customFormat="1" ht="40.799999999999997" outlineLevel="1" x14ac:dyDescent="0.2">
      <c r="A1362" s="62" t="s">
        <v>2393</v>
      </c>
      <c r="B1362" s="14" t="s">
        <v>3534</v>
      </c>
      <c r="C1362" s="9" t="s">
        <v>47</v>
      </c>
      <c r="D1362" s="25">
        <f t="shared" si="337"/>
        <v>1</v>
      </c>
      <c r="E1362" s="54"/>
      <c r="F1362" s="9"/>
      <c r="G1362" s="9">
        <v>0</v>
      </c>
      <c r="H1362" s="9">
        <v>0</v>
      </c>
      <c r="I1362" s="9">
        <v>0</v>
      </c>
      <c r="J1362" s="9">
        <v>0</v>
      </c>
      <c r="K1362" s="9">
        <v>0</v>
      </c>
      <c r="L1362" s="9">
        <v>0</v>
      </c>
      <c r="M1362" s="9">
        <v>0</v>
      </c>
      <c r="N1362" s="9">
        <v>0</v>
      </c>
      <c r="O1362" s="9">
        <v>0</v>
      </c>
      <c r="P1362" s="9">
        <v>0</v>
      </c>
      <c r="Q1362" s="9">
        <v>0</v>
      </c>
      <c r="R1362" s="9">
        <v>1</v>
      </c>
      <c r="S1362" s="9">
        <v>0</v>
      </c>
      <c r="T1362" s="9">
        <v>0</v>
      </c>
      <c r="U1362" s="9">
        <v>0</v>
      </c>
      <c r="V1362" s="9">
        <v>0</v>
      </c>
      <c r="W1362" s="9">
        <v>0</v>
      </c>
      <c r="X1362" s="9">
        <v>0</v>
      </c>
      <c r="Y1362" s="9">
        <v>0</v>
      </c>
      <c r="Z1362" s="9">
        <v>0</v>
      </c>
      <c r="AA1362" s="9">
        <v>0</v>
      </c>
      <c r="AB1362" s="9">
        <v>0</v>
      </c>
      <c r="AC1362" s="9">
        <v>0</v>
      </c>
      <c r="AD1362" s="53" t="e">
        <f>#REF!*D1362</f>
        <v>#REF!</v>
      </c>
      <c r="AE1362" s="53" t="e">
        <f>AD1362-#REF!</f>
        <v>#REF!</v>
      </c>
      <c r="AF1362" s="9"/>
      <c r="AG1362" s="33" t="e">
        <f>#REF!-D1362</f>
        <v>#REF!</v>
      </c>
    </row>
    <row r="1363" spans="1:37" s="16" customFormat="1" ht="61.2" outlineLevel="1" x14ac:dyDescent="0.2">
      <c r="A1363" s="62" t="s">
        <v>2394</v>
      </c>
      <c r="B1363" s="47" t="s">
        <v>3261</v>
      </c>
      <c r="C1363" s="9" t="s">
        <v>47</v>
      </c>
      <c r="D1363" s="25">
        <f t="shared" si="337"/>
        <v>3</v>
      </c>
      <c r="E1363" s="54"/>
      <c r="F1363" s="9"/>
      <c r="G1363" s="9">
        <v>0</v>
      </c>
      <c r="H1363" s="9">
        <v>0</v>
      </c>
      <c r="I1363" s="9">
        <v>0</v>
      </c>
      <c r="J1363" s="9">
        <v>0</v>
      </c>
      <c r="K1363" s="9">
        <v>0</v>
      </c>
      <c r="L1363" s="9">
        <v>0</v>
      </c>
      <c r="M1363" s="9">
        <v>0</v>
      </c>
      <c r="N1363" s="9">
        <v>0</v>
      </c>
      <c r="O1363" s="9">
        <v>0</v>
      </c>
      <c r="P1363" s="9">
        <v>0</v>
      </c>
      <c r="Q1363" s="9">
        <v>0</v>
      </c>
      <c r="R1363" s="9">
        <v>0</v>
      </c>
      <c r="S1363" s="9">
        <v>0</v>
      </c>
      <c r="T1363" s="9">
        <v>0</v>
      </c>
      <c r="U1363" s="9">
        <v>0</v>
      </c>
      <c r="V1363" s="9">
        <v>0</v>
      </c>
      <c r="W1363" s="9">
        <v>0</v>
      </c>
      <c r="X1363" s="9">
        <v>0</v>
      </c>
      <c r="Y1363" s="9">
        <v>0</v>
      </c>
      <c r="Z1363" s="9">
        <v>0</v>
      </c>
      <c r="AA1363" s="9">
        <v>0</v>
      </c>
      <c r="AB1363" s="9">
        <v>3</v>
      </c>
      <c r="AC1363" s="9">
        <v>0</v>
      </c>
      <c r="AD1363" s="53" t="e">
        <f>#REF!*D1363</f>
        <v>#REF!</v>
      </c>
      <c r="AE1363" s="53" t="e">
        <f>AD1363-#REF!</f>
        <v>#REF!</v>
      </c>
      <c r="AF1363" s="9"/>
      <c r="AG1363" s="33" t="e">
        <f>#REF!-D1363</f>
        <v>#REF!</v>
      </c>
    </row>
    <row r="1364" spans="1:37" s="16" customFormat="1" ht="20.399999999999999" outlineLevel="1" x14ac:dyDescent="0.2">
      <c r="A1364" s="62" t="s">
        <v>2395</v>
      </c>
      <c r="B1364" s="14" t="s">
        <v>1531</v>
      </c>
      <c r="C1364" s="9" t="s">
        <v>47</v>
      </c>
      <c r="D1364" s="25">
        <f t="shared" si="337"/>
        <v>2</v>
      </c>
      <c r="E1364" s="54"/>
      <c r="F1364" s="9"/>
      <c r="G1364" s="9">
        <v>0</v>
      </c>
      <c r="H1364" s="9">
        <v>1</v>
      </c>
      <c r="I1364" s="9">
        <v>0</v>
      </c>
      <c r="J1364" s="9">
        <v>0</v>
      </c>
      <c r="K1364" s="9">
        <v>0</v>
      </c>
      <c r="L1364" s="9">
        <v>0</v>
      </c>
      <c r="M1364" s="9">
        <v>0</v>
      </c>
      <c r="N1364" s="9">
        <v>0</v>
      </c>
      <c r="O1364" s="9">
        <v>0</v>
      </c>
      <c r="P1364" s="9">
        <v>0</v>
      </c>
      <c r="Q1364" s="9">
        <v>0</v>
      </c>
      <c r="R1364" s="9">
        <v>0</v>
      </c>
      <c r="S1364" s="9">
        <v>0</v>
      </c>
      <c r="T1364" s="9">
        <v>0</v>
      </c>
      <c r="U1364" s="9">
        <v>0</v>
      </c>
      <c r="V1364" s="9">
        <v>1</v>
      </c>
      <c r="W1364" s="9">
        <v>0</v>
      </c>
      <c r="X1364" s="9">
        <v>0</v>
      </c>
      <c r="Y1364" s="9">
        <v>0</v>
      </c>
      <c r="Z1364" s="9">
        <v>0</v>
      </c>
      <c r="AA1364" s="9">
        <v>0</v>
      </c>
      <c r="AB1364" s="9">
        <v>0</v>
      </c>
      <c r="AC1364" s="9">
        <v>0</v>
      </c>
      <c r="AD1364" s="53" t="e">
        <f>#REF!*D1364</f>
        <v>#REF!</v>
      </c>
      <c r="AE1364" s="53" t="e">
        <f>AD1364-#REF!</f>
        <v>#REF!</v>
      </c>
      <c r="AF1364" s="9"/>
      <c r="AG1364" s="33" t="e">
        <f>#REF!-D1364</f>
        <v>#REF!</v>
      </c>
    </row>
    <row r="1365" spans="1:37" s="16" customFormat="1" ht="20.399999999999999" outlineLevel="1" x14ac:dyDescent="0.2">
      <c r="A1365" s="62" t="s">
        <v>2396</v>
      </c>
      <c r="B1365" s="14" t="s">
        <v>1532</v>
      </c>
      <c r="C1365" s="9" t="s">
        <v>47</v>
      </c>
      <c r="D1365" s="25">
        <f t="shared" si="337"/>
        <v>1</v>
      </c>
      <c r="E1365" s="54"/>
      <c r="F1365" s="9"/>
      <c r="G1365" s="9">
        <v>0</v>
      </c>
      <c r="H1365" s="9">
        <v>0</v>
      </c>
      <c r="I1365" s="9">
        <v>0</v>
      </c>
      <c r="J1365" s="9">
        <v>0</v>
      </c>
      <c r="K1365" s="9">
        <v>0</v>
      </c>
      <c r="L1365" s="9">
        <v>1</v>
      </c>
      <c r="M1365" s="9">
        <v>0</v>
      </c>
      <c r="N1365" s="9">
        <v>0</v>
      </c>
      <c r="O1365" s="9">
        <v>0</v>
      </c>
      <c r="P1365" s="9">
        <v>0</v>
      </c>
      <c r="Q1365" s="9">
        <v>0</v>
      </c>
      <c r="R1365" s="9">
        <v>0</v>
      </c>
      <c r="S1365" s="9">
        <v>0</v>
      </c>
      <c r="T1365" s="9">
        <v>0</v>
      </c>
      <c r="U1365" s="9">
        <v>0</v>
      </c>
      <c r="V1365" s="9">
        <v>0</v>
      </c>
      <c r="W1365" s="9">
        <v>0</v>
      </c>
      <c r="X1365" s="9">
        <v>0</v>
      </c>
      <c r="Y1365" s="9">
        <v>0</v>
      </c>
      <c r="Z1365" s="9">
        <v>0</v>
      </c>
      <c r="AA1365" s="9">
        <v>0</v>
      </c>
      <c r="AB1365" s="9">
        <v>0</v>
      </c>
      <c r="AC1365" s="9">
        <v>0</v>
      </c>
      <c r="AD1365" s="53" t="e">
        <f>#REF!*D1365</f>
        <v>#REF!</v>
      </c>
      <c r="AE1365" s="53" t="e">
        <f>AD1365-#REF!</f>
        <v>#REF!</v>
      </c>
      <c r="AF1365" s="9"/>
      <c r="AG1365" s="33" t="e">
        <f>#REF!-D1365</f>
        <v>#REF!</v>
      </c>
    </row>
    <row r="1366" spans="1:37" s="16" customFormat="1" ht="20.399999999999999" outlineLevel="1" x14ac:dyDescent="0.2">
      <c r="A1366" s="62" t="s">
        <v>2397</v>
      </c>
      <c r="B1366" s="14" t="s">
        <v>1536</v>
      </c>
      <c r="C1366" s="9" t="s">
        <v>47</v>
      </c>
      <c r="D1366" s="25">
        <f t="shared" si="337"/>
        <v>3</v>
      </c>
      <c r="E1366" s="54"/>
      <c r="F1366" s="9"/>
      <c r="G1366" s="9">
        <v>0</v>
      </c>
      <c r="H1366" s="9">
        <v>0</v>
      </c>
      <c r="I1366" s="9">
        <v>0</v>
      </c>
      <c r="J1366" s="9">
        <v>0</v>
      </c>
      <c r="K1366" s="9">
        <v>0</v>
      </c>
      <c r="L1366" s="9">
        <v>0</v>
      </c>
      <c r="M1366" s="9">
        <v>0</v>
      </c>
      <c r="N1366" s="9">
        <v>0</v>
      </c>
      <c r="O1366" s="9">
        <v>0</v>
      </c>
      <c r="P1366" s="9">
        <v>0</v>
      </c>
      <c r="Q1366" s="9">
        <v>0</v>
      </c>
      <c r="R1366" s="9">
        <v>2</v>
      </c>
      <c r="S1366" s="9">
        <v>0</v>
      </c>
      <c r="T1366" s="9">
        <v>0</v>
      </c>
      <c r="U1366" s="9">
        <v>0</v>
      </c>
      <c r="V1366" s="9">
        <v>0</v>
      </c>
      <c r="W1366" s="9">
        <v>0</v>
      </c>
      <c r="X1366" s="9">
        <v>0</v>
      </c>
      <c r="Y1366" s="9">
        <v>0</v>
      </c>
      <c r="Z1366" s="9">
        <v>0</v>
      </c>
      <c r="AA1366" s="9">
        <v>0</v>
      </c>
      <c r="AB1366" s="9">
        <v>1</v>
      </c>
      <c r="AC1366" s="9">
        <v>0</v>
      </c>
      <c r="AD1366" s="53" t="e">
        <f>#REF!*D1366</f>
        <v>#REF!</v>
      </c>
      <c r="AE1366" s="53" t="e">
        <f>AD1366-#REF!</f>
        <v>#REF!</v>
      </c>
      <c r="AF1366" s="9"/>
      <c r="AG1366" s="33" t="e">
        <f>#REF!-D1366</f>
        <v>#REF!</v>
      </c>
    </row>
    <row r="1367" spans="1:37" s="16" customFormat="1" ht="20.399999999999999" outlineLevel="1" x14ac:dyDescent="0.2">
      <c r="A1367" s="62" t="s">
        <v>2398</v>
      </c>
      <c r="B1367" s="14" t="s">
        <v>1977</v>
      </c>
      <c r="C1367" s="9" t="s">
        <v>47</v>
      </c>
      <c r="D1367" s="25">
        <f t="shared" si="337"/>
        <v>4</v>
      </c>
      <c r="E1367" s="54"/>
      <c r="F1367" s="9"/>
      <c r="G1367" s="9">
        <v>0</v>
      </c>
      <c r="H1367" s="9">
        <v>1</v>
      </c>
      <c r="I1367" s="9">
        <v>0</v>
      </c>
      <c r="J1367" s="9">
        <v>0</v>
      </c>
      <c r="K1367" s="9">
        <v>0</v>
      </c>
      <c r="L1367" s="9">
        <v>1</v>
      </c>
      <c r="M1367" s="9">
        <v>0</v>
      </c>
      <c r="N1367" s="9">
        <v>0</v>
      </c>
      <c r="O1367" s="9">
        <v>0</v>
      </c>
      <c r="P1367" s="9">
        <v>0</v>
      </c>
      <c r="Q1367" s="9">
        <v>0</v>
      </c>
      <c r="R1367" s="9">
        <v>0</v>
      </c>
      <c r="S1367" s="9">
        <v>0</v>
      </c>
      <c r="T1367" s="9">
        <v>0</v>
      </c>
      <c r="U1367" s="9">
        <v>0</v>
      </c>
      <c r="V1367" s="9">
        <v>1</v>
      </c>
      <c r="W1367" s="9">
        <v>0</v>
      </c>
      <c r="X1367" s="9">
        <v>0</v>
      </c>
      <c r="Y1367" s="9">
        <v>0</v>
      </c>
      <c r="Z1367" s="9">
        <v>0</v>
      </c>
      <c r="AA1367" s="9">
        <v>0</v>
      </c>
      <c r="AB1367" s="9">
        <v>1</v>
      </c>
      <c r="AC1367" s="9">
        <v>0</v>
      </c>
      <c r="AD1367" s="53" t="e">
        <f>#REF!*D1367</f>
        <v>#REF!</v>
      </c>
      <c r="AE1367" s="53" t="e">
        <f>AD1367-#REF!</f>
        <v>#REF!</v>
      </c>
      <c r="AF1367" s="9"/>
      <c r="AG1367" s="33" t="e">
        <f>#REF!-D1367</f>
        <v>#REF!</v>
      </c>
    </row>
    <row r="1368" spans="1:37" s="16" customFormat="1" ht="30.6" outlineLevel="1" x14ac:dyDescent="0.2">
      <c r="A1368" s="62" t="s">
        <v>2399</v>
      </c>
      <c r="B1368" s="80" t="s">
        <v>2547</v>
      </c>
      <c r="C1368" s="9" t="s">
        <v>47</v>
      </c>
      <c r="D1368" s="25">
        <f t="shared" si="337"/>
        <v>2</v>
      </c>
      <c r="E1368" s="54"/>
      <c r="F1368" s="9"/>
      <c r="G1368" s="9">
        <v>0</v>
      </c>
      <c r="H1368" s="9">
        <v>2</v>
      </c>
      <c r="I1368" s="9">
        <v>0</v>
      </c>
      <c r="J1368" s="9">
        <v>0</v>
      </c>
      <c r="K1368" s="9">
        <v>0</v>
      </c>
      <c r="L1368" s="9">
        <v>0</v>
      </c>
      <c r="M1368" s="9">
        <v>0</v>
      </c>
      <c r="N1368" s="9">
        <v>0</v>
      </c>
      <c r="O1368" s="9">
        <v>0</v>
      </c>
      <c r="P1368" s="9">
        <v>0</v>
      </c>
      <c r="Q1368" s="9">
        <v>0</v>
      </c>
      <c r="R1368" s="9">
        <v>0</v>
      </c>
      <c r="S1368" s="9">
        <v>0</v>
      </c>
      <c r="T1368" s="9">
        <v>0</v>
      </c>
      <c r="U1368" s="9">
        <v>0</v>
      </c>
      <c r="V1368" s="9">
        <v>0</v>
      </c>
      <c r="W1368" s="9">
        <v>0</v>
      </c>
      <c r="X1368" s="9">
        <v>0</v>
      </c>
      <c r="Y1368" s="9">
        <v>0</v>
      </c>
      <c r="Z1368" s="9">
        <v>0</v>
      </c>
      <c r="AA1368" s="9">
        <v>0</v>
      </c>
      <c r="AB1368" s="9">
        <v>0</v>
      </c>
      <c r="AC1368" s="9">
        <v>0</v>
      </c>
      <c r="AD1368" s="53" t="e">
        <f>#REF!*D1368</f>
        <v>#REF!</v>
      </c>
      <c r="AE1368" s="53" t="e">
        <f>AD1368-#REF!</f>
        <v>#REF!</v>
      </c>
      <c r="AF1368" s="9"/>
      <c r="AG1368" s="33" t="e">
        <f>#REF!-D1368</f>
        <v>#REF!</v>
      </c>
    </row>
    <row r="1369" spans="1:37" s="16" customFormat="1" ht="20.399999999999999" outlineLevel="1" x14ac:dyDescent="0.2">
      <c r="A1369" s="62" t="s">
        <v>2400</v>
      </c>
      <c r="B1369" s="14" t="s">
        <v>1975</v>
      </c>
      <c r="C1369" s="9" t="s">
        <v>47</v>
      </c>
      <c r="D1369" s="25">
        <f t="shared" si="337"/>
        <v>2</v>
      </c>
      <c r="E1369" s="54"/>
      <c r="F1369" s="9"/>
      <c r="G1369" s="9">
        <v>0</v>
      </c>
      <c r="H1369" s="9">
        <v>2</v>
      </c>
      <c r="I1369" s="9">
        <v>0</v>
      </c>
      <c r="J1369" s="9">
        <v>0</v>
      </c>
      <c r="K1369" s="9">
        <v>0</v>
      </c>
      <c r="L1369" s="9">
        <v>0</v>
      </c>
      <c r="M1369" s="9">
        <v>0</v>
      </c>
      <c r="N1369" s="9">
        <v>0</v>
      </c>
      <c r="O1369" s="9">
        <v>0</v>
      </c>
      <c r="P1369" s="9">
        <v>0</v>
      </c>
      <c r="Q1369" s="9">
        <v>0</v>
      </c>
      <c r="R1369" s="9">
        <v>0</v>
      </c>
      <c r="S1369" s="9">
        <v>0</v>
      </c>
      <c r="T1369" s="9">
        <v>0</v>
      </c>
      <c r="U1369" s="9">
        <v>0</v>
      </c>
      <c r="V1369" s="9">
        <v>0</v>
      </c>
      <c r="W1369" s="9">
        <v>0</v>
      </c>
      <c r="X1369" s="9">
        <v>0</v>
      </c>
      <c r="Y1369" s="9">
        <v>0</v>
      </c>
      <c r="Z1369" s="9">
        <v>0</v>
      </c>
      <c r="AA1369" s="9">
        <v>0</v>
      </c>
      <c r="AB1369" s="9">
        <v>0</v>
      </c>
      <c r="AC1369" s="9">
        <v>0</v>
      </c>
      <c r="AD1369" s="53" t="e">
        <f>#REF!*D1369</f>
        <v>#REF!</v>
      </c>
      <c r="AE1369" s="53" t="e">
        <f>AD1369-#REF!</f>
        <v>#REF!</v>
      </c>
      <c r="AF1369" s="9"/>
      <c r="AG1369" s="33" t="e">
        <f>#REF!-D1369</f>
        <v>#REF!</v>
      </c>
    </row>
    <row r="1370" spans="1:37" s="16" customFormat="1" ht="20.399999999999999" outlineLevel="1" x14ac:dyDescent="0.2">
      <c r="A1370" s="62" t="s">
        <v>2401</v>
      </c>
      <c r="B1370" s="14" t="s">
        <v>115</v>
      </c>
      <c r="C1370" s="9" t="s">
        <v>47</v>
      </c>
      <c r="D1370" s="25">
        <f t="shared" si="337"/>
        <v>2</v>
      </c>
      <c r="E1370" s="54"/>
      <c r="F1370" s="9"/>
      <c r="G1370" s="9">
        <v>0</v>
      </c>
      <c r="H1370" s="9">
        <v>2</v>
      </c>
      <c r="I1370" s="9">
        <v>0</v>
      </c>
      <c r="J1370" s="9">
        <v>0</v>
      </c>
      <c r="K1370" s="9">
        <v>0</v>
      </c>
      <c r="L1370" s="9">
        <v>0</v>
      </c>
      <c r="M1370" s="9">
        <v>0</v>
      </c>
      <c r="N1370" s="9">
        <v>0</v>
      </c>
      <c r="O1370" s="9">
        <v>0</v>
      </c>
      <c r="P1370" s="9">
        <v>0</v>
      </c>
      <c r="Q1370" s="9">
        <v>0</v>
      </c>
      <c r="R1370" s="9">
        <v>0</v>
      </c>
      <c r="S1370" s="9">
        <v>0</v>
      </c>
      <c r="T1370" s="9">
        <v>0</v>
      </c>
      <c r="U1370" s="9">
        <v>0</v>
      </c>
      <c r="V1370" s="9">
        <v>0</v>
      </c>
      <c r="W1370" s="9">
        <v>0</v>
      </c>
      <c r="X1370" s="9">
        <v>0</v>
      </c>
      <c r="Y1370" s="9">
        <v>0</v>
      </c>
      <c r="Z1370" s="9">
        <v>0</v>
      </c>
      <c r="AA1370" s="9">
        <v>0</v>
      </c>
      <c r="AB1370" s="9">
        <v>0</v>
      </c>
      <c r="AC1370" s="9">
        <v>0</v>
      </c>
      <c r="AD1370" s="53" t="e">
        <f>#REF!*D1370</f>
        <v>#REF!</v>
      </c>
      <c r="AE1370" s="53" t="e">
        <f>AD1370-#REF!</f>
        <v>#REF!</v>
      </c>
      <c r="AF1370" s="9"/>
      <c r="AG1370" s="33" t="e">
        <f>#REF!-D1370</f>
        <v>#REF!</v>
      </c>
    </row>
    <row r="1371" spans="1:37" s="16" customFormat="1" ht="30.6" outlineLevel="1" x14ac:dyDescent="0.2">
      <c r="A1371" s="62" t="s">
        <v>3209</v>
      </c>
      <c r="B1371" s="14" t="s">
        <v>3262</v>
      </c>
      <c r="C1371" s="9" t="s">
        <v>47</v>
      </c>
      <c r="D1371" s="25">
        <f t="shared" si="337"/>
        <v>40</v>
      </c>
      <c r="E1371" s="54"/>
      <c r="F1371" s="9"/>
      <c r="G1371" s="9">
        <v>0</v>
      </c>
      <c r="H1371" s="9">
        <v>0</v>
      </c>
      <c r="I1371" s="9">
        <v>0</v>
      </c>
      <c r="J1371" s="9">
        <v>0</v>
      </c>
      <c r="K1371" s="9">
        <v>0</v>
      </c>
      <c r="L1371" s="9">
        <v>0</v>
      </c>
      <c r="M1371" s="9">
        <v>0</v>
      </c>
      <c r="N1371" s="9">
        <v>0</v>
      </c>
      <c r="O1371" s="9">
        <v>0</v>
      </c>
      <c r="P1371" s="9">
        <v>0</v>
      </c>
      <c r="Q1371" s="9">
        <v>0</v>
      </c>
      <c r="R1371" s="9">
        <v>0</v>
      </c>
      <c r="S1371" s="9">
        <v>0</v>
      </c>
      <c r="T1371" s="9">
        <v>0</v>
      </c>
      <c r="U1371" s="9">
        <v>0</v>
      </c>
      <c r="V1371" s="9">
        <v>0</v>
      </c>
      <c r="W1371" s="9">
        <v>0</v>
      </c>
      <c r="X1371" s="9">
        <v>0</v>
      </c>
      <c r="Y1371" s="9">
        <v>0</v>
      </c>
      <c r="Z1371" s="9">
        <v>0</v>
      </c>
      <c r="AA1371" s="9">
        <v>0</v>
      </c>
      <c r="AB1371" s="9">
        <v>40</v>
      </c>
      <c r="AC1371" s="9">
        <v>0</v>
      </c>
      <c r="AD1371" s="53" t="e">
        <f>#REF!*D1371</f>
        <v>#REF!</v>
      </c>
      <c r="AE1371" s="53" t="e">
        <f>AD1371-#REF!</f>
        <v>#REF!</v>
      </c>
      <c r="AF1371" s="9"/>
      <c r="AG1371" s="33" t="e">
        <f>#REF!-D1371</f>
        <v>#REF!</v>
      </c>
    </row>
    <row r="1372" spans="1:37" s="16" customFormat="1" ht="81.75" customHeight="1" outlineLevel="1" x14ac:dyDescent="0.2">
      <c r="A1372" s="62" t="s">
        <v>3536</v>
      </c>
      <c r="B1372" s="47" t="s">
        <v>3535</v>
      </c>
      <c r="C1372" s="9" t="s">
        <v>20</v>
      </c>
      <c r="D1372" s="25">
        <f t="shared" si="337"/>
        <v>1</v>
      </c>
      <c r="E1372" s="54"/>
      <c r="F1372" s="9"/>
      <c r="G1372" s="9">
        <v>0</v>
      </c>
      <c r="H1372" s="9">
        <v>0</v>
      </c>
      <c r="I1372" s="9">
        <v>0</v>
      </c>
      <c r="J1372" s="9">
        <v>0</v>
      </c>
      <c r="K1372" s="9">
        <v>0</v>
      </c>
      <c r="L1372" s="9">
        <v>0</v>
      </c>
      <c r="M1372" s="9">
        <v>0</v>
      </c>
      <c r="N1372" s="9">
        <v>0</v>
      </c>
      <c r="O1372" s="9">
        <v>0</v>
      </c>
      <c r="P1372" s="9">
        <v>0</v>
      </c>
      <c r="Q1372" s="9">
        <v>0</v>
      </c>
      <c r="R1372" s="9">
        <v>1</v>
      </c>
      <c r="S1372" s="9">
        <v>0</v>
      </c>
      <c r="T1372" s="9">
        <v>0</v>
      </c>
      <c r="U1372" s="9">
        <v>0</v>
      </c>
      <c r="V1372" s="9">
        <v>0</v>
      </c>
      <c r="W1372" s="9">
        <v>0</v>
      </c>
      <c r="X1372" s="9">
        <v>0</v>
      </c>
      <c r="Y1372" s="9">
        <v>0</v>
      </c>
      <c r="Z1372" s="9">
        <v>0</v>
      </c>
      <c r="AA1372" s="9">
        <v>0</v>
      </c>
      <c r="AB1372" s="9">
        <v>0</v>
      </c>
      <c r="AC1372" s="9">
        <v>0</v>
      </c>
      <c r="AD1372" s="53" t="e">
        <f>#REF!*D1372</f>
        <v>#REF!</v>
      </c>
      <c r="AE1372" s="53" t="e">
        <f>AD1372-#REF!</f>
        <v>#REF!</v>
      </c>
      <c r="AF1372" s="9"/>
      <c r="AG1372" s="33" t="e">
        <f>#REF!-D1372</f>
        <v>#REF!</v>
      </c>
    </row>
    <row r="1373" spans="1:37" s="16" customFormat="1" ht="82.5" customHeight="1" outlineLevel="1" x14ac:dyDescent="0.2">
      <c r="A1373" s="62" t="s">
        <v>3537</v>
      </c>
      <c r="B1373" s="47" t="s">
        <v>3545</v>
      </c>
      <c r="C1373" s="9" t="s">
        <v>20</v>
      </c>
      <c r="D1373" s="25">
        <f t="shared" si="337"/>
        <v>1</v>
      </c>
      <c r="E1373" s="54"/>
      <c r="F1373" s="9"/>
      <c r="G1373" s="9">
        <v>0</v>
      </c>
      <c r="H1373" s="9">
        <v>0</v>
      </c>
      <c r="I1373" s="9">
        <v>0</v>
      </c>
      <c r="J1373" s="9">
        <v>0</v>
      </c>
      <c r="K1373" s="9">
        <v>0</v>
      </c>
      <c r="L1373" s="9">
        <v>0</v>
      </c>
      <c r="M1373" s="9">
        <v>0</v>
      </c>
      <c r="N1373" s="9">
        <v>0</v>
      </c>
      <c r="O1373" s="9">
        <v>0</v>
      </c>
      <c r="P1373" s="9">
        <v>0</v>
      </c>
      <c r="Q1373" s="9">
        <v>0</v>
      </c>
      <c r="R1373" s="9">
        <v>0</v>
      </c>
      <c r="S1373" s="9">
        <v>0</v>
      </c>
      <c r="T1373" s="9">
        <v>0</v>
      </c>
      <c r="U1373" s="9">
        <v>0</v>
      </c>
      <c r="V1373" s="9">
        <v>0</v>
      </c>
      <c r="W1373" s="9">
        <v>0</v>
      </c>
      <c r="X1373" s="9">
        <v>0</v>
      </c>
      <c r="Y1373" s="9">
        <v>0</v>
      </c>
      <c r="Z1373" s="9">
        <v>0</v>
      </c>
      <c r="AA1373" s="9">
        <v>0</v>
      </c>
      <c r="AB1373" s="9">
        <v>1</v>
      </c>
      <c r="AC1373" s="9">
        <v>0</v>
      </c>
      <c r="AD1373" s="53" t="e">
        <f>#REF!*D1373</f>
        <v>#REF!</v>
      </c>
      <c r="AE1373" s="53" t="e">
        <f>AD1373-#REF!</f>
        <v>#REF!</v>
      </c>
      <c r="AF1373" s="9"/>
      <c r="AG1373" s="33" t="e">
        <f>#REF!-D1373</f>
        <v>#REF!</v>
      </c>
    </row>
    <row r="1374" spans="1:37" s="16" customFormat="1" ht="11.4" outlineLevel="1" x14ac:dyDescent="0.2">
      <c r="A1374" s="62"/>
      <c r="B1374" s="14"/>
      <c r="C1374" s="9"/>
      <c r="D1374" s="25"/>
      <c r="E1374" s="54"/>
      <c r="F1374" s="9"/>
      <c r="G1374" s="9"/>
      <c r="H1374" s="9"/>
      <c r="I1374" s="9"/>
      <c r="J1374" s="9"/>
      <c r="K1374" s="9"/>
      <c r="L1374" s="9"/>
      <c r="M1374" s="9"/>
      <c r="N1374" s="9"/>
      <c r="O1374" s="9"/>
      <c r="P1374" s="9"/>
      <c r="Q1374" s="9"/>
      <c r="R1374" s="9"/>
      <c r="S1374" s="9"/>
      <c r="T1374" s="9"/>
      <c r="U1374" s="9"/>
      <c r="V1374" s="9"/>
      <c r="W1374" s="9"/>
      <c r="X1374" s="9"/>
      <c r="Y1374" s="9"/>
      <c r="Z1374" s="9"/>
      <c r="AA1374" s="9"/>
      <c r="AB1374" s="9"/>
      <c r="AC1374" s="9"/>
      <c r="AD1374" s="53"/>
      <c r="AE1374" s="53" t="e">
        <f>AD1374-#REF!</f>
        <v>#REF!</v>
      </c>
      <c r="AF1374" s="9"/>
      <c r="AG1374" s="33" t="e">
        <f>#REF!-D1374</f>
        <v>#REF!</v>
      </c>
    </row>
    <row r="1375" spans="1:37" x14ac:dyDescent="0.25">
      <c r="A1375" s="18" t="s">
        <v>2402</v>
      </c>
      <c r="B1375" s="227" t="s">
        <v>3210</v>
      </c>
      <c r="C1375" s="18" t="s">
        <v>41</v>
      </c>
      <c r="D1375" s="52" t="e">
        <f>#REF!/#REF!*100</f>
        <v>#REF!</v>
      </c>
      <c r="G1375" s="9"/>
      <c r="H1375" s="76"/>
      <c r="I1375" s="76"/>
      <c r="J1375" s="76"/>
      <c r="K1375" s="76"/>
      <c r="L1375" s="76"/>
      <c r="M1375" s="76"/>
      <c r="N1375" s="76"/>
      <c r="O1375" s="76"/>
      <c r="P1375" s="76"/>
      <c r="Q1375" s="76"/>
      <c r="R1375" s="76"/>
      <c r="S1375" s="76"/>
      <c r="T1375" s="76"/>
      <c r="U1375" s="76"/>
      <c r="V1375" s="76"/>
      <c r="W1375" s="76"/>
      <c r="X1375" s="76"/>
      <c r="Y1375" s="76"/>
      <c r="Z1375" s="76"/>
      <c r="AA1375" s="76"/>
      <c r="AB1375" s="214" t="s">
        <v>375</v>
      </c>
      <c r="AC1375" s="76"/>
      <c r="AD1375" s="53"/>
      <c r="AE1375" s="53" t="e">
        <f>AD1375-#REF!</f>
        <v>#REF!</v>
      </c>
      <c r="AG1375" s="33" t="e">
        <f>#REF!-D1375</f>
        <v>#REF!</v>
      </c>
      <c r="AH1375" s="2"/>
      <c r="AI1375" s="2"/>
      <c r="AJ1375" s="2"/>
      <c r="AK1375" s="2"/>
    </row>
    <row r="1376" spans="1:37" s="16" customFormat="1" ht="20.399999999999999" outlineLevel="1" x14ac:dyDescent="0.2">
      <c r="A1376" s="62" t="s">
        <v>2403</v>
      </c>
      <c r="B1376" s="80" t="s">
        <v>3211</v>
      </c>
      <c r="C1376" s="9" t="s">
        <v>48</v>
      </c>
      <c r="D1376" s="25">
        <f t="shared" ref="D1376:D1387" si="338">SUM(G1376:AC1376)</f>
        <v>70</v>
      </c>
      <c r="E1376" s="54"/>
      <c r="F1376" s="9"/>
      <c r="G1376" s="9">
        <v>0</v>
      </c>
      <c r="H1376" s="9">
        <v>0</v>
      </c>
      <c r="I1376" s="9">
        <v>0</v>
      </c>
      <c r="J1376" s="9">
        <v>0</v>
      </c>
      <c r="K1376" s="9">
        <v>0</v>
      </c>
      <c r="L1376" s="9">
        <v>0</v>
      </c>
      <c r="M1376" s="9">
        <v>0</v>
      </c>
      <c r="N1376" s="9">
        <v>0</v>
      </c>
      <c r="O1376" s="9">
        <v>0</v>
      </c>
      <c r="P1376" s="9">
        <v>0</v>
      </c>
      <c r="Q1376" s="9">
        <v>0</v>
      </c>
      <c r="R1376" s="9">
        <v>0</v>
      </c>
      <c r="S1376" s="9">
        <v>0</v>
      </c>
      <c r="T1376" s="9">
        <v>0</v>
      </c>
      <c r="U1376" s="9">
        <v>0</v>
      </c>
      <c r="V1376" s="9">
        <v>0</v>
      </c>
      <c r="W1376" s="9">
        <v>0</v>
      </c>
      <c r="X1376" s="9">
        <v>0</v>
      </c>
      <c r="Y1376" s="9">
        <v>0</v>
      </c>
      <c r="Z1376" s="9">
        <v>0</v>
      </c>
      <c r="AA1376" s="9">
        <v>0</v>
      </c>
      <c r="AB1376" s="9">
        <v>70</v>
      </c>
      <c r="AC1376" s="9">
        <v>0</v>
      </c>
      <c r="AD1376" s="53" t="e">
        <f>#REF!*D1376</f>
        <v>#REF!</v>
      </c>
      <c r="AE1376" s="53" t="e">
        <f>AD1376-#REF!</f>
        <v>#REF!</v>
      </c>
      <c r="AF1376" s="9"/>
      <c r="AG1376" s="33" t="e">
        <f>#REF!-D1376</f>
        <v>#REF!</v>
      </c>
    </row>
    <row r="1377" spans="1:37" s="16" customFormat="1" ht="20.399999999999999" outlineLevel="1" x14ac:dyDescent="0.2">
      <c r="A1377" s="62" t="s">
        <v>2404</v>
      </c>
      <c r="B1377" s="80" t="s">
        <v>3212</v>
      </c>
      <c r="C1377" s="9" t="s">
        <v>48</v>
      </c>
      <c r="D1377" s="25">
        <f t="shared" si="338"/>
        <v>15</v>
      </c>
      <c r="E1377" s="54"/>
      <c r="F1377" s="9"/>
      <c r="G1377" s="9">
        <v>0</v>
      </c>
      <c r="H1377" s="9">
        <v>0</v>
      </c>
      <c r="I1377" s="9">
        <v>0</v>
      </c>
      <c r="J1377" s="9">
        <v>0</v>
      </c>
      <c r="K1377" s="9">
        <v>0</v>
      </c>
      <c r="L1377" s="9">
        <v>0</v>
      </c>
      <c r="M1377" s="9">
        <v>0</v>
      </c>
      <c r="N1377" s="9">
        <v>0</v>
      </c>
      <c r="O1377" s="9">
        <v>0</v>
      </c>
      <c r="P1377" s="9">
        <v>0</v>
      </c>
      <c r="Q1377" s="9">
        <v>0</v>
      </c>
      <c r="R1377" s="9">
        <v>0</v>
      </c>
      <c r="S1377" s="9">
        <v>0</v>
      </c>
      <c r="T1377" s="9">
        <v>0</v>
      </c>
      <c r="U1377" s="9">
        <v>0</v>
      </c>
      <c r="V1377" s="9">
        <v>0</v>
      </c>
      <c r="W1377" s="9">
        <v>0</v>
      </c>
      <c r="X1377" s="9">
        <v>0</v>
      </c>
      <c r="Y1377" s="9">
        <v>0</v>
      </c>
      <c r="Z1377" s="9">
        <v>0</v>
      </c>
      <c r="AA1377" s="9">
        <v>0</v>
      </c>
      <c r="AB1377" s="9">
        <v>15</v>
      </c>
      <c r="AC1377" s="9">
        <v>0</v>
      </c>
      <c r="AD1377" s="53" t="e">
        <f>#REF!*D1377</f>
        <v>#REF!</v>
      </c>
      <c r="AE1377" s="53" t="e">
        <f>AD1377-#REF!</f>
        <v>#REF!</v>
      </c>
      <c r="AF1377" s="9"/>
      <c r="AG1377" s="33" t="e">
        <f>#REF!-D1377</f>
        <v>#REF!</v>
      </c>
    </row>
    <row r="1378" spans="1:37" s="16" customFormat="1" ht="11.4" outlineLevel="1" x14ac:dyDescent="0.2">
      <c r="A1378" s="62" t="s">
        <v>2405</v>
      </c>
      <c r="B1378" s="11" t="s">
        <v>3213</v>
      </c>
      <c r="C1378" s="9" t="s">
        <v>47</v>
      </c>
      <c r="D1378" s="25">
        <f t="shared" si="338"/>
        <v>14</v>
      </c>
      <c r="E1378" s="54"/>
      <c r="F1378" s="9"/>
      <c r="G1378" s="9">
        <v>0</v>
      </c>
      <c r="H1378" s="9">
        <v>0</v>
      </c>
      <c r="I1378" s="9">
        <v>0</v>
      </c>
      <c r="J1378" s="9">
        <v>0</v>
      </c>
      <c r="K1378" s="9">
        <v>0</v>
      </c>
      <c r="L1378" s="9">
        <v>0</v>
      </c>
      <c r="M1378" s="9">
        <v>0</v>
      </c>
      <c r="N1378" s="9">
        <v>0</v>
      </c>
      <c r="O1378" s="9">
        <v>0</v>
      </c>
      <c r="P1378" s="9">
        <v>0</v>
      </c>
      <c r="Q1378" s="9">
        <v>0</v>
      </c>
      <c r="R1378" s="9">
        <v>0</v>
      </c>
      <c r="S1378" s="9">
        <v>0</v>
      </c>
      <c r="T1378" s="9">
        <v>0</v>
      </c>
      <c r="U1378" s="9">
        <v>0</v>
      </c>
      <c r="V1378" s="9">
        <v>0</v>
      </c>
      <c r="W1378" s="9">
        <v>0</v>
      </c>
      <c r="X1378" s="9">
        <v>0</v>
      </c>
      <c r="Y1378" s="9">
        <v>0</v>
      </c>
      <c r="Z1378" s="9">
        <v>0</v>
      </c>
      <c r="AA1378" s="9">
        <v>0</v>
      </c>
      <c r="AB1378" s="49">
        <f>AB1376/5</f>
        <v>14</v>
      </c>
      <c r="AC1378" s="9">
        <v>0</v>
      </c>
      <c r="AD1378" s="53" t="e">
        <f>#REF!*D1378</f>
        <v>#REF!</v>
      </c>
      <c r="AE1378" s="53" t="e">
        <f>AD1378-#REF!</f>
        <v>#REF!</v>
      </c>
      <c r="AF1378" s="9"/>
      <c r="AG1378" s="33" t="e">
        <f>#REF!-D1378</f>
        <v>#REF!</v>
      </c>
    </row>
    <row r="1379" spans="1:37" s="16" customFormat="1" ht="11.4" outlineLevel="1" x14ac:dyDescent="0.2">
      <c r="A1379" s="62" t="s">
        <v>2406</v>
      </c>
      <c r="B1379" s="11" t="s">
        <v>3214</v>
      </c>
      <c r="C1379" s="9" t="s">
        <v>47</v>
      </c>
      <c r="D1379" s="25">
        <f t="shared" si="338"/>
        <v>3</v>
      </c>
      <c r="E1379" s="54"/>
      <c r="F1379" s="9"/>
      <c r="G1379" s="9">
        <v>0</v>
      </c>
      <c r="H1379" s="9">
        <v>0</v>
      </c>
      <c r="I1379" s="9">
        <v>0</v>
      </c>
      <c r="J1379" s="9">
        <v>0</v>
      </c>
      <c r="K1379" s="9">
        <v>0</v>
      </c>
      <c r="L1379" s="9">
        <v>0</v>
      </c>
      <c r="M1379" s="9">
        <v>0</v>
      </c>
      <c r="N1379" s="9">
        <v>0</v>
      </c>
      <c r="O1379" s="9">
        <v>0</v>
      </c>
      <c r="P1379" s="9">
        <v>0</v>
      </c>
      <c r="Q1379" s="9">
        <v>0</v>
      </c>
      <c r="R1379" s="9">
        <v>0</v>
      </c>
      <c r="S1379" s="9">
        <v>0</v>
      </c>
      <c r="T1379" s="9">
        <v>0</v>
      </c>
      <c r="U1379" s="9">
        <v>0</v>
      </c>
      <c r="V1379" s="9">
        <v>0</v>
      </c>
      <c r="W1379" s="9">
        <v>0</v>
      </c>
      <c r="X1379" s="9">
        <v>0</v>
      </c>
      <c r="Y1379" s="9">
        <v>0</v>
      </c>
      <c r="Z1379" s="9">
        <v>0</v>
      </c>
      <c r="AA1379" s="9">
        <v>0</v>
      </c>
      <c r="AB1379" s="49">
        <f>AB1377/5</f>
        <v>3</v>
      </c>
      <c r="AC1379" s="9">
        <v>0</v>
      </c>
      <c r="AD1379" s="53" t="e">
        <f>#REF!*D1379</f>
        <v>#REF!</v>
      </c>
      <c r="AE1379" s="53" t="e">
        <f>AD1379-#REF!</f>
        <v>#REF!</v>
      </c>
      <c r="AF1379" s="9"/>
      <c r="AG1379" s="33" t="e">
        <f>#REF!-D1379</f>
        <v>#REF!</v>
      </c>
    </row>
    <row r="1380" spans="1:37" s="16" customFormat="1" ht="11.4" outlineLevel="1" x14ac:dyDescent="0.2">
      <c r="A1380" s="62" t="s">
        <v>2407</v>
      </c>
      <c r="B1380" s="11" t="s">
        <v>3215</v>
      </c>
      <c r="C1380" s="9" t="s">
        <v>47</v>
      </c>
      <c r="D1380" s="25">
        <f t="shared" si="338"/>
        <v>22</v>
      </c>
      <c r="E1380" s="54"/>
      <c r="F1380" s="9"/>
      <c r="G1380" s="9">
        <v>0</v>
      </c>
      <c r="H1380" s="9">
        <v>0</v>
      </c>
      <c r="I1380" s="9">
        <v>0</v>
      </c>
      <c r="J1380" s="9">
        <v>0</v>
      </c>
      <c r="K1380" s="9">
        <v>0</v>
      </c>
      <c r="L1380" s="9">
        <v>0</v>
      </c>
      <c r="M1380" s="9">
        <v>0</v>
      </c>
      <c r="N1380" s="9">
        <v>0</v>
      </c>
      <c r="O1380" s="9">
        <v>0</v>
      </c>
      <c r="P1380" s="9">
        <v>0</v>
      </c>
      <c r="Q1380" s="9">
        <v>0</v>
      </c>
      <c r="R1380" s="9">
        <v>0</v>
      </c>
      <c r="S1380" s="9">
        <v>0</v>
      </c>
      <c r="T1380" s="9">
        <v>0</v>
      </c>
      <c r="U1380" s="9">
        <v>0</v>
      </c>
      <c r="V1380" s="9">
        <v>0</v>
      </c>
      <c r="W1380" s="9">
        <v>0</v>
      </c>
      <c r="X1380" s="9">
        <v>0</v>
      </c>
      <c r="Y1380" s="9">
        <v>0</v>
      </c>
      <c r="Z1380" s="9">
        <v>0</v>
      </c>
      <c r="AA1380" s="9">
        <v>0</v>
      </c>
      <c r="AB1380" s="9">
        <v>22</v>
      </c>
      <c r="AC1380" s="9">
        <v>0</v>
      </c>
      <c r="AD1380" s="53" t="e">
        <f>#REF!*D1380</f>
        <v>#REF!</v>
      </c>
      <c r="AE1380" s="53" t="e">
        <f>AD1380-#REF!</f>
        <v>#REF!</v>
      </c>
      <c r="AF1380" s="9"/>
      <c r="AG1380" s="33" t="e">
        <f>#REF!-D1380</f>
        <v>#REF!</v>
      </c>
    </row>
    <row r="1381" spans="1:37" s="16" customFormat="1" ht="11.4" outlineLevel="1" x14ac:dyDescent="0.2">
      <c r="A1381" s="62" t="s">
        <v>2408</v>
      </c>
      <c r="B1381" s="11" t="s">
        <v>3216</v>
      </c>
      <c r="C1381" s="9" t="s">
        <v>47</v>
      </c>
      <c r="D1381" s="25">
        <f t="shared" si="338"/>
        <v>4</v>
      </c>
      <c r="E1381" s="54"/>
      <c r="F1381" s="9"/>
      <c r="G1381" s="9">
        <v>0</v>
      </c>
      <c r="H1381" s="9">
        <v>0</v>
      </c>
      <c r="I1381" s="9">
        <v>0</v>
      </c>
      <c r="J1381" s="9">
        <v>0</v>
      </c>
      <c r="K1381" s="9">
        <v>0</v>
      </c>
      <c r="L1381" s="9">
        <v>0</v>
      </c>
      <c r="M1381" s="9">
        <v>0</v>
      </c>
      <c r="N1381" s="9">
        <v>0</v>
      </c>
      <c r="O1381" s="9">
        <v>0</v>
      </c>
      <c r="P1381" s="9">
        <v>0</v>
      </c>
      <c r="Q1381" s="9">
        <v>0</v>
      </c>
      <c r="R1381" s="9">
        <v>0</v>
      </c>
      <c r="S1381" s="9">
        <v>0</v>
      </c>
      <c r="T1381" s="9">
        <v>0</v>
      </c>
      <c r="U1381" s="9">
        <v>0</v>
      </c>
      <c r="V1381" s="9">
        <v>0</v>
      </c>
      <c r="W1381" s="9">
        <v>0</v>
      </c>
      <c r="X1381" s="9">
        <v>0</v>
      </c>
      <c r="Y1381" s="9">
        <v>0</v>
      </c>
      <c r="Z1381" s="9">
        <v>0</v>
      </c>
      <c r="AA1381" s="9">
        <v>0</v>
      </c>
      <c r="AB1381" s="9">
        <v>4</v>
      </c>
      <c r="AC1381" s="9">
        <v>0</v>
      </c>
      <c r="AD1381" s="53" t="e">
        <f>#REF!*D1381</f>
        <v>#REF!</v>
      </c>
      <c r="AE1381" s="53" t="e">
        <f>AD1381-#REF!</f>
        <v>#REF!</v>
      </c>
      <c r="AF1381" s="9"/>
      <c r="AG1381" s="33" t="e">
        <f>#REF!-D1381</f>
        <v>#REF!</v>
      </c>
    </row>
    <row r="1382" spans="1:37" s="16" customFormat="1" ht="11.4" outlineLevel="1" x14ac:dyDescent="0.2">
      <c r="A1382" s="62" t="s">
        <v>2409</v>
      </c>
      <c r="B1382" s="11" t="s">
        <v>3217</v>
      </c>
      <c r="C1382" s="9" t="s">
        <v>47</v>
      </c>
      <c r="D1382" s="25">
        <f t="shared" si="338"/>
        <v>9</v>
      </c>
      <c r="E1382" s="54"/>
      <c r="F1382" s="9"/>
      <c r="G1382" s="9">
        <v>0</v>
      </c>
      <c r="H1382" s="9">
        <v>0</v>
      </c>
      <c r="I1382" s="9">
        <v>0</v>
      </c>
      <c r="J1382" s="9">
        <v>0</v>
      </c>
      <c r="K1382" s="9">
        <v>0</v>
      </c>
      <c r="L1382" s="9">
        <v>0</v>
      </c>
      <c r="M1382" s="9">
        <v>0</v>
      </c>
      <c r="N1382" s="9">
        <v>0</v>
      </c>
      <c r="O1382" s="9">
        <v>0</v>
      </c>
      <c r="P1382" s="9">
        <v>0</v>
      </c>
      <c r="Q1382" s="9">
        <v>0</v>
      </c>
      <c r="R1382" s="9">
        <v>0</v>
      </c>
      <c r="S1382" s="9">
        <v>0</v>
      </c>
      <c r="T1382" s="9">
        <v>0</v>
      </c>
      <c r="U1382" s="9">
        <v>0</v>
      </c>
      <c r="V1382" s="9">
        <v>0</v>
      </c>
      <c r="W1382" s="9">
        <v>0</v>
      </c>
      <c r="X1382" s="9">
        <v>0</v>
      </c>
      <c r="Y1382" s="9">
        <v>0</v>
      </c>
      <c r="Z1382" s="9">
        <v>0</v>
      </c>
      <c r="AA1382" s="9">
        <v>0</v>
      </c>
      <c r="AB1382" s="9">
        <v>9</v>
      </c>
      <c r="AC1382" s="9">
        <v>0</v>
      </c>
      <c r="AD1382" s="53" t="e">
        <f>#REF!*D1382</f>
        <v>#REF!</v>
      </c>
      <c r="AE1382" s="53" t="e">
        <f>AD1382-#REF!</f>
        <v>#REF!</v>
      </c>
      <c r="AF1382" s="9"/>
      <c r="AG1382" s="33" t="e">
        <f>#REF!-D1382</f>
        <v>#REF!</v>
      </c>
    </row>
    <row r="1383" spans="1:37" s="16" customFormat="1" ht="11.4" outlineLevel="1" x14ac:dyDescent="0.2">
      <c r="A1383" s="62" t="s">
        <v>2410</v>
      </c>
      <c r="B1383" s="11" t="s">
        <v>3218</v>
      </c>
      <c r="C1383" s="9" t="s">
        <v>47</v>
      </c>
      <c r="D1383" s="25">
        <f t="shared" si="338"/>
        <v>24</v>
      </c>
      <c r="E1383" s="54"/>
      <c r="F1383" s="9"/>
      <c r="G1383" s="9">
        <v>0</v>
      </c>
      <c r="H1383" s="9">
        <v>0</v>
      </c>
      <c r="I1383" s="9">
        <v>0</v>
      </c>
      <c r="J1383" s="9">
        <v>0</v>
      </c>
      <c r="K1383" s="9">
        <v>0</v>
      </c>
      <c r="L1383" s="9">
        <v>0</v>
      </c>
      <c r="M1383" s="9">
        <v>0</v>
      </c>
      <c r="N1383" s="9">
        <v>0</v>
      </c>
      <c r="O1383" s="9">
        <v>0</v>
      </c>
      <c r="P1383" s="9">
        <v>0</v>
      </c>
      <c r="Q1383" s="9">
        <v>0</v>
      </c>
      <c r="R1383" s="9">
        <v>0</v>
      </c>
      <c r="S1383" s="9">
        <v>0</v>
      </c>
      <c r="T1383" s="9">
        <v>0</v>
      </c>
      <c r="U1383" s="9">
        <v>0</v>
      </c>
      <c r="V1383" s="9">
        <v>0</v>
      </c>
      <c r="W1383" s="9">
        <v>0</v>
      </c>
      <c r="X1383" s="9">
        <v>0</v>
      </c>
      <c r="Y1383" s="9">
        <v>0</v>
      </c>
      <c r="Z1383" s="9">
        <v>0</v>
      </c>
      <c r="AA1383" s="9">
        <v>0</v>
      </c>
      <c r="AB1383" s="9">
        <v>24</v>
      </c>
      <c r="AC1383" s="9">
        <v>0</v>
      </c>
      <c r="AD1383" s="53" t="e">
        <f>#REF!*D1383</f>
        <v>#REF!</v>
      </c>
      <c r="AE1383" s="53" t="e">
        <f>AD1383-#REF!</f>
        <v>#REF!</v>
      </c>
      <c r="AF1383" s="9"/>
      <c r="AG1383" s="33" t="e">
        <f>#REF!-D1383</f>
        <v>#REF!</v>
      </c>
    </row>
    <row r="1384" spans="1:37" s="16" customFormat="1" ht="11.4" outlineLevel="1" x14ac:dyDescent="0.2">
      <c r="A1384" s="62" t="s">
        <v>2411</v>
      </c>
      <c r="B1384" s="11" t="s">
        <v>3219</v>
      </c>
      <c r="C1384" s="9" t="s">
        <v>47</v>
      </c>
      <c r="D1384" s="25">
        <f t="shared" si="338"/>
        <v>8</v>
      </c>
      <c r="E1384" s="54"/>
      <c r="F1384" s="9"/>
      <c r="G1384" s="9">
        <v>0</v>
      </c>
      <c r="H1384" s="9">
        <v>0</v>
      </c>
      <c r="I1384" s="9">
        <v>0</v>
      </c>
      <c r="J1384" s="9">
        <v>0</v>
      </c>
      <c r="K1384" s="9">
        <v>0</v>
      </c>
      <c r="L1384" s="9">
        <v>0</v>
      </c>
      <c r="M1384" s="9">
        <v>0</v>
      </c>
      <c r="N1384" s="9">
        <v>0</v>
      </c>
      <c r="O1384" s="9">
        <v>0</v>
      </c>
      <c r="P1384" s="9">
        <v>0</v>
      </c>
      <c r="Q1384" s="9">
        <v>0</v>
      </c>
      <c r="R1384" s="9">
        <v>0</v>
      </c>
      <c r="S1384" s="9">
        <v>0</v>
      </c>
      <c r="T1384" s="9">
        <v>0</v>
      </c>
      <c r="U1384" s="9">
        <v>0</v>
      </c>
      <c r="V1384" s="9">
        <v>0</v>
      </c>
      <c r="W1384" s="9">
        <v>0</v>
      </c>
      <c r="X1384" s="9">
        <v>0</v>
      </c>
      <c r="Y1384" s="9">
        <v>0</v>
      </c>
      <c r="Z1384" s="9">
        <v>0</v>
      </c>
      <c r="AA1384" s="9">
        <v>0</v>
      </c>
      <c r="AB1384" s="9">
        <v>8</v>
      </c>
      <c r="AC1384" s="9">
        <v>0</v>
      </c>
      <c r="AD1384" s="53" t="e">
        <f>#REF!*D1384</f>
        <v>#REF!</v>
      </c>
      <c r="AE1384" s="53" t="e">
        <f>AD1384-#REF!</f>
        <v>#REF!</v>
      </c>
      <c r="AF1384" s="9"/>
      <c r="AG1384" s="33" t="e">
        <f>#REF!-D1384</f>
        <v>#REF!</v>
      </c>
    </row>
    <row r="1385" spans="1:37" s="16" customFormat="1" ht="11.4" outlineLevel="1" x14ac:dyDescent="0.2">
      <c r="A1385" s="62" t="s">
        <v>2412</v>
      </c>
      <c r="B1385" s="11" t="s">
        <v>3221</v>
      </c>
      <c r="C1385" s="9" t="s">
        <v>47</v>
      </c>
      <c r="D1385" s="25">
        <f t="shared" si="338"/>
        <v>12</v>
      </c>
      <c r="E1385" s="54"/>
      <c r="F1385" s="9"/>
      <c r="G1385" s="9">
        <v>0</v>
      </c>
      <c r="H1385" s="9">
        <v>0</v>
      </c>
      <c r="I1385" s="9">
        <v>0</v>
      </c>
      <c r="J1385" s="9">
        <v>0</v>
      </c>
      <c r="K1385" s="9">
        <v>0</v>
      </c>
      <c r="L1385" s="9">
        <v>0</v>
      </c>
      <c r="M1385" s="9">
        <v>0</v>
      </c>
      <c r="N1385" s="9">
        <v>0</v>
      </c>
      <c r="O1385" s="9">
        <v>0</v>
      </c>
      <c r="P1385" s="9">
        <v>0</v>
      </c>
      <c r="Q1385" s="9">
        <v>0</v>
      </c>
      <c r="R1385" s="9">
        <v>0</v>
      </c>
      <c r="S1385" s="9">
        <v>0</v>
      </c>
      <c r="T1385" s="9">
        <v>0</v>
      </c>
      <c r="U1385" s="9">
        <v>0</v>
      </c>
      <c r="V1385" s="9">
        <v>0</v>
      </c>
      <c r="W1385" s="9">
        <v>0</v>
      </c>
      <c r="X1385" s="9">
        <v>0</v>
      </c>
      <c r="Y1385" s="9">
        <v>0</v>
      </c>
      <c r="Z1385" s="9">
        <v>0</v>
      </c>
      <c r="AA1385" s="9">
        <v>0</v>
      </c>
      <c r="AB1385" s="9">
        <v>12</v>
      </c>
      <c r="AC1385" s="9">
        <v>0</v>
      </c>
      <c r="AD1385" s="53" t="e">
        <f>#REF!*D1385</f>
        <v>#REF!</v>
      </c>
      <c r="AE1385" s="53" t="e">
        <f>AD1385-#REF!</f>
        <v>#REF!</v>
      </c>
      <c r="AF1385" s="9"/>
      <c r="AG1385" s="33" t="e">
        <f>#REF!-D1385</f>
        <v>#REF!</v>
      </c>
    </row>
    <row r="1386" spans="1:37" s="16" customFormat="1" ht="11.4" outlineLevel="1" x14ac:dyDescent="0.2">
      <c r="A1386" s="62" t="s">
        <v>2413</v>
      </c>
      <c r="B1386" s="11" t="s">
        <v>3220</v>
      </c>
      <c r="C1386" s="9" t="s">
        <v>47</v>
      </c>
      <c r="D1386" s="25">
        <f t="shared" si="338"/>
        <v>4</v>
      </c>
      <c r="E1386" s="54"/>
      <c r="F1386" s="9"/>
      <c r="G1386" s="9">
        <v>0</v>
      </c>
      <c r="H1386" s="9">
        <v>0</v>
      </c>
      <c r="I1386" s="9">
        <v>0</v>
      </c>
      <c r="J1386" s="9">
        <v>0</v>
      </c>
      <c r="K1386" s="9">
        <v>0</v>
      </c>
      <c r="L1386" s="9">
        <v>0</v>
      </c>
      <c r="M1386" s="9">
        <v>0</v>
      </c>
      <c r="N1386" s="9">
        <v>0</v>
      </c>
      <c r="O1386" s="9">
        <v>0</v>
      </c>
      <c r="P1386" s="9">
        <v>0</v>
      </c>
      <c r="Q1386" s="9">
        <v>0</v>
      </c>
      <c r="R1386" s="9">
        <v>0</v>
      </c>
      <c r="S1386" s="9">
        <v>0</v>
      </c>
      <c r="T1386" s="9">
        <v>0</v>
      </c>
      <c r="U1386" s="9">
        <v>0</v>
      </c>
      <c r="V1386" s="9">
        <v>0</v>
      </c>
      <c r="W1386" s="9">
        <v>0</v>
      </c>
      <c r="X1386" s="9">
        <v>0</v>
      </c>
      <c r="Y1386" s="9">
        <v>0</v>
      </c>
      <c r="Z1386" s="9">
        <v>0</v>
      </c>
      <c r="AA1386" s="9">
        <v>0</v>
      </c>
      <c r="AB1386" s="9">
        <v>4</v>
      </c>
      <c r="AC1386" s="9">
        <v>0</v>
      </c>
      <c r="AD1386" s="53" t="e">
        <f>#REF!*D1386</f>
        <v>#REF!</v>
      </c>
      <c r="AE1386" s="53" t="e">
        <f>AD1386-#REF!</f>
        <v>#REF!</v>
      </c>
      <c r="AF1386" s="9"/>
      <c r="AG1386" s="33" t="e">
        <f>#REF!-D1386</f>
        <v>#REF!</v>
      </c>
    </row>
    <row r="1387" spans="1:37" s="16" customFormat="1" ht="11.4" outlineLevel="1" x14ac:dyDescent="0.2">
      <c r="A1387" s="62" t="s">
        <v>2414</v>
      </c>
      <c r="B1387" s="11" t="s">
        <v>3260</v>
      </c>
      <c r="C1387" s="9" t="s">
        <v>48</v>
      </c>
      <c r="D1387" s="25">
        <f t="shared" si="338"/>
        <v>85</v>
      </c>
      <c r="E1387" s="54"/>
      <c r="F1387" s="9"/>
      <c r="G1387" s="9">
        <v>0</v>
      </c>
      <c r="H1387" s="9">
        <v>0</v>
      </c>
      <c r="I1387" s="9">
        <v>0</v>
      </c>
      <c r="J1387" s="9">
        <v>0</v>
      </c>
      <c r="K1387" s="9">
        <v>0</v>
      </c>
      <c r="L1387" s="9">
        <v>0</v>
      </c>
      <c r="M1387" s="9">
        <v>0</v>
      </c>
      <c r="N1387" s="9">
        <v>0</v>
      </c>
      <c r="O1387" s="9">
        <v>0</v>
      </c>
      <c r="P1387" s="9">
        <v>0</v>
      </c>
      <c r="Q1387" s="9">
        <v>0</v>
      </c>
      <c r="R1387" s="9">
        <v>0</v>
      </c>
      <c r="S1387" s="9">
        <v>0</v>
      </c>
      <c r="T1387" s="9">
        <v>0</v>
      </c>
      <c r="U1387" s="9">
        <v>0</v>
      </c>
      <c r="V1387" s="9">
        <v>0</v>
      </c>
      <c r="W1387" s="9">
        <v>0</v>
      </c>
      <c r="X1387" s="9">
        <v>0</v>
      </c>
      <c r="Y1387" s="9">
        <v>0</v>
      </c>
      <c r="Z1387" s="9">
        <v>0</v>
      </c>
      <c r="AA1387" s="9">
        <v>0</v>
      </c>
      <c r="AB1387" s="9">
        <f>AB1377+AB1376</f>
        <v>85</v>
      </c>
      <c r="AC1387" s="9">
        <v>0</v>
      </c>
      <c r="AD1387" s="53" t="e">
        <f>#REF!*D1387</f>
        <v>#REF!</v>
      </c>
      <c r="AE1387" s="53" t="e">
        <f>AD1387-#REF!</f>
        <v>#REF!</v>
      </c>
      <c r="AF1387" s="9"/>
      <c r="AG1387" s="33" t="e">
        <f>#REF!-D1387</f>
        <v>#REF!</v>
      </c>
    </row>
    <row r="1388" spans="1:37" s="16" customFormat="1" ht="20.399999999999999" outlineLevel="1" x14ac:dyDescent="0.2">
      <c r="A1388" s="230" t="s">
        <v>1103</v>
      </c>
      <c r="B1388" s="63" t="s">
        <v>3546</v>
      </c>
      <c r="C1388" s="9"/>
      <c r="D1388" s="25"/>
      <c r="E1388" s="54"/>
      <c r="F1388" s="9"/>
      <c r="G1388" s="9"/>
      <c r="H1388" s="9"/>
      <c r="I1388" s="9"/>
      <c r="J1388" s="9"/>
      <c r="K1388" s="9"/>
      <c r="L1388" s="9"/>
      <c r="M1388" s="9"/>
      <c r="N1388" s="9"/>
      <c r="O1388" s="9"/>
      <c r="P1388" s="9"/>
      <c r="Q1388" s="9"/>
      <c r="R1388" s="9"/>
      <c r="S1388" s="9"/>
      <c r="T1388" s="9"/>
      <c r="U1388" s="9"/>
      <c r="V1388" s="9"/>
      <c r="W1388" s="9"/>
      <c r="X1388" s="9"/>
      <c r="Y1388" s="9"/>
      <c r="Z1388" s="9"/>
      <c r="AA1388" s="9"/>
      <c r="AB1388" s="9"/>
      <c r="AC1388" s="9"/>
      <c r="AD1388" s="53"/>
      <c r="AE1388" s="53"/>
      <c r="AF1388" s="9"/>
      <c r="AG1388" s="33"/>
    </row>
    <row r="1389" spans="1:37" outlineLevel="1" x14ac:dyDescent="0.25">
      <c r="AD1389" s="53" t="e">
        <f>#REF!*D1389</f>
        <v>#REF!</v>
      </c>
      <c r="AE1389" s="53" t="e">
        <f>AD1389-#REF!</f>
        <v>#REF!</v>
      </c>
      <c r="AG1389" s="33" t="e">
        <f>#REF!-D1389</f>
        <v>#REF!</v>
      </c>
    </row>
    <row r="1390" spans="1:37" x14ac:dyDescent="0.25">
      <c r="A1390" s="18" t="s">
        <v>2416</v>
      </c>
      <c r="B1390" s="35" t="s">
        <v>3257</v>
      </c>
      <c r="C1390" s="18" t="s">
        <v>41</v>
      </c>
      <c r="D1390" s="52" t="e">
        <f>#REF!/#REF!*100</f>
        <v>#REF!</v>
      </c>
      <c r="G1390" s="9"/>
      <c r="H1390" s="76"/>
      <c r="I1390" s="76"/>
      <c r="J1390" s="76"/>
      <c r="K1390" s="76"/>
      <c r="L1390" s="76"/>
      <c r="M1390" s="76"/>
      <c r="N1390" s="76"/>
      <c r="O1390" s="76"/>
      <c r="P1390" s="76"/>
      <c r="Q1390" s="76"/>
      <c r="R1390" s="76"/>
      <c r="S1390" s="76"/>
      <c r="T1390" s="76"/>
      <c r="U1390" s="76"/>
      <c r="V1390" s="76"/>
      <c r="W1390" s="76"/>
      <c r="X1390" s="76"/>
      <c r="Y1390" s="76"/>
      <c r="Z1390" s="76"/>
      <c r="AA1390" s="76"/>
      <c r="AB1390" s="214" t="s">
        <v>375</v>
      </c>
      <c r="AC1390" s="76"/>
      <c r="AD1390" s="53"/>
      <c r="AE1390" s="53" t="e">
        <f>AD1390-#REF!</f>
        <v>#REF!</v>
      </c>
      <c r="AG1390" s="33" t="e">
        <f>#REF!-D1390</f>
        <v>#REF!</v>
      </c>
      <c r="AH1390" s="2"/>
      <c r="AI1390" s="2"/>
      <c r="AJ1390" s="2"/>
      <c r="AK1390" s="2"/>
    </row>
    <row r="1391" spans="1:37" x14ac:dyDescent="0.25">
      <c r="A1391" s="18"/>
      <c r="B1391" s="226" t="s">
        <v>3258</v>
      </c>
      <c r="C1391" s="18"/>
      <c r="D1391" s="52"/>
      <c r="G1391" s="9"/>
      <c r="H1391" s="76"/>
      <c r="I1391" s="76"/>
      <c r="J1391" s="76"/>
      <c r="K1391" s="76"/>
      <c r="L1391" s="76"/>
      <c r="M1391" s="76"/>
      <c r="N1391" s="76"/>
      <c r="O1391" s="76"/>
      <c r="P1391" s="76"/>
      <c r="Q1391" s="76"/>
      <c r="R1391" s="76"/>
      <c r="S1391" s="76"/>
      <c r="T1391" s="76"/>
      <c r="U1391" s="76"/>
      <c r="V1391" s="76"/>
      <c r="W1391" s="76"/>
      <c r="X1391" s="76"/>
      <c r="Y1391" s="76"/>
      <c r="Z1391" s="76"/>
      <c r="AA1391" s="76"/>
      <c r="AB1391" s="214" t="s">
        <v>375</v>
      </c>
      <c r="AC1391" s="76"/>
      <c r="AD1391" s="53"/>
      <c r="AE1391" s="53" t="e">
        <f>AD1391-#REF!</f>
        <v>#REF!</v>
      </c>
      <c r="AG1391" s="33"/>
      <c r="AH1391" s="2"/>
      <c r="AI1391" s="2"/>
      <c r="AJ1391" s="2"/>
      <c r="AK1391" s="2"/>
    </row>
    <row r="1392" spans="1:37" s="16" customFormat="1" ht="30.6" outlineLevel="1" x14ac:dyDescent="0.2">
      <c r="A1392" s="62" t="s">
        <v>2434</v>
      </c>
      <c r="B1392" s="80" t="s">
        <v>3259</v>
      </c>
      <c r="C1392" s="9" t="s">
        <v>48</v>
      </c>
      <c r="D1392" s="25">
        <f>SUM(G1392:AC1392)</f>
        <v>907</v>
      </c>
      <c r="E1392" s="54"/>
      <c r="F1392" s="9"/>
      <c r="G1392" s="9">
        <v>0</v>
      </c>
      <c r="H1392" s="9">
        <v>0</v>
      </c>
      <c r="I1392" s="9">
        <v>0</v>
      </c>
      <c r="J1392" s="9">
        <v>0</v>
      </c>
      <c r="K1392" s="9">
        <v>0</v>
      </c>
      <c r="L1392" s="9">
        <v>0</v>
      </c>
      <c r="M1392" s="9">
        <v>0</v>
      </c>
      <c r="N1392" s="9">
        <v>0</v>
      </c>
      <c r="O1392" s="9">
        <v>0</v>
      </c>
      <c r="P1392" s="9">
        <v>0</v>
      </c>
      <c r="Q1392" s="9">
        <v>0</v>
      </c>
      <c r="R1392" s="9">
        <v>0</v>
      </c>
      <c r="S1392" s="9">
        <v>0</v>
      </c>
      <c r="T1392" s="9">
        <v>0</v>
      </c>
      <c r="U1392" s="9">
        <v>0</v>
      </c>
      <c r="V1392" s="9">
        <v>0</v>
      </c>
      <c r="W1392" s="9">
        <v>0</v>
      </c>
      <c r="X1392" s="9">
        <v>0</v>
      </c>
      <c r="Y1392" s="9">
        <v>0</v>
      </c>
      <c r="Z1392" s="9">
        <v>0</v>
      </c>
      <c r="AA1392" s="9">
        <v>0</v>
      </c>
      <c r="AB1392" s="9">
        <v>907</v>
      </c>
      <c r="AC1392" s="9">
        <v>0</v>
      </c>
      <c r="AD1392" s="53" t="e">
        <f>#REF!*D1392</f>
        <v>#REF!</v>
      </c>
      <c r="AE1392" s="53" t="e">
        <f>AD1392-#REF!</f>
        <v>#REF!</v>
      </c>
      <c r="AF1392" s="9"/>
      <c r="AG1392" s="33" t="e">
        <f>#REF!-D1392</f>
        <v>#REF!</v>
      </c>
    </row>
    <row r="1393" spans="1:37" outlineLevel="1" x14ac:dyDescent="0.25">
      <c r="AD1393" s="53" t="e">
        <f>#REF!*D1393</f>
        <v>#REF!</v>
      </c>
      <c r="AE1393" s="53" t="e">
        <f>AD1393-#REF!</f>
        <v>#REF!</v>
      </c>
      <c r="AG1393" s="33" t="e">
        <f>#REF!-D1393</f>
        <v>#REF!</v>
      </c>
    </row>
    <row r="1394" spans="1:37" x14ac:dyDescent="0.25">
      <c r="A1394" s="18" t="s">
        <v>3222</v>
      </c>
      <c r="B1394" s="35" t="s">
        <v>2417</v>
      </c>
      <c r="C1394" s="18" t="s">
        <v>41</v>
      </c>
      <c r="D1394" s="52" t="e">
        <f>#REF!/#REF!*100</f>
        <v>#REF!</v>
      </c>
      <c r="E1394" s="200" t="s">
        <v>2806</v>
      </c>
      <c r="G1394" s="9"/>
      <c r="H1394" s="76"/>
      <c r="I1394" s="76"/>
      <c r="J1394" s="76"/>
      <c r="K1394" s="76"/>
      <c r="L1394" s="76"/>
      <c r="M1394" s="76"/>
      <c r="N1394" s="76"/>
      <c r="O1394" s="76"/>
      <c r="P1394" s="76"/>
      <c r="Q1394" s="76"/>
      <c r="R1394" s="76"/>
      <c r="S1394" s="76"/>
      <c r="T1394" s="76"/>
      <c r="U1394" s="76"/>
      <c r="V1394" s="76"/>
      <c r="W1394" s="76"/>
      <c r="X1394" s="76"/>
      <c r="Y1394" s="76"/>
      <c r="Z1394" s="76"/>
      <c r="AA1394" s="76"/>
      <c r="AB1394" s="76"/>
      <c r="AC1394" s="76"/>
      <c r="AD1394" s="53" t="e">
        <f>#REF!*D1394</f>
        <v>#REF!</v>
      </c>
      <c r="AE1394" s="53" t="e">
        <f>AD1394-#REF!</f>
        <v>#REF!</v>
      </c>
      <c r="AG1394" s="33" t="e">
        <f>#REF!-D1394</f>
        <v>#REF!</v>
      </c>
      <c r="AH1394" s="2"/>
      <c r="AI1394" s="2"/>
      <c r="AJ1394" s="2"/>
      <c r="AK1394" s="2"/>
    </row>
    <row r="1395" spans="1:37" s="16" customFormat="1" ht="11.4" outlineLevel="1" x14ac:dyDescent="0.2">
      <c r="A1395" s="62" t="s">
        <v>3223</v>
      </c>
      <c r="B1395" s="14" t="s">
        <v>2419</v>
      </c>
      <c r="C1395" s="9" t="s">
        <v>47</v>
      </c>
      <c r="D1395" s="25">
        <f t="shared" ref="D1395:D1419" si="339">SUM(G1395:AC1395)</f>
        <v>45</v>
      </c>
      <c r="E1395" s="54"/>
      <c r="F1395" s="9"/>
      <c r="G1395" s="9">
        <v>37</v>
      </c>
      <c r="H1395" s="9">
        <v>0</v>
      </c>
      <c r="I1395" s="9">
        <v>4</v>
      </c>
      <c r="J1395" s="9">
        <v>0</v>
      </c>
      <c r="K1395" s="9">
        <v>0</v>
      </c>
      <c r="L1395" s="9">
        <v>0</v>
      </c>
      <c r="M1395" s="9">
        <v>0</v>
      </c>
      <c r="N1395" s="9">
        <v>0</v>
      </c>
      <c r="O1395" s="9">
        <v>0</v>
      </c>
      <c r="P1395" s="9">
        <v>0</v>
      </c>
      <c r="Q1395" s="9">
        <v>0</v>
      </c>
      <c r="R1395" s="9">
        <v>0</v>
      </c>
      <c r="S1395" s="9">
        <v>0</v>
      </c>
      <c r="T1395" s="9">
        <v>0</v>
      </c>
      <c r="U1395" s="9">
        <v>0</v>
      </c>
      <c r="V1395" s="9">
        <v>4</v>
      </c>
      <c r="W1395" s="9">
        <v>0</v>
      </c>
      <c r="X1395" s="9">
        <v>0</v>
      </c>
      <c r="Y1395" s="9">
        <v>0</v>
      </c>
      <c r="Z1395" s="9">
        <v>0</v>
      </c>
      <c r="AA1395" s="9">
        <v>0</v>
      </c>
      <c r="AB1395" s="9">
        <v>0</v>
      </c>
      <c r="AC1395" s="9">
        <v>0</v>
      </c>
      <c r="AD1395" s="53" t="e">
        <f>#REF!*D1395</f>
        <v>#REF!</v>
      </c>
      <c r="AE1395" s="53" t="e">
        <f>AD1395-#REF!</f>
        <v>#REF!</v>
      </c>
      <c r="AF1395" s="9"/>
      <c r="AG1395" s="33" t="e">
        <f>#REF!-D1395</f>
        <v>#REF!</v>
      </c>
    </row>
    <row r="1396" spans="1:37" s="16" customFormat="1" ht="11.4" outlineLevel="1" x14ac:dyDescent="0.2">
      <c r="A1396" s="62" t="s">
        <v>3224</v>
      </c>
      <c r="B1396" s="14" t="s">
        <v>2420</v>
      </c>
      <c r="C1396" s="9" t="s">
        <v>47</v>
      </c>
      <c r="D1396" s="25">
        <f t="shared" si="339"/>
        <v>4</v>
      </c>
      <c r="E1396" s="54"/>
      <c r="F1396" s="9"/>
      <c r="G1396" s="9">
        <v>2</v>
      </c>
      <c r="H1396" s="9">
        <v>0</v>
      </c>
      <c r="I1396" s="9">
        <v>2</v>
      </c>
      <c r="J1396" s="9">
        <v>0</v>
      </c>
      <c r="K1396" s="9">
        <v>0</v>
      </c>
      <c r="L1396" s="9">
        <v>0</v>
      </c>
      <c r="M1396" s="9">
        <v>0</v>
      </c>
      <c r="N1396" s="9">
        <v>0</v>
      </c>
      <c r="O1396" s="9">
        <v>0</v>
      </c>
      <c r="P1396" s="9">
        <v>0</v>
      </c>
      <c r="Q1396" s="9">
        <v>0</v>
      </c>
      <c r="R1396" s="9">
        <v>0</v>
      </c>
      <c r="S1396" s="9">
        <v>0</v>
      </c>
      <c r="T1396" s="9">
        <v>0</v>
      </c>
      <c r="U1396" s="9">
        <v>0</v>
      </c>
      <c r="V1396" s="9">
        <v>0</v>
      </c>
      <c r="W1396" s="9">
        <v>0</v>
      </c>
      <c r="X1396" s="9">
        <v>0</v>
      </c>
      <c r="Y1396" s="9">
        <v>0</v>
      </c>
      <c r="Z1396" s="9">
        <v>0</v>
      </c>
      <c r="AA1396" s="9">
        <v>0</v>
      </c>
      <c r="AB1396" s="9">
        <v>0</v>
      </c>
      <c r="AC1396" s="9">
        <v>0</v>
      </c>
      <c r="AD1396" s="53" t="e">
        <f>#REF!*D1396</f>
        <v>#REF!</v>
      </c>
      <c r="AE1396" s="53" t="e">
        <f>AD1396-#REF!</f>
        <v>#REF!</v>
      </c>
      <c r="AF1396" s="9"/>
      <c r="AG1396" s="33" t="e">
        <f>#REF!-D1396</f>
        <v>#REF!</v>
      </c>
    </row>
    <row r="1397" spans="1:37" s="16" customFormat="1" ht="11.4" outlineLevel="1" x14ac:dyDescent="0.2">
      <c r="A1397" s="62" t="s">
        <v>3225</v>
      </c>
      <c r="B1397" s="14" t="s">
        <v>2421</v>
      </c>
      <c r="C1397" s="9" t="s">
        <v>47</v>
      </c>
      <c r="D1397" s="25">
        <f t="shared" si="339"/>
        <v>4</v>
      </c>
      <c r="E1397" s="54"/>
      <c r="F1397" s="9"/>
      <c r="G1397" s="9">
        <v>2</v>
      </c>
      <c r="H1397" s="9">
        <v>0</v>
      </c>
      <c r="I1397" s="9">
        <v>2</v>
      </c>
      <c r="J1397" s="9">
        <v>0</v>
      </c>
      <c r="K1397" s="9">
        <v>0</v>
      </c>
      <c r="L1397" s="9">
        <v>0</v>
      </c>
      <c r="M1397" s="9">
        <v>0</v>
      </c>
      <c r="N1397" s="9">
        <v>0</v>
      </c>
      <c r="O1397" s="9">
        <v>0</v>
      </c>
      <c r="P1397" s="9">
        <v>0</v>
      </c>
      <c r="Q1397" s="9">
        <v>0</v>
      </c>
      <c r="R1397" s="9">
        <v>0</v>
      </c>
      <c r="S1397" s="9">
        <v>0</v>
      </c>
      <c r="T1397" s="9">
        <v>0</v>
      </c>
      <c r="U1397" s="9">
        <v>0</v>
      </c>
      <c r="V1397" s="9">
        <v>0</v>
      </c>
      <c r="W1397" s="9">
        <v>0</v>
      </c>
      <c r="X1397" s="9">
        <v>0</v>
      </c>
      <c r="Y1397" s="9">
        <v>0</v>
      </c>
      <c r="Z1397" s="9">
        <v>0</v>
      </c>
      <c r="AA1397" s="9">
        <v>0</v>
      </c>
      <c r="AB1397" s="9">
        <v>0</v>
      </c>
      <c r="AC1397" s="9">
        <v>0</v>
      </c>
      <c r="AD1397" s="53" t="e">
        <f>#REF!*D1397</f>
        <v>#REF!</v>
      </c>
      <c r="AE1397" s="53" t="e">
        <f>AD1397-#REF!</f>
        <v>#REF!</v>
      </c>
      <c r="AF1397" s="9"/>
      <c r="AG1397" s="33" t="e">
        <f>#REF!-D1397</f>
        <v>#REF!</v>
      </c>
    </row>
    <row r="1398" spans="1:37" s="16" customFormat="1" ht="11.4" outlineLevel="1" x14ac:dyDescent="0.2">
      <c r="A1398" s="62" t="s">
        <v>3226</v>
      </c>
      <c r="B1398" s="14" t="s">
        <v>2422</v>
      </c>
      <c r="C1398" s="9" t="s">
        <v>47</v>
      </c>
      <c r="D1398" s="25">
        <f t="shared" si="339"/>
        <v>7</v>
      </c>
      <c r="E1398" s="54"/>
      <c r="F1398" s="9"/>
      <c r="G1398" s="9">
        <v>5</v>
      </c>
      <c r="H1398" s="9">
        <v>0</v>
      </c>
      <c r="I1398" s="9">
        <v>2</v>
      </c>
      <c r="J1398" s="9">
        <v>0</v>
      </c>
      <c r="K1398" s="9">
        <v>0</v>
      </c>
      <c r="L1398" s="9">
        <v>0</v>
      </c>
      <c r="M1398" s="9">
        <v>0</v>
      </c>
      <c r="N1398" s="9">
        <v>0</v>
      </c>
      <c r="O1398" s="9">
        <v>0</v>
      </c>
      <c r="P1398" s="9">
        <v>0</v>
      </c>
      <c r="Q1398" s="9">
        <v>0</v>
      </c>
      <c r="R1398" s="9">
        <v>0</v>
      </c>
      <c r="S1398" s="9">
        <v>0</v>
      </c>
      <c r="T1398" s="9">
        <v>0</v>
      </c>
      <c r="U1398" s="9">
        <v>0</v>
      </c>
      <c r="V1398" s="9">
        <v>0</v>
      </c>
      <c r="W1398" s="9">
        <v>0</v>
      </c>
      <c r="X1398" s="9">
        <v>0</v>
      </c>
      <c r="Y1398" s="9">
        <v>0</v>
      </c>
      <c r="Z1398" s="9">
        <v>0</v>
      </c>
      <c r="AA1398" s="9">
        <v>0</v>
      </c>
      <c r="AB1398" s="9">
        <v>0</v>
      </c>
      <c r="AC1398" s="9">
        <v>0</v>
      </c>
      <c r="AD1398" s="53" t="e">
        <f>#REF!*D1398</f>
        <v>#REF!</v>
      </c>
      <c r="AE1398" s="53" t="e">
        <f>AD1398-#REF!</f>
        <v>#REF!</v>
      </c>
      <c r="AF1398" s="9"/>
      <c r="AG1398" s="33" t="e">
        <f>#REF!-D1398</f>
        <v>#REF!</v>
      </c>
    </row>
    <row r="1399" spans="1:37" s="16" customFormat="1" ht="11.4" outlineLevel="1" x14ac:dyDescent="0.2">
      <c r="A1399" s="62" t="s">
        <v>3227</v>
      </c>
      <c r="B1399" s="14" t="s">
        <v>2423</v>
      </c>
      <c r="C1399" s="9" t="s">
        <v>47</v>
      </c>
      <c r="D1399" s="25">
        <f t="shared" si="339"/>
        <v>8</v>
      </c>
      <c r="E1399" s="54"/>
      <c r="F1399" s="9"/>
      <c r="G1399" s="9">
        <v>6</v>
      </c>
      <c r="H1399" s="9">
        <v>0</v>
      </c>
      <c r="I1399" s="9">
        <v>0</v>
      </c>
      <c r="J1399" s="9">
        <v>0</v>
      </c>
      <c r="K1399" s="9">
        <v>0</v>
      </c>
      <c r="L1399" s="9">
        <v>0</v>
      </c>
      <c r="M1399" s="9">
        <v>0</v>
      </c>
      <c r="N1399" s="9">
        <v>0</v>
      </c>
      <c r="O1399" s="9">
        <v>0</v>
      </c>
      <c r="P1399" s="9">
        <v>0</v>
      </c>
      <c r="Q1399" s="9">
        <v>0</v>
      </c>
      <c r="R1399" s="9">
        <v>0</v>
      </c>
      <c r="S1399" s="9">
        <v>0</v>
      </c>
      <c r="T1399" s="9">
        <v>0</v>
      </c>
      <c r="U1399" s="9">
        <v>0</v>
      </c>
      <c r="V1399" s="9">
        <v>2</v>
      </c>
      <c r="W1399" s="9">
        <v>0</v>
      </c>
      <c r="X1399" s="9">
        <v>0</v>
      </c>
      <c r="Y1399" s="9">
        <v>0</v>
      </c>
      <c r="Z1399" s="9">
        <v>0</v>
      </c>
      <c r="AA1399" s="9">
        <v>0</v>
      </c>
      <c r="AB1399" s="9">
        <v>0</v>
      </c>
      <c r="AC1399" s="9">
        <v>0</v>
      </c>
      <c r="AD1399" s="53" t="e">
        <f>#REF!*D1399</f>
        <v>#REF!</v>
      </c>
      <c r="AE1399" s="53" t="e">
        <f>AD1399-#REF!</f>
        <v>#REF!</v>
      </c>
      <c r="AF1399" s="9"/>
      <c r="AG1399" s="33" t="e">
        <f>#REF!-D1399</f>
        <v>#REF!</v>
      </c>
    </row>
    <row r="1400" spans="1:37" s="16" customFormat="1" ht="11.4" outlineLevel="1" x14ac:dyDescent="0.2">
      <c r="A1400" s="62" t="s">
        <v>3228</v>
      </c>
      <c r="B1400" s="14" t="s">
        <v>2424</v>
      </c>
      <c r="C1400" s="9" t="s">
        <v>47</v>
      </c>
      <c r="D1400" s="25">
        <f t="shared" si="339"/>
        <v>6</v>
      </c>
      <c r="E1400" s="54"/>
      <c r="F1400" s="9"/>
      <c r="G1400" s="9">
        <v>6</v>
      </c>
      <c r="H1400" s="9">
        <v>0</v>
      </c>
      <c r="I1400" s="9">
        <v>0</v>
      </c>
      <c r="J1400" s="9">
        <v>0</v>
      </c>
      <c r="K1400" s="9">
        <v>0</v>
      </c>
      <c r="L1400" s="9">
        <v>0</v>
      </c>
      <c r="M1400" s="9">
        <v>0</v>
      </c>
      <c r="N1400" s="9">
        <v>0</v>
      </c>
      <c r="O1400" s="9">
        <v>0</v>
      </c>
      <c r="P1400" s="9">
        <v>0</v>
      </c>
      <c r="Q1400" s="9">
        <v>0</v>
      </c>
      <c r="R1400" s="9">
        <v>0</v>
      </c>
      <c r="S1400" s="9">
        <v>0</v>
      </c>
      <c r="T1400" s="9">
        <v>0</v>
      </c>
      <c r="U1400" s="9">
        <v>0</v>
      </c>
      <c r="V1400" s="9">
        <v>0</v>
      </c>
      <c r="W1400" s="9">
        <v>0</v>
      </c>
      <c r="X1400" s="9">
        <v>0</v>
      </c>
      <c r="Y1400" s="9">
        <v>0</v>
      </c>
      <c r="Z1400" s="9">
        <v>0</v>
      </c>
      <c r="AA1400" s="9">
        <v>0</v>
      </c>
      <c r="AB1400" s="9">
        <v>0</v>
      </c>
      <c r="AC1400" s="9">
        <v>0</v>
      </c>
      <c r="AD1400" s="53" t="e">
        <f>#REF!*D1400</f>
        <v>#REF!</v>
      </c>
      <c r="AE1400" s="53" t="e">
        <f>AD1400-#REF!</f>
        <v>#REF!</v>
      </c>
      <c r="AF1400" s="9"/>
      <c r="AG1400" s="33" t="e">
        <f>#REF!-D1400</f>
        <v>#REF!</v>
      </c>
    </row>
    <row r="1401" spans="1:37" s="16" customFormat="1" ht="11.4" outlineLevel="1" x14ac:dyDescent="0.2">
      <c r="A1401" s="62" t="s">
        <v>3229</v>
      </c>
      <c r="B1401" s="14" t="s">
        <v>2425</v>
      </c>
      <c r="C1401" s="9" t="s">
        <v>47</v>
      </c>
      <c r="D1401" s="25">
        <f t="shared" si="339"/>
        <v>10</v>
      </c>
      <c r="E1401" s="54"/>
      <c r="F1401" s="9"/>
      <c r="G1401" s="9">
        <v>8</v>
      </c>
      <c r="H1401" s="9">
        <v>0</v>
      </c>
      <c r="I1401" s="9">
        <v>0</v>
      </c>
      <c r="J1401" s="9">
        <v>0</v>
      </c>
      <c r="K1401" s="9">
        <v>0</v>
      </c>
      <c r="L1401" s="9">
        <v>0</v>
      </c>
      <c r="M1401" s="9">
        <v>0</v>
      </c>
      <c r="N1401" s="9">
        <v>0</v>
      </c>
      <c r="O1401" s="9">
        <v>0</v>
      </c>
      <c r="P1401" s="9">
        <v>0</v>
      </c>
      <c r="Q1401" s="9">
        <v>0</v>
      </c>
      <c r="R1401" s="9">
        <v>0</v>
      </c>
      <c r="S1401" s="9">
        <v>0</v>
      </c>
      <c r="T1401" s="9">
        <v>0</v>
      </c>
      <c r="U1401" s="9">
        <v>0</v>
      </c>
      <c r="V1401" s="9">
        <v>2</v>
      </c>
      <c r="W1401" s="9">
        <v>0</v>
      </c>
      <c r="X1401" s="9">
        <v>0</v>
      </c>
      <c r="Y1401" s="9">
        <v>0</v>
      </c>
      <c r="Z1401" s="9">
        <v>0</v>
      </c>
      <c r="AA1401" s="9">
        <v>0</v>
      </c>
      <c r="AB1401" s="9">
        <v>0</v>
      </c>
      <c r="AC1401" s="9">
        <v>0</v>
      </c>
      <c r="AD1401" s="53" t="e">
        <f>#REF!*D1401</f>
        <v>#REF!</v>
      </c>
      <c r="AE1401" s="53" t="e">
        <f>AD1401-#REF!</f>
        <v>#REF!</v>
      </c>
      <c r="AF1401" s="9"/>
      <c r="AG1401" s="33" t="e">
        <f>#REF!-D1401</f>
        <v>#REF!</v>
      </c>
    </row>
    <row r="1402" spans="1:37" s="16" customFormat="1" ht="11.4" outlineLevel="1" x14ac:dyDescent="0.2">
      <c r="A1402" s="62" t="s">
        <v>3230</v>
      </c>
      <c r="B1402" s="14" t="s">
        <v>2426</v>
      </c>
      <c r="C1402" s="9" t="s">
        <v>47</v>
      </c>
      <c r="D1402" s="25">
        <f t="shared" si="339"/>
        <v>65</v>
      </c>
      <c r="E1402" s="54"/>
      <c r="F1402" s="9"/>
      <c r="G1402" s="9">
        <v>46</v>
      </c>
      <c r="H1402" s="9">
        <v>0</v>
      </c>
      <c r="I1402" s="9">
        <v>0</v>
      </c>
      <c r="J1402" s="9">
        <v>0</v>
      </c>
      <c r="K1402" s="9">
        <v>0</v>
      </c>
      <c r="L1402" s="9">
        <v>0</v>
      </c>
      <c r="M1402" s="9">
        <v>9</v>
      </c>
      <c r="N1402" s="9">
        <v>0</v>
      </c>
      <c r="O1402" s="9">
        <v>0</v>
      </c>
      <c r="P1402" s="9">
        <v>0</v>
      </c>
      <c r="Q1402" s="9">
        <v>0</v>
      </c>
      <c r="R1402" s="9">
        <v>0</v>
      </c>
      <c r="S1402" s="9">
        <v>0</v>
      </c>
      <c r="T1402" s="9">
        <v>0</v>
      </c>
      <c r="U1402" s="9">
        <v>0</v>
      </c>
      <c r="V1402" s="9">
        <v>10</v>
      </c>
      <c r="W1402" s="9">
        <v>0</v>
      </c>
      <c r="X1402" s="9">
        <v>0</v>
      </c>
      <c r="Y1402" s="9">
        <v>0</v>
      </c>
      <c r="Z1402" s="9">
        <v>0</v>
      </c>
      <c r="AA1402" s="9">
        <v>0</v>
      </c>
      <c r="AB1402" s="9">
        <v>0</v>
      </c>
      <c r="AC1402" s="9">
        <v>0</v>
      </c>
      <c r="AD1402" s="53" t="e">
        <f>#REF!*D1402</f>
        <v>#REF!</v>
      </c>
      <c r="AE1402" s="53" t="e">
        <f>AD1402-#REF!</f>
        <v>#REF!</v>
      </c>
      <c r="AF1402" s="9"/>
      <c r="AG1402" s="33" t="e">
        <f>#REF!-D1402</f>
        <v>#REF!</v>
      </c>
    </row>
    <row r="1403" spans="1:37" s="16" customFormat="1" ht="11.4" outlineLevel="1" x14ac:dyDescent="0.2">
      <c r="A1403" s="62" t="s">
        <v>3231</v>
      </c>
      <c r="B1403" s="14" t="s">
        <v>2418</v>
      </c>
      <c r="C1403" s="9" t="s">
        <v>47</v>
      </c>
      <c r="D1403" s="25">
        <f t="shared" si="339"/>
        <v>1891</v>
      </c>
      <c r="E1403" s="54"/>
      <c r="F1403" s="9"/>
      <c r="G1403" s="9">
        <v>263</v>
      </c>
      <c r="H1403" s="9">
        <v>0</v>
      </c>
      <c r="I1403" s="9">
        <v>0</v>
      </c>
      <c r="J1403" s="9">
        <v>0</v>
      </c>
      <c r="K1403" s="9">
        <v>0</v>
      </c>
      <c r="L1403" s="9">
        <v>0</v>
      </c>
      <c r="M1403" s="9">
        <v>542</v>
      </c>
      <c r="N1403" s="9">
        <v>0</v>
      </c>
      <c r="O1403" s="9">
        <v>0</v>
      </c>
      <c r="P1403" s="9">
        <v>0</v>
      </c>
      <c r="Q1403" s="9">
        <v>0</v>
      </c>
      <c r="R1403" s="9">
        <v>0</v>
      </c>
      <c r="S1403" s="9">
        <v>0</v>
      </c>
      <c r="T1403" s="9">
        <v>0</v>
      </c>
      <c r="U1403" s="9">
        <v>0</v>
      </c>
      <c r="V1403" s="9">
        <v>1086</v>
      </c>
      <c r="W1403" s="9">
        <v>0</v>
      </c>
      <c r="X1403" s="9">
        <v>0</v>
      </c>
      <c r="Y1403" s="9">
        <v>0</v>
      </c>
      <c r="Z1403" s="9">
        <v>0</v>
      </c>
      <c r="AA1403" s="9">
        <v>0</v>
      </c>
      <c r="AB1403" s="9">
        <v>0</v>
      </c>
      <c r="AC1403" s="9">
        <v>0</v>
      </c>
      <c r="AD1403" s="53" t="e">
        <f>#REF!*D1403</f>
        <v>#REF!</v>
      </c>
      <c r="AE1403" s="53" t="e">
        <f>AD1403-#REF!</f>
        <v>#REF!</v>
      </c>
      <c r="AF1403" s="9"/>
      <c r="AG1403" s="33" t="e">
        <f>#REF!-D1403</f>
        <v>#REF!</v>
      </c>
    </row>
    <row r="1404" spans="1:37" s="16" customFormat="1" ht="11.4" outlineLevel="1" x14ac:dyDescent="0.2">
      <c r="A1404" s="62" t="s">
        <v>3232</v>
      </c>
      <c r="B1404" s="47" t="s">
        <v>2435</v>
      </c>
      <c r="C1404" s="9" t="s">
        <v>47</v>
      </c>
      <c r="D1404" s="25">
        <f t="shared" si="339"/>
        <v>149</v>
      </c>
      <c r="E1404" s="54"/>
      <c r="F1404" s="9"/>
      <c r="G1404" s="49">
        <f t="shared" ref="G1404:AC1404" si="340">SUM(G1395:G1402)</f>
        <v>112</v>
      </c>
      <c r="H1404" s="49">
        <f t="shared" si="340"/>
        <v>0</v>
      </c>
      <c r="I1404" s="49">
        <f t="shared" si="340"/>
        <v>10</v>
      </c>
      <c r="J1404" s="49">
        <f t="shared" si="340"/>
        <v>0</v>
      </c>
      <c r="K1404" s="49">
        <f t="shared" si="340"/>
        <v>0</v>
      </c>
      <c r="L1404" s="49">
        <f t="shared" si="340"/>
        <v>0</v>
      </c>
      <c r="M1404" s="49">
        <f t="shared" si="340"/>
        <v>9</v>
      </c>
      <c r="N1404" s="49">
        <f t="shared" si="340"/>
        <v>0</v>
      </c>
      <c r="O1404" s="49">
        <f t="shared" si="340"/>
        <v>0</v>
      </c>
      <c r="P1404" s="49">
        <f t="shared" si="340"/>
        <v>0</v>
      </c>
      <c r="Q1404" s="49">
        <f t="shared" si="340"/>
        <v>0</v>
      </c>
      <c r="R1404" s="49">
        <f t="shared" si="340"/>
        <v>0</v>
      </c>
      <c r="S1404" s="49">
        <f t="shared" si="340"/>
        <v>0</v>
      </c>
      <c r="T1404" s="49">
        <f t="shared" si="340"/>
        <v>0</v>
      </c>
      <c r="U1404" s="49">
        <f t="shared" si="340"/>
        <v>0</v>
      </c>
      <c r="V1404" s="49">
        <f t="shared" si="340"/>
        <v>18</v>
      </c>
      <c r="W1404" s="49">
        <f t="shared" si="340"/>
        <v>0</v>
      </c>
      <c r="X1404" s="49">
        <f t="shared" si="340"/>
        <v>0</v>
      </c>
      <c r="Y1404" s="49">
        <f t="shared" si="340"/>
        <v>0</v>
      </c>
      <c r="Z1404" s="49">
        <f t="shared" si="340"/>
        <v>0</v>
      </c>
      <c r="AA1404" s="49">
        <f t="shared" si="340"/>
        <v>0</v>
      </c>
      <c r="AB1404" s="49">
        <f t="shared" si="340"/>
        <v>0</v>
      </c>
      <c r="AC1404" s="49">
        <f t="shared" si="340"/>
        <v>0</v>
      </c>
      <c r="AD1404" s="53" t="e">
        <f>#REF!*D1404</f>
        <v>#REF!</v>
      </c>
      <c r="AE1404" s="53" t="e">
        <f>AD1404-#REF!</f>
        <v>#REF!</v>
      </c>
      <c r="AF1404" s="9"/>
      <c r="AG1404" s="33" t="e">
        <f>#REF!-D1404</f>
        <v>#REF!</v>
      </c>
    </row>
    <row r="1405" spans="1:37" s="16" customFormat="1" ht="11.4" outlineLevel="1" x14ac:dyDescent="0.2">
      <c r="A1405" s="62" t="s">
        <v>3233</v>
      </c>
      <c r="B1405" s="47" t="s">
        <v>2427</v>
      </c>
      <c r="C1405" s="9" t="s">
        <v>47</v>
      </c>
      <c r="D1405" s="25">
        <f t="shared" si="339"/>
        <v>149</v>
      </c>
      <c r="E1405" s="54"/>
      <c r="F1405" s="9"/>
      <c r="G1405" s="49">
        <f t="shared" ref="G1405:AC1405" si="341">G1404</f>
        <v>112</v>
      </c>
      <c r="H1405" s="49">
        <f t="shared" si="341"/>
        <v>0</v>
      </c>
      <c r="I1405" s="49">
        <f t="shared" si="341"/>
        <v>10</v>
      </c>
      <c r="J1405" s="49">
        <f t="shared" si="341"/>
        <v>0</v>
      </c>
      <c r="K1405" s="49">
        <f t="shared" si="341"/>
        <v>0</v>
      </c>
      <c r="L1405" s="49">
        <f t="shared" si="341"/>
        <v>0</v>
      </c>
      <c r="M1405" s="49">
        <f t="shared" si="341"/>
        <v>9</v>
      </c>
      <c r="N1405" s="49">
        <f t="shared" si="341"/>
        <v>0</v>
      </c>
      <c r="O1405" s="49">
        <f t="shared" si="341"/>
        <v>0</v>
      </c>
      <c r="P1405" s="49">
        <f t="shared" si="341"/>
        <v>0</v>
      </c>
      <c r="Q1405" s="49">
        <f t="shared" si="341"/>
        <v>0</v>
      </c>
      <c r="R1405" s="49">
        <f t="shared" si="341"/>
        <v>0</v>
      </c>
      <c r="S1405" s="49">
        <f t="shared" si="341"/>
        <v>0</v>
      </c>
      <c r="T1405" s="49">
        <f t="shared" si="341"/>
        <v>0</v>
      </c>
      <c r="U1405" s="49">
        <f t="shared" si="341"/>
        <v>0</v>
      </c>
      <c r="V1405" s="49">
        <f t="shared" si="341"/>
        <v>18</v>
      </c>
      <c r="W1405" s="49">
        <f t="shared" si="341"/>
        <v>0</v>
      </c>
      <c r="X1405" s="49">
        <f t="shared" si="341"/>
        <v>0</v>
      </c>
      <c r="Y1405" s="49">
        <f t="shared" si="341"/>
        <v>0</v>
      </c>
      <c r="Z1405" s="49">
        <f t="shared" si="341"/>
        <v>0</v>
      </c>
      <c r="AA1405" s="49">
        <f t="shared" si="341"/>
        <v>0</v>
      </c>
      <c r="AB1405" s="49">
        <f t="shared" si="341"/>
        <v>0</v>
      </c>
      <c r="AC1405" s="49">
        <f t="shared" si="341"/>
        <v>0</v>
      </c>
      <c r="AD1405" s="53" t="e">
        <f>#REF!*D1405</f>
        <v>#REF!</v>
      </c>
      <c r="AE1405" s="53" t="e">
        <f>AD1405-#REF!</f>
        <v>#REF!</v>
      </c>
      <c r="AF1405" s="9"/>
      <c r="AG1405" s="33" t="e">
        <f>#REF!-D1405</f>
        <v>#REF!</v>
      </c>
    </row>
    <row r="1406" spans="1:37" s="16" customFormat="1" ht="20.399999999999999" outlineLevel="1" x14ac:dyDescent="0.2">
      <c r="A1406" s="62" t="s">
        <v>3234</v>
      </c>
      <c r="B1406" s="14" t="s">
        <v>2537</v>
      </c>
      <c r="C1406" s="9" t="s">
        <v>47</v>
      </c>
      <c r="D1406" s="25">
        <f t="shared" si="339"/>
        <v>1</v>
      </c>
      <c r="E1406" s="54"/>
      <c r="F1406" s="9"/>
      <c r="G1406" s="9">
        <v>1</v>
      </c>
      <c r="H1406" s="9">
        <v>0</v>
      </c>
      <c r="I1406" s="9">
        <v>0</v>
      </c>
      <c r="J1406" s="9">
        <v>0</v>
      </c>
      <c r="K1406" s="9">
        <v>0</v>
      </c>
      <c r="L1406" s="9">
        <v>0</v>
      </c>
      <c r="M1406" s="9">
        <v>0</v>
      </c>
      <c r="N1406" s="9">
        <v>0</v>
      </c>
      <c r="O1406" s="9">
        <v>0</v>
      </c>
      <c r="P1406" s="9">
        <v>0</v>
      </c>
      <c r="Q1406" s="9">
        <v>0</v>
      </c>
      <c r="R1406" s="9">
        <v>0</v>
      </c>
      <c r="S1406" s="9">
        <v>0</v>
      </c>
      <c r="T1406" s="9">
        <v>0</v>
      </c>
      <c r="U1406" s="9">
        <v>0</v>
      </c>
      <c r="V1406" s="9">
        <v>0</v>
      </c>
      <c r="W1406" s="9">
        <v>0</v>
      </c>
      <c r="X1406" s="9">
        <v>0</v>
      </c>
      <c r="Y1406" s="9">
        <v>0</v>
      </c>
      <c r="Z1406" s="9">
        <v>0</v>
      </c>
      <c r="AA1406" s="9">
        <v>0</v>
      </c>
      <c r="AB1406" s="9">
        <v>0</v>
      </c>
      <c r="AC1406" s="9">
        <v>0</v>
      </c>
      <c r="AD1406" s="53" t="e">
        <f>#REF!*D1406</f>
        <v>#REF!</v>
      </c>
      <c r="AE1406" s="53" t="e">
        <f>AD1406-#REF!</f>
        <v>#REF!</v>
      </c>
      <c r="AF1406" s="9"/>
      <c r="AG1406" s="33" t="e">
        <f>#REF!-D1406</f>
        <v>#REF!</v>
      </c>
    </row>
    <row r="1407" spans="1:37" s="16" customFormat="1" ht="11.4" outlineLevel="1" x14ac:dyDescent="0.2">
      <c r="A1407" s="62" t="s">
        <v>3235</v>
      </c>
      <c r="B1407" s="14" t="s">
        <v>2428</v>
      </c>
      <c r="C1407" s="9" t="s">
        <v>47</v>
      </c>
      <c r="D1407" s="25">
        <f t="shared" si="339"/>
        <v>5</v>
      </c>
      <c r="E1407" s="54"/>
      <c r="F1407" s="9"/>
      <c r="G1407" s="9">
        <v>4</v>
      </c>
      <c r="H1407" s="9">
        <v>0</v>
      </c>
      <c r="I1407" s="9">
        <v>0</v>
      </c>
      <c r="J1407" s="9">
        <v>0</v>
      </c>
      <c r="K1407" s="9">
        <v>0</v>
      </c>
      <c r="L1407" s="9">
        <v>0</v>
      </c>
      <c r="M1407" s="9">
        <v>1</v>
      </c>
      <c r="N1407" s="9">
        <v>0</v>
      </c>
      <c r="O1407" s="9">
        <v>0</v>
      </c>
      <c r="P1407" s="9">
        <v>0</v>
      </c>
      <c r="Q1407" s="9">
        <v>0</v>
      </c>
      <c r="R1407" s="9">
        <v>0</v>
      </c>
      <c r="S1407" s="9">
        <v>0</v>
      </c>
      <c r="T1407" s="9">
        <v>0</v>
      </c>
      <c r="U1407" s="9">
        <v>0</v>
      </c>
      <c r="V1407" s="9">
        <v>0</v>
      </c>
      <c r="W1407" s="9">
        <v>0</v>
      </c>
      <c r="X1407" s="9">
        <v>0</v>
      </c>
      <c r="Y1407" s="9">
        <v>0</v>
      </c>
      <c r="Z1407" s="9">
        <v>0</v>
      </c>
      <c r="AA1407" s="9">
        <v>0</v>
      </c>
      <c r="AB1407" s="9">
        <v>0</v>
      </c>
      <c r="AC1407" s="9">
        <v>0</v>
      </c>
      <c r="AD1407" s="53" t="e">
        <f>#REF!*D1407</f>
        <v>#REF!</v>
      </c>
      <c r="AE1407" s="53" t="e">
        <f>AD1407-#REF!</f>
        <v>#REF!</v>
      </c>
      <c r="AF1407" s="9"/>
      <c r="AG1407" s="33" t="e">
        <f>#REF!-D1407</f>
        <v>#REF!</v>
      </c>
    </row>
    <row r="1408" spans="1:37" s="16" customFormat="1" ht="20.399999999999999" outlineLevel="1" x14ac:dyDescent="0.2">
      <c r="A1408" s="62" t="s">
        <v>3236</v>
      </c>
      <c r="B1408" s="14" t="s">
        <v>2429</v>
      </c>
      <c r="C1408" s="9" t="s">
        <v>47</v>
      </c>
      <c r="D1408" s="25">
        <f t="shared" si="339"/>
        <v>1</v>
      </c>
      <c r="E1408" s="54"/>
      <c r="F1408" s="9"/>
      <c r="G1408" s="9">
        <v>1</v>
      </c>
      <c r="H1408" s="9">
        <v>0</v>
      </c>
      <c r="I1408" s="9">
        <v>0</v>
      </c>
      <c r="J1408" s="9">
        <v>0</v>
      </c>
      <c r="K1408" s="9">
        <v>0</v>
      </c>
      <c r="L1408" s="9">
        <v>0</v>
      </c>
      <c r="M1408" s="9">
        <v>0</v>
      </c>
      <c r="N1408" s="9">
        <v>0</v>
      </c>
      <c r="O1408" s="9">
        <v>0</v>
      </c>
      <c r="P1408" s="9">
        <v>0</v>
      </c>
      <c r="Q1408" s="9">
        <v>0</v>
      </c>
      <c r="R1408" s="9">
        <v>0</v>
      </c>
      <c r="S1408" s="9">
        <v>0</v>
      </c>
      <c r="T1408" s="9">
        <v>0</v>
      </c>
      <c r="U1408" s="9">
        <v>0</v>
      </c>
      <c r="V1408" s="9">
        <v>0</v>
      </c>
      <c r="W1408" s="9">
        <v>0</v>
      </c>
      <c r="X1408" s="9">
        <v>0</v>
      </c>
      <c r="Y1408" s="9">
        <v>0</v>
      </c>
      <c r="Z1408" s="9">
        <v>0</v>
      </c>
      <c r="AA1408" s="9">
        <v>0</v>
      </c>
      <c r="AB1408" s="9">
        <v>0</v>
      </c>
      <c r="AC1408" s="9">
        <v>0</v>
      </c>
      <c r="AD1408" s="53" t="e">
        <f>#REF!*D1408</f>
        <v>#REF!</v>
      </c>
      <c r="AE1408" s="53" t="e">
        <f>AD1408-#REF!</f>
        <v>#REF!</v>
      </c>
      <c r="AF1408" s="9"/>
      <c r="AG1408" s="33" t="e">
        <f>#REF!-D1408</f>
        <v>#REF!</v>
      </c>
    </row>
    <row r="1409" spans="1:37" s="16" customFormat="1" ht="20.399999999999999" outlineLevel="1" x14ac:dyDescent="0.2">
      <c r="A1409" s="62" t="s">
        <v>3237</v>
      </c>
      <c r="B1409" s="14" t="s">
        <v>2430</v>
      </c>
      <c r="C1409" s="9" t="s">
        <v>47</v>
      </c>
      <c r="D1409" s="25">
        <f t="shared" si="339"/>
        <v>1</v>
      </c>
      <c r="E1409" s="54"/>
      <c r="F1409" s="9"/>
      <c r="G1409" s="9">
        <v>1</v>
      </c>
      <c r="H1409" s="9">
        <v>0</v>
      </c>
      <c r="I1409" s="9">
        <v>0</v>
      </c>
      <c r="J1409" s="9">
        <v>0</v>
      </c>
      <c r="K1409" s="9">
        <v>0</v>
      </c>
      <c r="L1409" s="9">
        <v>0</v>
      </c>
      <c r="M1409" s="9">
        <v>0</v>
      </c>
      <c r="N1409" s="9">
        <v>0</v>
      </c>
      <c r="O1409" s="9">
        <v>0</v>
      </c>
      <c r="P1409" s="9">
        <v>0</v>
      </c>
      <c r="Q1409" s="9">
        <v>0</v>
      </c>
      <c r="R1409" s="9">
        <v>0</v>
      </c>
      <c r="S1409" s="9">
        <v>0</v>
      </c>
      <c r="T1409" s="9">
        <v>0</v>
      </c>
      <c r="U1409" s="9">
        <v>0</v>
      </c>
      <c r="V1409" s="9">
        <v>0</v>
      </c>
      <c r="W1409" s="9">
        <v>0</v>
      </c>
      <c r="X1409" s="9">
        <v>0</v>
      </c>
      <c r="Y1409" s="9">
        <v>0</v>
      </c>
      <c r="Z1409" s="9">
        <v>0</v>
      </c>
      <c r="AA1409" s="9">
        <v>0</v>
      </c>
      <c r="AB1409" s="9">
        <v>0</v>
      </c>
      <c r="AC1409" s="9">
        <v>0</v>
      </c>
      <c r="AD1409" s="53" t="e">
        <f>#REF!*D1409</f>
        <v>#REF!</v>
      </c>
      <c r="AE1409" s="53" t="e">
        <f>AD1409-#REF!</f>
        <v>#REF!</v>
      </c>
      <c r="AF1409" s="9"/>
      <c r="AG1409" s="33" t="e">
        <f>#REF!-D1409</f>
        <v>#REF!</v>
      </c>
    </row>
    <row r="1410" spans="1:37" s="16" customFormat="1" ht="20.399999999999999" outlineLevel="1" x14ac:dyDescent="0.2">
      <c r="A1410" s="62" t="s">
        <v>3238</v>
      </c>
      <c r="B1410" s="14" t="s">
        <v>2431</v>
      </c>
      <c r="C1410" s="9" t="s">
        <v>47</v>
      </c>
      <c r="D1410" s="25">
        <f t="shared" si="339"/>
        <v>7</v>
      </c>
      <c r="E1410" s="54"/>
      <c r="F1410" s="9"/>
      <c r="G1410" s="9">
        <v>6</v>
      </c>
      <c r="H1410" s="9">
        <v>0</v>
      </c>
      <c r="I1410" s="9">
        <v>0</v>
      </c>
      <c r="J1410" s="9">
        <v>0</v>
      </c>
      <c r="K1410" s="9">
        <v>0</v>
      </c>
      <c r="L1410" s="9">
        <v>0</v>
      </c>
      <c r="M1410" s="9">
        <v>1</v>
      </c>
      <c r="N1410" s="9">
        <v>0</v>
      </c>
      <c r="O1410" s="9">
        <v>0</v>
      </c>
      <c r="P1410" s="9">
        <v>0</v>
      </c>
      <c r="Q1410" s="9">
        <v>0</v>
      </c>
      <c r="R1410" s="9">
        <v>0</v>
      </c>
      <c r="S1410" s="9">
        <v>0</v>
      </c>
      <c r="T1410" s="9">
        <v>0</v>
      </c>
      <c r="U1410" s="9">
        <v>0</v>
      </c>
      <c r="V1410" s="9">
        <v>0</v>
      </c>
      <c r="W1410" s="9">
        <v>0</v>
      </c>
      <c r="X1410" s="9">
        <v>0</v>
      </c>
      <c r="Y1410" s="9">
        <v>0</v>
      </c>
      <c r="Z1410" s="9">
        <v>0</v>
      </c>
      <c r="AA1410" s="9">
        <v>0</v>
      </c>
      <c r="AB1410" s="9">
        <v>0</v>
      </c>
      <c r="AC1410" s="9">
        <v>0</v>
      </c>
      <c r="AD1410" s="53" t="e">
        <f>#REF!*D1410</f>
        <v>#REF!</v>
      </c>
      <c r="AE1410" s="53" t="e">
        <f>AD1410-#REF!</f>
        <v>#REF!</v>
      </c>
      <c r="AF1410" s="9"/>
      <c r="AG1410" s="33" t="e">
        <f>#REF!-D1410</f>
        <v>#REF!</v>
      </c>
    </row>
    <row r="1411" spans="1:37" s="16" customFormat="1" ht="11.4" outlineLevel="1" x14ac:dyDescent="0.2">
      <c r="A1411" s="62" t="s">
        <v>3239</v>
      </c>
      <c r="B1411" s="14" t="s">
        <v>2432</v>
      </c>
      <c r="C1411" s="9" t="s">
        <v>47</v>
      </c>
      <c r="D1411" s="25">
        <f t="shared" si="339"/>
        <v>2</v>
      </c>
      <c r="E1411" s="54"/>
      <c r="F1411" s="9"/>
      <c r="G1411" s="9">
        <v>1</v>
      </c>
      <c r="H1411" s="9">
        <v>0</v>
      </c>
      <c r="I1411" s="9">
        <v>0</v>
      </c>
      <c r="J1411" s="9">
        <v>0</v>
      </c>
      <c r="K1411" s="9">
        <v>0</v>
      </c>
      <c r="L1411" s="9">
        <v>0</v>
      </c>
      <c r="M1411" s="9">
        <v>1</v>
      </c>
      <c r="N1411" s="9">
        <v>0</v>
      </c>
      <c r="O1411" s="9">
        <v>0</v>
      </c>
      <c r="P1411" s="9">
        <v>0</v>
      </c>
      <c r="Q1411" s="9">
        <v>0</v>
      </c>
      <c r="R1411" s="9">
        <v>0</v>
      </c>
      <c r="S1411" s="9">
        <v>0</v>
      </c>
      <c r="T1411" s="9">
        <v>0</v>
      </c>
      <c r="U1411" s="9">
        <v>0</v>
      </c>
      <c r="V1411" s="9">
        <v>0</v>
      </c>
      <c r="W1411" s="9">
        <v>0</v>
      </c>
      <c r="X1411" s="9">
        <v>0</v>
      </c>
      <c r="Y1411" s="9">
        <v>0</v>
      </c>
      <c r="Z1411" s="9">
        <v>0</v>
      </c>
      <c r="AA1411" s="9">
        <v>0</v>
      </c>
      <c r="AB1411" s="9">
        <v>0</v>
      </c>
      <c r="AC1411" s="9">
        <v>0</v>
      </c>
      <c r="AD1411" s="53" t="e">
        <f>#REF!*D1411</f>
        <v>#REF!</v>
      </c>
      <c r="AE1411" s="53" t="e">
        <f>AD1411-#REF!</f>
        <v>#REF!</v>
      </c>
      <c r="AF1411" s="9"/>
      <c r="AG1411" s="33" t="e">
        <f>#REF!-D1411</f>
        <v>#REF!</v>
      </c>
    </row>
    <row r="1412" spans="1:37" s="16" customFormat="1" ht="11.4" outlineLevel="1" x14ac:dyDescent="0.2">
      <c r="A1412" s="62" t="s">
        <v>3240</v>
      </c>
      <c r="B1412" s="14" t="s">
        <v>2433</v>
      </c>
      <c r="C1412" s="9" t="s">
        <v>47</v>
      </c>
      <c r="D1412" s="25">
        <f t="shared" si="339"/>
        <v>1</v>
      </c>
      <c r="E1412" s="54"/>
      <c r="F1412" s="9"/>
      <c r="G1412" s="9">
        <v>1</v>
      </c>
      <c r="H1412" s="9">
        <v>0</v>
      </c>
      <c r="I1412" s="9">
        <v>0</v>
      </c>
      <c r="J1412" s="9">
        <v>0</v>
      </c>
      <c r="K1412" s="9">
        <v>0</v>
      </c>
      <c r="L1412" s="9">
        <v>0</v>
      </c>
      <c r="M1412" s="9">
        <v>0</v>
      </c>
      <c r="N1412" s="9">
        <v>0</v>
      </c>
      <c r="O1412" s="9">
        <v>0</v>
      </c>
      <c r="P1412" s="9">
        <v>0</v>
      </c>
      <c r="Q1412" s="9">
        <v>0</v>
      </c>
      <c r="R1412" s="9">
        <v>0</v>
      </c>
      <c r="S1412" s="9">
        <v>0</v>
      </c>
      <c r="T1412" s="9">
        <v>0</v>
      </c>
      <c r="U1412" s="9">
        <v>0</v>
      </c>
      <c r="V1412" s="9">
        <v>0</v>
      </c>
      <c r="W1412" s="9">
        <v>0</v>
      </c>
      <c r="X1412" s="9">
        <v>0</v>
      </c>
      <c r="Y1412" s="9">
        <v>0</v>
      </c>
      <c r="Z1412" s="9">
        <v>0</v>
      </c>
      <c r="AA1412" s="9">
        <v>0</v>
      </c>
      <c r="AB1412" s="9">
        <v>0</v>
      </c>
      <c r="AC1412" s="9">
        <v>0</v>
      </c>
      <c r="AD1412" s="53" t="e">
        <f>#REF!*D1412</f>
        <v>#REF!</v>
      </c>
      <c r="AE1412" s="53" t="e">
        <f>AD1412-#REF!</f>
        <v>#REF!</v>
      </c>
      <c r="AF1412" s="9"/>
      <c r="AG1412" s="33" t="e">
        <f>#REF!-D1412</f>
        <v>#REF!</v>
      </c>
    </row>
    <row r="1413" spans="1:37" s="16" customFormat="1" ht="11.4" outlineLevel="1" x14ac:dyDescent="0.2">
      <c r="A1413" s="62" t="s">
        <v>3241</v>
      </c>
      <c r="B1413" s="14" t="s">
        <v>2438</v>
      </c>
      <c r="C1413" s="9" t="s">
        <v>47</v>
      </c>
      <c r="D1413" s="25">
        <f t="shared" si="339"/>
        <v>1</v>
      </c>
      <c r="E1413" s="54"/>
      <c r="F1413" s="9"/>
      <c r="G1413" s="9">
        <v>1</v>
      </c>
      <c r="H1413" s="9">
        <v>0</v>
      </c>
      <c r="I1413" s="9">
        <v>0</v>
      </c>
      <c r="J1413" s="9">
        <v>0</v>
      </c>
      <c r="K1413" s="9">
        <v>0</v>
      </c>
      <c r="L1413" s="9">
        <v>0</v>
      </c>
      <c r="M1413" s="9">
        <v>0</v>
      </c>
      <c r="N1413" s="9">
        <v>0</v>
      </c>
      <c r="O1413" s="9">
        <v>0</v>
      </c>
      <c r="P1413" s="9">
        <v>0</v>
      </c>
      <c r="Q1413" s="9">
        <v>0</v>
      </c>
      <c r="R1413" s="9">
        <v>0</v>
      </c>
      <c r="S1413" s="9">
        <v>0</v>
      </c>
      <c r="T1413" s="9">
        <v>0</v>
      </c>
      <c r="U1413" s="9">
        <v>0</v>
      </c>
      <c r="V1413" s="9">
        <v>0</v>
      </c>
      <c r="W1413" s="9">
        <v>0</v>
      </c>
      <c r="X1413" s="9">
        <v>0</v>
      </c>
      <c r="Y1413" s="9">
        <v>0</v>
      </c>
      <c r="Z1413" s="9">
        <v>0</v>
      </c>
      <c r="AA1413" s="9">
        <v>0</v>
      </c>
      <c r="AB1413" s="9">
        <v>0</v>
      </c>
      <c r="AC1413" s="9">
        <v>0</v>
      </c>
      <c r="AD1413" s="53" t="e">
        <f>#REF!*D1413</f>
        <v>#REF!</v>
      </c>
      <c r="AE1413" s="53" t="e">
        <f>AD1413-#REF!</f>
        <v>#REF!</v>
      </c>
      <c r="AF1413" s="9"/>
      <c r="AG1413" s="33" t="e">
        <f>#REF!-D1413</f>
        <v>#REF!</v>
      </c>
    </row>
    <row r="1414" spans="1:37" s="16" customFormat="1" ht="11.4" outlineLevel="1" x14ac:dyDescent="0.2">
      <c r="A1414" s="62" t="s">
        <v>3242</v>
      </c>
      <c r="B1414" s="14" t="s">
        <v>2436</v>
      </c>
      <c r="C1414" s="9" t="s">
        <v>20</v>
      </c>
      <c r="D1414" s="25">
        <f t="shared" si="339"/>
        <v>1</v>
      </c>
      <c r="E1414" s="54"/>
      <c r="F1414" s="9"/>
      <c r="G1414" s="9">
        <v>1</v>
      </c>
      <c r="H1414" s="9">
        <v>0</v>
      </c>
      <c r="I1414" s="9">
        <v>0</v>
      </c>
      <c r="J1414" s="9">
        <v>0</v>
      </c>
      <c r="K1414" s="9">
        <v>0</v>
      </c>
      <c r="L1414" s="9">
        <v>0</v>
      </c>
      <c r="M1414" s="9">
        <v>0</v>
      </c>
      <c r="N1414" s="9">
        <v>0</v>
      </c>
      <c r="O1414" s="9">
        <v>0</v>
      </c>
      <c r="P1414" s="9">
        <v>0</v>
      </c>
      <c r="Q1414" s="9">
        <v>0</v>
      </c>
      <c r="R1414" s="9">
        <v>0</v>
      </c>
      <c r="S1414" s="9">
        <v>0</v>
      </c>
      <c r="T1414" s="9">
        <v>0</v>
      </c>
      <c r="U1414" s="9">
        <v>0</v>
      </c>
      <c r="V1414" s="9">
        <v>0</v>
      </c>
      <c r="W1414" s="9">
        <v>0</v>
      </c>
      <c r="X1414" s="9">
        <v>0</v>
      </c>
      <c r="Y1414" s="9">
        <v>0</v>
      </c>
      <c r="Z1414" s="9">
        <v>0</v>
      </c>
      <c r="AA1414" s="9">
        <v>0</v>
      </c>
      <c r="AB1414" s="9">
        <v>0</v>
      </c>
      <c r="AC1414" s="9">
        <v>0</v>
      </c>
      <c r="AD1414" s="53" t="e">
        <f>#REF!*D1414</f>
        <v>#REF!</v>
      </c>
      <c r="AE1414" s="53" t="e">
        <f>AD1414-#REF!</f>
        <v>#REF!</v>
      </c>
      <c r="AF1414" s="9"/>
      <c r="AG1414" s="33" t="e">
        <f>#REF!-D1414</f>
        <v>#REF!</v>
      </c>
    </row>
    <row r="1415" spans="1:37" s="16" customFormat="1" ht="11.25" customHeight="1" outlineLevel="1" x14ac:dyDescent="0.2">
      <c r="A1415" s="62" t="s">
        <v>3243</v>
      </c>
      <c r="B1415" s="14" t="s">
        <v>2437</v>
      </c>
      <c r="C1415" s="9" t="s">
        <v>20</v>
      </c>
      <c r="D1415" s="25">
        <f t="shared" si="339"/>
        <v>1</v>
      </c>
      <c r="E1415" s="54"/>
      <c r="F1415" s="9"/>
      <c r="G1415" s="9">
        <v>1</v>
      </c>
      <c r="H1415" s="9">
        <v>0</v>
      </c>
      <c r="I1415" s="9">
        <v>0</v>
      </c>
      <c r="J1415" s="9">
        <v>0</v>
      </c>
      <c r="K1415" s="9">
        <v>0</v>
      </c>
      <c r="L1415" s="9">
        <v>0</v>
      </c>
      <c r="M1415" s="9">
        <v>0</v>
      </c>
      <c r="N1415" s="9">
        <v>0</v>
      </c>
      <c r="O1415" s="9">
        <v>0</v>
      </c>
      <c r="P1415" s="9">
        <v>0</v>
      </c>
      <c r="Q1415" s="9">
        <v>0</v>
      </c>
      <c r="R1415" s="9">
        <v>0</v>
      </c>
      <c r="S1415" s="9">
        <v>0</v>
      </c>
      <c r="T1415" s="9">
        <v>0</v>
      </c>
      <c r="U1415" s="9">
        <v>0</v>
      </c>
      <c r="V1415" s="9">
        <v>0</v>
      </c>
      <c r="W1415" s="9">
        <v>0</v>
      </c>
      <c r="X1415" s="9">
        <v>0</v>
      </c>
      <c r="Y1415" s="9">
        <v>0</v>
      </c>
      <c r="Z1415" s="9">
        <v>0</v>
      </c>
      <c r="AA1415" s="9">
        <v>0</v>
      </c>
      <c r="AB1415" s="9">
        <v>0</v>
      </c>
      <c r="AC1415" s="9">
        <v>0</v>
      </c>
      <c r="AD1415" s="53" t="e">
        <f>#REF!*D1415</f>
        <v>#REF!</v>
      </c>
      <c r="AE1415" s="53" t="e">
        <f>AD1415-#REF!</f>
        <v>#REF!</v>
      </c>
      <c r="AF1415" s="9"/>
      <c r="AG1415" s="33" t="e">
        <f>#REF!-D1415</f>
        <v>#REF!</v>
      </c>
    </row>
    <row r="1416" spans="1:37" s="16" customFormat="1" ht="20.399999999999999" outlineLevel="1" x14ac:dyDescent="0.2">
      <c r="A1416" s="62" t="s">
        <v>3244</v>
      </c>
      <c r="B1416" s="63" t="s">
        <v>2953</v>
      </c>
      <c r="C1416" s="9" t="s">
        <v>48</v>
      </c>
      <c r="D1416" s="25">
        <f t="shared" si="339"/>
        <v>420</v>
      </c>
      <c r="E1416" s="54"/>
      <c r="F1416" s="9"/>
      <c r="G1416" s="9">
        <f>70*6</f>
        <v>420</v>
      </c>
      <c r="H1416" s="9">
        <v>0</v>
      </c>
      <c r="I1416" s="9">
        <v>0</v>
      </c>
      <c r="J1416" s="9">
        <v>0</v>
      </c>
      <c r="K1416" s="9">
        <v>0</v>
      </c>
      <c r="L1416" s="9">
        <v>0</v>
      </c>
      <c r="M1416" s="9">
        <v>0</v>
      </c>
      <c r="N1416" s="9">
        <v>0</v>
      </c>
      <c r="O1416" s="9">
        <v>0</v>
      </c>
      <c r="P1416" s="9">
        <v>0</v>
      </c>
      <c r="Q1416" s="9">
        <v>0</v>
      </c>
      <c r="R1416" s="9">
        <v>0</v>
      </c>
      <c r="S1416" s="9">
        <v>0</v>
      </c>
      <c r="T1416" s="9">
        <v>0</v>
      </c>
      <c r="U1416" s="9">
        <v>0</v>
      </c>
      <c r="V1416" s="9">
        <v>0</v>
      </c>
      <c r="W1416" s="9">
        <v>0</v>
      </c>
      <c r="X1416" s="9">
        <v>0</v>
      </c>
      <c r="Y1416" s="9">
        <v>0</v>
      </c>
      <c r="Z1416" s="9">
        <v>0</v>
      </c>
      <c r="AA1416" s="9">
        <v>0</v>
      </c>
      <c r="AB1416" s="9">
        <v>0</v>
      </c>
      <c r="AC1416" s="9">
        <v>0</v>
      </c>
      <c r="AD1416" s="53" t="e">
        <f>#REF!*D1416</f>
        <v>#REF!</v>
      </c>
      <c r="AE1416" s="53" t="e">
        <f>AD1416-#REF!</f>
        <v>#REF!</v>
      </c>
      <c r="AF1416" s="9"/>
      <c r="AG1416" s="33" t="e">
        <f>#REF!-D1416</f>
        <v>#REF!</v>
      </c>
    </row>
    <row r="1417" spans="1:37" s="16" customFormat="1" ht="20.399999999999999" outlineLevel="1" x14ac:dyDescent="0.2">
      <c r="A1417" s="62" t="s">
        <v>3245</v>
      </c>
      <c r="B1417" s="14" t="s">
        <v>2954</v>
      </c>
      <c r="C1417" s="9" t="s">
        <v>48</v>
      </c>
      <c r="D1417" s="25">
        <f t="shared" si="339"/>
        <v>90</v>
      </c>
      <c r="E1417" s="54"/>
      <c r="F1417" s="9"/>
      <c r="G1417" s="9">
        <f>15*6</f>
        <v>90</v>
      </c>
      <c r="H1417" s="9">
        <v>0</v>
      </c>
      <c r="I1417" s="9">
        <v>0</v>
      </c>
      <c r="J1417" s="9">
        <v>0</v>
      </c>
      <c r="K1417" s="9">
        <v>0</v>
      </c>
      <c r="L1417" s="9">
        <v>0</v>
      </c>
      <c r="M1417" s="9">
        <v>0</v>
      </c>
      <c r="N1417" s="9">
        <v>0</v>
      </c>
      <c r="O1417" s="9">
        <v>0</v>
      </c>
      <c r="P1417" s="9">
        <v>0</v>
      </c>
      <c r="Q1417" s="9">
        <v>0</v>
      </c>
      <c r="R1417" s="9">
        <v>0</v>
      </c>
      <c r="S1417" s="9">
        <v>0</v>
      </c>
      <c r="T1417" s="9">
        <v>0</v>
      </c>
      <c r="U1417" s="9">
        <v>0</v>
      </c>
      <c r="V1417" s="9">
        <v>0</v>
      </c>
      <c r="W1417" s="9">
        <v>0</v>
      </c>
      <c r="X1417" s="9">
        <v>0</v>
      </c>
      <c r="Y1417" s="9">
        <v>0</v>
      </c>
      <c r="Z1417" s="9">
        <v>0</v>
      </c>
      <c r="AA1417" s="9">
        <v>0</v>
      </c>
      <c r="AB1417" s="9">
        <v>0</v>
      </c>
      <c r="AC1417" s="9">
        <v>0</v>
      </c>
      <c r="AD1417" s="53" t="e">
        <f>#REF!*D1417</f>
        <v>#REF!</v>
      </c>
      <c r="AE1417" s="53" t="e">
        <f>AD1417-#REF!</f>
        <v>#REF!</v>
      </c>
      <c r="AF1417" s="9"/>
      <c r="AG1417" s="33" t="e">
        <f>#REF!-D1417</f>
        <v>#REF!</v>
      </c>
    </row>
    <row r="1418" spans="1:37" s="16" customFormat="1" ht="20.399999999999999" outlineLevel="1" x14ac:dyDescent="0.2">
      <c r="A1418" s="62" t="s">
        <v>3246</v>
      </c>
      <c r="B1418" s="14" t="s">
        <v>2955</v>
      </c>
      <c r="C1418" s="9" t="s">
        <v>48</v>
      </c>
      <c r="D1418" s="25">
        <f t="shared" si="339"/>
        <v>36</v>
      </c>
      <c r="E1418" s="54"/>
      <c r="F1418" s="9"/>
      <c r="G1418" s="9">
        <f>6*6</f>
        <v>36</v>
      </c>
      <c r="H1418" s="9">
        <v>0</v>
      </c>
      <c r="I1418" s="9">
        <v>0</v>
      </c>
      <c r="J1418" s="9">
        <v>0</v>
      </c>
      <c r="K1418" s="9">
        <v>0</v>
      </c>
      <c r="L1418" s="9">
        <v>0</v>
      </c>
      <c r="M1418" s="9">
        <v>0</v>
      </c>
      <c r="N1418" s="9">
        <v>0</v>
      </c>
      <c r="O1418" s="9">
        <v>0</v>
      </c>
      <c r="P1418" s="9">
        <v>0</v>
      </c>
      <c r="Q1418" s="9">
        <v>0</v>
      </c>
      <c r="R1418" s="9">
        <v>0</v>
      </c>
      <c r="S1418" s="9">
        <v>0</v>
      </c>
      <c r="T1418" s="9">
        <v>0</v>
      </c>
      <c r="U1418" s="9">
        <v>0</v>
      </c>
      <c r="V1418" s="9">
        <v>0</v>
      </c>
      <c r="W1418" s="9">
        <v>0</v>
      </c>
      <c r="X1418" s="9">
        <v>0</v>
      </c>
      <c r="Y1418" s="9">
        <v>0</v>
      </c>
      <c r="Z1418" s="9">
        <v>0</v>
      </c>
      <c r="AA1418" s="9">
        <v>0</v>
      </c>
      <c r="AB1418" s="9">
        <v>0</v>
      </c>
      <c r="AC1418" s="9">
        <v>0</v>
      </c>
      <c r="AD1418" s="53" t="e">
        <f>#REF!*D1418</f>
        <v>#REF!</v>
      </c>
      <c r="AE1418" s="53" t="e">
        <f>AD1418-#REF!</f>
        <v>#REF!</v>
      </c>
      <c r="AF1418" s="9"/>
      <c r="AG1418" s="33" t="e">
        <f>#REF!-D1418</f>
        <v>#REF!</v>
      </c>
    </row>
    <row r="1419" spans="1:37" s="16" customFormat="1" ht="20.399999999999999" outlineLevel="1" x14ac:dyDescent="0.2">
      <c r="A1419" s="62" t="s">
        <v>3247</v>
      </c>
      <c r="B1419" s="14" t="s">
        <v>2956</v>
      </c>
      <c r="C1419" s="9" t="s">
        <v>48</v>
      </c>
      <c r="D1419" s="25">
        <f t="shared" si="339"/>
        <v>390</v>
      </c>
      <c r="E1419" s="54"/>
      <c r="F1419" s="9"/>
      <c r="G1419" s="9">
        <f>65*6</f>
        <v>390</v>
      </c>
      <c r="H1419" s="9">
        <v>0</v>
      </c>
      <c r="I1419" s="9">
        <v>0</v>
      </c>
      <c r="J1419" s="9">
        <v>0</v>
      </c>
      <c r="K1419" s="9">
        <v>0</v>
      </c>
      <c r="L1419" s="9">
        <v>0</v>
      </c>
      <c r="M1419" s="9">
        <v>0</v>
      </c>
      <c r="N1419" s="9">
        <v>0</v>
      </c>
      <c r="O1419" s="9">
        <v>0</v>
      </c>
      <c r="P1419" s="9">
        <v>0</v>
      </c>
      <c r="Q1419" s="9">
        <v>0</v>
      </c>
      <c r="R1419" s="9">
        <v>0</v>
      </c>
      <c r="S1419" s="9">
        <v>0</v>
      </c>
      <c r="T1419" s="9">
        <v>0</v>
      </c>
      <c r="U1419" s="9">
        <v>0</v>
      </c>
      <c r="V1419" s="9">
        <v>0</v>
      </c>
      <c r="W1419" s="9">
        <v>0</v>
      </c>
      <c r="X1419" s="9">
        <v>0</v>
      </c>
      <c r="Y1419" s="9">
        <v>0</v>
      </c>
      <c r="Z1419" s="9">
        <v>0</v>
      </c>
      <c r="AA1419" s="9">
        <v>0</v>
      </c>
      <c r="AB1419" s="9">
        <v>0</v>
      </c>
      <c r="AC1419" s="9">
        <v>0</v>
      </c>
      <c r="AD1419" s="53" t="e">
        <f>#REF!*D1419</f>
        <v>#REF!</v>
      </c>
      <c r="AE1419" s="53" t="e">
        <f>AD1419-#REF!</f>
        <v>#REF!</v>
      </c>
      <c r="AF1419" s="9"/>
      <c r="AG1419" s="33" t="e">
        <f>#REF!-D1419</f>
        <v>#REF!</v>
      </c>
    </row>
    <row r="1420" spans="1:37" s="16" customFormat="1" ht="20.399999999999999" outlineLevel="1" x14ac:dyDescent="0.2">
      <c r="A1420" s="62" t="s">
        <v>3248</v>
      </c>
      <c r="B1420" s="47" t="s">
        <v>482</v>
      </c>
      <c r="C1420" s="9" t="s">
        <v>48</v>
      </c>
      <c r="D1420" s="25">
        <f>SUM(G1420:AC1420)*3</f>
        <v>144</v>
      </c>
      <c r="E1420" s="54"/>
      <c r="F1420" s="9"/>
      <c r="G1420" s="9">
        <v>48</v>
      </c>
      <c r="H1420" s="9">
        <v>0</v>
      </c>
      <c r="I1420" s="9">
        <v>0</v>
      </c>
      <c r="J1420" s="9">
        <v>0</v>
      </c>
      <c r="K1420" s="9">
        <v>0</v>
      </c>
      <c r="L1420" s="9">
        <v>0</v>
      </c>
      <c r="M1420" s="9">
        <v>0</v>
      </c>
      <c r="N1420" s="9">
        <v>0</v>
      </c>
      <c r="O1420" s="9">
        <v>0</v>
      </c>
      <c r="P1420" s="9">
        <v>0</v>
      </c>
      <c r="Q1420" s="9">
        <v>0</v>
      </c>
      <c r="R1420" s="9">
        <v>0</v>
      </c>
      <c r="S1420" s="9">
        <v>0</v>
      </c>
      <c r="T1420" s="9">
        <v>0</v>
      </c>
      <c r="U1420" s="9">
        <v>0</v>
      </c>
      <c r="V1420" s="9">
        <v>0</v>
      </c>
      <c r="W1420" s="9">
        <v>0</v>
      </c>
      <c r="X1420" s="9">
        <v>0</v>
      </c>
      <c r="Y1420" s="9">
        <v>0</v>
      </c>
      <c r="Z1420" s="9">
        <v>0</v>
      </c>
      <c r="AA1420" s="9">
        <v>0</v>
      </c>
      <c r="AB1420" s="9">
        <v>0</v>
      </c>
      <c r="AC1420" s="9">
        <v>0</v>
      </c>
      <c r="AD1420" s="53" t="e">
        <f>#REF!*D1420</f>
        <v>#REF!</v>
      </c>
      <c r="AE1420" s="53" t="e">
        <f>AD1420-#REF!</f>
        <v>#REF!</v>
      </c>
      <c r="AF1420" s="9"/>
      <c r="AG1420" s="33" t="e">
        <f>#REF!-D1420</f>
        <v>#REF!</v>
      </c>
    </row>
    <row r="1421" spans="1:37" s="16" customFormat="1" ht="31.8" outlineLevel="1" x14ac:dyDescent="0.2">
      <c r="A1421" s="62" t="s">
        <v>3249</v>
      </c>
      <c r="B1421" s="14" t="s">
        <v>1059</v>
      </c>
      <c r="C1421" s="9" t="s">
        <v>48</v>
      </c>
      <c r="D1421" s="25">
        <f>SUM(G1421:AC1421)</f>
        <v>450</v>
      </c>
      <c r="E1421" s="54"/>
      <c r="F1421" s="9"/>
      <c r="G1421" s="9">
        <v>450</v>
      </c>
      <c r="H1421" s="9">
        <v>0</v>
      </c>
      <c r="I1421" s="9">
        <v>0</v>
      </c>
      <c r="J1421" s="9">
        <v>0</v>
      </c>
      <c r="K1421" s="9">
        <v>0</v>
      </c>
      <c r="L1421" s="9">
        <v>0</v>
      </c>
      <c r="M1421" s="9">
        <v>0</v>
      </c>
      <c r="N1421" s="9">
        <v>0</v>
      </c>
      <c r="O1421" s="9">
        <v>0</v>
      </c>
      <c r="P1421" s="9">
        <v>0</v>
      </c>
      <c r="Q1421" s="9">
        <v>0</v>
      </c>
      <c r="R1421" s="9">
        <v>0</v>
      </c>
      <c r="S1421" s="9">
        <v>0</v>
      </c>
      <c r="T1421" s="9">
        <v>0</v>
      </c>
      <c r="U1421" s="9">
        <v>0</v>
      </c>
      <c r="V1421" s="9">
        <v>0</v>
      </c>
      <c r="W1421" s="9">
        <v>0</v>
      </c>
      <c r="X1421" s="9">
        <v>0</v>
      </c>
      <c r="Y1421" s="9">
        <v>0</v>
      </c>
      <c r="Z1421" s="9">
        <v>0</v>
      </c>
      <c r="AA1421" s="9">
        <v>0</v>
      </c>
      <c r="AB1421" s="9">
        <v>0</v>
      </c>
      <c r="AC1421" s="9">
        <v>0</v>
      </c>
      <c r="AD1421" s="53" t="e">
        <f>#REF!*D1421</f>
        <v>#REF!</v>
      </c>
      <c r="AE1421" s="53" t="e">
        <f>AD1421-#REF!</f>
        <v>#REF!</v>
      </c>
      <c r="AF1421" s="9"/>
      <c r="AG1421" s="33" t="e">
        <f>#REF!-D1421</f>
        <v>#REF!</v>
      </c>
    </row>
    <row r="1422" spans="1:37" x14ac:dyDescent="0.25">
      <c r="AD1422" s="53" t="e">
        <f>#REF!*D1422</f>
        <v>#REF!</v>
      </c>
      <c r="AE1422" s="53" t="e">
        <f>AD1422-#REF!</f>
        <v>#REF!</v>
      </c>
      <c r="AG1422" s="33" t="e">
        <f>#REF!-D1422</f>
        <v>#REF!</v>
      </c>
    </row>
    <row r="1423" spans="1:37" x14ac:dyDescent="0.25">
      <c r="A1423" s="58">
        <v>8</v>
      </c>
      <c r="B1423" s="59" t="s">
        <v>1640</v>
      </c>
      <c r="C1423" s="58" t="s">
        <v>41</v>
      </c>
      <c r="D1423" s="60" t="e">
        <f>#REF!/#REF!*100</f>
        <v>#REF!</v>
      </c>
      <c r="E1423" s="200" t="s">
        <v>2806</v>
      </c>
      <c r="G1423" s="9"/>
      <c r="H1423" s="76"/>
      <c r="I1423" s="76"/>
      <c r="J1423" s="76"/>
      <c r="K1423" s="76"/>
      <c r="L1423" s="76"/>
      <c r="M1423" s="76"/>
      <c r="N1423" s="76"/>
      <c r="O1423" s="76"/>
      <c r="P1423" s="76"/>
      <c r="Q1423" s="76"/>
      <c r="R1423" s="76"/>
      <c r="S1423" s="76"/>
      <c r="T1423" s="76"/>
      <c r="U1423" s="76"/>
      <c r="V1423" s="76"/>
      <c r="W1423" s="76"/>
      <c r="X1423" s="76"/>
      <c r="Y1423" s="76"/>
      <c r="Z1423" s="76"/>
      <c r="AA1423" s="76"/>
      <c r="AB1423" s="76"/>
      <c r="AC1423" s="76"/>
      <c r="AD1423" s="53" t="e">
        <f>#REF!*D1423</f>
        <v>#REF!</v>
      </c>
      <c r="AE1423" s="53" t="e">
        <f>AD1423-#REF!</f>
        <v>#REF!</v>
      </c>
      <c r="AG1423" s="33" t="e">
        <f>#REF!-D1423</f>
        <v>#REF!</v>
      </c>
    </row>
    <row r="1424" spans="1:37" x14ac:dyDescent="0.25">
      <c r="A1424" s="18" t="s">
        <v>508</v>
      </c>
      <c r="B1424" s="35" t="s">
        <v>1652</v>
      </c>
      <c r="C1424" s="18" t="s">
        <v>41</v>
      </c>
      <c r="D1424" s="52" t="e">
        <f>#REF!/#REF!*100</f>
        <v>#REF!</v>
      </c>
      <c r="G1424" s="9"/>
      <c r="H1424" s="81"/>
      <c r="I1424" s="81"/>
      <c r="J1424" s="76"/>
      <c r="K1424" s="76"/>
      <c r="L1424" s="76"/>
      <c r="M1424" s="9"/>
      <c r="N1424" s="81"/>
      <c r="O1424" s="76"/>
      <c r="P1424" s="76"/>
      <c r="Q1424" s="76"/>
      <c r="R1424" s="9"/>
      <c r="S1424" s="9"/>
      <c r="T1424" s="9"/>
      <c r="U1424" s="81"/>
      <c r="V1424" s="81"/>
      <c r="W1424" s="76"/>
      <c r="X1424" s="76"/>
      <c r="Y1424" s="76"/>
      <c r="Z1424" s="9"/>
      <c r="AA1424" s="81"/>
      <c r="AB1424" s="214" t="s">
        <v>375</v>
      </c>
      <c r="AC1424" s="9"/>
      <c r="AD1424" s="53" t="e">
        <f>#REF!*D1424</f>
        <v>#REF!</v>
      </c>
      <c r="AE1424" s="53" t="e">
        <f>AD1424-#REF!</f>
        <v>#REF!</v>
      </c>
      <c r="AG1424" s="33" t="e">
        <f>#REF!-D1424</f>
        <v>#REF!</v>
      </c>
      <c r="AH1424" s="2"/>
      <c r="AI1424" s="2"/>
      <c r="AJ1424" s="2"/>
      <c r="AK1424" s="2"/>
    </row>
    <row r="1425" spans="1:33" s="12" customFormat="1" ht="20.399999999999999" outlineLevel="1" x14ac:dyDescent="0.2">
      <c r="A1425" s="62" t="s">
        <v>1657</v>
      </c>
      <c r="B1425" s="47" t="s">
        <v>77</v>
      </c>
      <c r="C1425" s="8" t="s">
        <v>48</v>
      </c>
      <c r="D1425" s="25">
        <f>SUM(G1425:AC1425)*6</f>
        <v>2004</v>
      </c>
      <c r="E1425" s="54"/>
      <c r="F1425" s="78"/>
      <c r="G1425" s="9">
        <v>0</v>
      </c>
      <c r="H1425" s="9">
        <f>33-10</f>
        <v>23</v>
      </c>
      <c r="I1425" s="9">
        <v>10</v>
      </c>
      <c r="J1425" s="9">
        <f>41-12</f>
        <v>29</v>
      </c>
      <c r="K1425" s="9">
        <v>23</v>
      </c>
      <c r="L1425" s="9">
        <f>44-15</f>
        <v>29</v>
      </c>
      <c r="M1425" s="9">
        <v>28</v>
      </c>
      <c r="N1425" s="9">
        <v>28</v>
      </c>
      <c r="O1425" s="9">
        <v>31</v>
      </c>
      <c r="P1425" s="9">
        <v>28</v>
      </c>
      <c r="Q1425" s="9">
        <v>6</v>
      </c>
      <c r="R1425" s="9">
        <v>0</v>
      </c>
      <c r="S1425" s="9">
        <v>0</v>
      </c>
      <c r="T1425" s="9">
        <v>0</v>
      </c>
      <c r="U1425" s="9">
        <v>10</v>
      </c>
      <c r="V1425" s="9">
        <v>3</v>
      </c>
      <c r="W1425" s="9">
        <v>12</v>
      </c>
      <c r="X1425" s="9">
        <v>21</v>
      </c>
      <c r="Y1425" s="9">
        <v>15</v>
      </c>
      <c r="Z1425" s="9">
        <v>21</v>
      </c>
      <c r="AA1425" s="9">
        <v>15</v>
      </c>
      <c r="AB1425" s="9">
        <v>2</v>
      </c>
      <c r="AC1425" s="9">
        <v>0</v>
      </c>
      <c r="AD1425" s="53" t="e">
        <f>#REF!*D1425</f>
        <v>#REF!</v>
      </c>
      <c r="AE1425" s="53" t="e">
        <f>AD1425-#REF!</f>
        <v>#REF!</v>
      </c>
      <c r="AF1425" s="8"/>
      <c r="AG1425" s="33" t="e">
        <f>#REF!-D1425</f>
        <v>#REF!</v>
      </c>
    </row>
    <row r="1426" spans="1:33" s="12" customFormat="1" ht="12" customHeight="1" outlineLevel="1" x14ac:dyDescent="0.2">
      <c r="A1426" s="62" t="s">
        <v>1658</v>
      </c>
      <c r="B1426" s="11" t="s">
        <v>346</v>
      </c>
      <c r="C1426" s="8" t="s">
        <v>47</v>
      </c>
      <c r="D1426" s="25">
        <f t="shared" ref="D1426:D1434" si="342">SUM(G1426:AC1426)</f>
        <v>1623</v>
      </c>
      <c r="E1426" s="54"/>
      <c r="F1426" s="9"/>
      <c r="G1426" s="49">
        <f t="shared" ref="G1426:AC1426" si="343">G1425+G1429+G1430</f>
        <v>0</v>
      </c>
      <c r="H1426" s="49">
        <f t="shared" si="343"/>
        <v>107</v>
      </c>
      <c r="I1426" s="49">
        <f t="shared" si="343"/>
        <v>59</v>
      </c>
      <c r="J1426" s="49">
        <f t="shared" si="343"/>
        <v>146</v>
      </c>
      <c r="K1426" s="49">
        <f t="shared" si="343"/>
        <v>73</v>
      </c>
      <c r="L1426" s="49">
        <f t="shared" si="343"/>
        <v>164</v>
      </c>
      <c r="M1426" s="49">
        <f t="shared" si="343"/>
        <v>147</v>
      </c>
      <c r="N1426" s="49">
        <f t="shared" si="343"/>
        <v>147</v>
      </c>
      <c r="O1426" s="49">
        <f t="shared" si="343"/>
        <v>161</v>
      </c>
      <c r="P1426" s="49">
        <f t="shared" si="343"/>
        <v>147</v>
      </c>
      <c r="Q1426" s="49">
        <f t="shared" si="343"/>
        <v>51</v>
      </c>
      <c r="R1426" s="49">
        <f t="shared" si="343"/>
        <v>0</v>
      </c>
      <c r="S1426" s="49">
        <f t="shared" si="343"/>
        <v>0</v>
      </c>
      <c r="T1426" s="49">
        <f t="shared" si="343"/>
        <v>0</v>
      </c>
      <c r="U1426" s="49">
        <f t="shared" si="343"/>
        <v>46</v>
      </c>
      <c r="V1426" s="49">
        <f t="shared" si="343"/>
        <v>17</v>
      </c>
      <c r="W1426" s="49">
        <f t="shared" si="343"/>
        <v>40</v>
      </c>
      <c r="X1426" s="49">
        <f t="shared" si="343"/>
        <v>69</v>
      </c>
      <c r="Y1426" s="49">
        <f t="shared" si="343"/>
        <v>87</v>
      </c>
      <c r="Z1426" s="49">
        <f t="shared" si="343"/>
        <v>69</v>
      </c>
      <c r="AA1426" s="49">
        <f t="shared" si="343"/>
        <v>87</v>
      </c>
      <c r="AB1426" s="49">
        <f t="shared" si="343"/>
        <v>6</v>
      </c>
      <c r="AC1426" s="49">
        <f t="shared" si="343"/>
        <v>0</v>
      </c>
      <c r="AD1426" s="53" t="e">
        <f>#REF!*D1426</f>
        <v>#REF!</v>
      </c>
      <c r="AE1426" s="53" t="e">
        <f>AD1426-#REF!</f>
        <v>#REF!</v>
      </c>
      <c r="AF1426" s="8"/>
      <c r="AG1426" s="33" t="e">
        <f>#REF!-D1426</f>
        <v>#REF!</v>
      </c>
    </row>
    <row r="1427" spans="1:33" s="12" customFormat="1" ht="12" customHeight="1" outlineLevel="1" x14ac:dyDescent="0.2">
      <c r="A1427" s="62" t="s">
        <v>1659</v>
      </c>
      <c r="B1427" s="47" t="s">
        <v>1979</v>
      </c>
      <c r="C1427" s="8" t="s">
        <v>47</v>
      </c>
      <c r="D1427" s="25">
        <f t="shared" si="342"/>
        <v>12</v>
      </c>
      <c r="E1427" s="54"/>
      <c r="F1427" s="9"/>
      <c r="G1427" s="49">
        <f t="shared" ref="G1427:AC1427" si="344">G1345</f>
        <v>0</v>
      </c>
      <c r="H1427" s="49">
        <f t="shared" si="344"/>
        <v>0</v>
      </c>
      <c r="I1427" s="49">
        <f t="shared" si="344"/>
        <v>0</v>
      </c>
      <c r="J1427" s="49">
        <f t="shared" si="344"/>
        <v>0</v>
      </c>
      <c r="K1427" s="49">
        <f t="shared" si="344"/>
        <v>0</v>
      </c>
      <c r="L1427" s="49">
        <f t="shared" si="344"/>
        <v>2</v>
      </c>
      <c r="M1427" s="49">
        <f t="shared" si="344"/>
        <v>2</v>
      </c>
      <c r="N1427" s="49">
        <f t="shared" si="344"/>
        <v>2</v>
      </c>
      <c r="O1427" s="49">
        <f t="shared" si="344"/>
        <v>4</v>
      </c>
      <c r="P1427" s="49">
        <f t="shared" si="344"/>
        <v>2</v>
      </c>
      <c r="Q1427" s="49">
        <f t="shared" si="344"/>
        <v>0</v>
      </c>
      <c r="R1427" s="49">
        <f t="shared" si="344"/>
        <v>0</v>
      </c>
      <c r="S1427" s="49">
        <f t="shared" si="344"/>
        <v>0</v>
      </c>
      <c r="T1427" s="49">
        <f t="shared" si="344"/>
        <v>0</v>
      </c>
      <c r="U1427" s="49">
        <f t="shared" si="344"/>
        <v>0</v>
      </c>
      <c r="V1427" s="49">
        <f t="shared" si="344"/>
        <v>0</v>
      </c>
      <c r="W1427" s="49">
        <f t="shared" si="344"/>
        <v>0</v>
      </c>
      <c r="X1427" s="49">
        <f t="shared" si="344"/>
        <v>0</v>
      </c>
      <c r="Y1427" s="49">
        <f t="shared" si="344"/>
        <v>0</v>
      </c>
      <c r="Z1427" s="49">
        <f t="shared" si="344"/>
        <v>0</v>
      </c>
      <c r="AA1427" s="49">
        <f t="shared" si="344"/>
        <v>0</v>
      </c>
      <c r="AB1427" s="49">
        <f t="shared" si="344"/>
        <v>0</v>
      </c>
      <c r="AC1427" s="49">
        <f t="shared" si="344"/>
        <v>0</v>
      </c>
      <c r="AD1427" s="53" t="e">
        <f>#REF!*D1427</f>
        <v>#REF!</v>
      </c>
      <c r="AE1427" s="53" t="e">
        <f>AD1427-#REF!</f>
        <v>#REF!</v>
      </c>
      <c r="AF1427" s="8"/>
      <c r="AG1427" s="33" t="e">
        <f>#REF!-D1427</f>
        <v>#REF!</v>
      </c>
    </row>
    <row r="1428" spans="1:33" s="12" customFormat="1" ht="21.6" outlineLevel="1" x14ac:dyDescent="0.2">
      <c r="A1428" s="62" t="s">
        <v>1660</v>
      </c>
      <c r="B1428" s="47" t="s">
        <v>161</v>
      </c>
      <c r="C1428" s="8" t="s">
        <v>47</v>
      </c>
      <c r="D1428" s="25">
        <f t="shared" si="342"/>
        <v>496</v>
      </c>
      <c r="E1428" s="54"/>
      <c r="F1428" s="9"/>
      <c r="G1428" s="9">
        <v>0</v>
      </c>
      <c r="H1428" s="9">
        <v>40</v>
      </c>
      <c r="I1428" s="9">
        <f>29-5</f>
        <v>24</v>
      </c>
      <c r="J1428" s="9">
        <f>52-11</f>
        <v>41</v>
      </c>
      <c r="K1428" s="9">
        <v>27</v>
      </c>
      <c r="L1428" s="9">
        <f>66-18</f>
        <v>48</v>
      </c>
      <c r="M1428" s="9">
        <v>41</v>
      </c>
      <c r="N1428" s="9">
        <v>41</v>
      </c>
      <c r="O1428" s="9">
        <v>44</v>
      </c>
      <c r="P1428" s="9">
        <v>49</v>
      </c>
      <c r="Q1428" s="9">
        <v>20</v>
      </c>
      <c r="R1428" s="9">
        <v>0</v>
      </c>
      <c r="S1428" s="9">
        <v>0</v>
      </c>
      <c r="T1428" s="9">
        <v>0</v>
      </c>
      <c r="U1428" s="9">
        <v>13</v>
      </c>
      <c r="V1428" s="9">
        <v>5</v>
      </c>
      <c r="W1428" s="9">
        <v>11</v>
      </c>
      <c r="X1428" s="9">
        <v>27</v>
      </c>
      <c r="Y1428" s="9">
        <v>18</v>
      </c>
      <c r="Z1428" s="9">
        <v>27</v>
      </c>
      <c r="AA1428" s="9">
        <v>18</v>
      </c>
      <c r="AB1428" s="9">
        <v>2</v>
      </c>
      <c r="AC1428" s="9">
        <v>0</v>
      </c>
      <c r="AD1428" s="53" t="e">
        <f>#REF!*D1428</f>
        <v>#REF!</v>
      </c>
      <c r="AE1428" s="53" t="e">
        <f>AD1428-#REF!</f>
        <v>#REF!</v>
      </c>
      <c r="AF1428" s="8"/>
      <c r="AG1428" s="33" t="e">
        <f>#REF!-D1428</f>
        <v>#REF!</v>
      </c>
    </row>
    <row r="1429" spans="1:33" s="12" customFormat="1" ht="12" customHeight="1" outlineLevel="1" x14ac:dyDescent="0.2">
      <c r="A1429" s="62" t="s">
        <v>1661</v>
      </c>
      <c r="B1429" s="47" t="s">
        <v>126</v>
      </c>
      <c r="C1429" s="8" t="s">
        <v>47</v>
      </c>
      <c r="D1429" s="25">
        <f t="shared" si="342"/>
        <v>871</v>
      </c>
      <c r="E1429" s="54"/>
      <c r="F1429" s="9"/>
      <c r="G1429" s="9">
        <v>0</v>
      </c>
      <c r="H1429" s="9">
        <f>80-24</f>
        <v>56</v>
      </c>
      <c r="I1429" s="9">
        <v>35</v>
      </c>
      <c r="J1429" s="9">
        <f>100-15</f>
        <v>85</v>
      </c>
      <c r="K1429" s="9">
        <v>33</v>
      </c>
      <c r="L1429" s="9">
        <f>135-47</f>
        <v>88</v>
      </c>
      <c r="M1429" s="9">
        <v>85</v>
      </c>
      <c r="N1429" s="9">
        <v>85</v>
      </c>
      <c r="O1429" s="9">
        <v>90</v>
      </c>
      <c r="P1429" s="9">
        <v>75</v>
      </c>
      <c r="Q1429" s="9">
        <f>20+6+4</f>
        <v>30</v>
      </c>
      <c r="R1429" s="9">
        <v>0</v>
      </c>
      <c r="S1429" s="9">
        <v>0</v>
      </c>
      <c r="T1429" s="9">
        <v>0</v>
      </c>
      <c r="U1429" s="9">
        <v>24</v>
      </c>
      <c r="V1429" s="9">
        <v>10</v>
      </c>
      <c r="W1429" s="9">
        <v>15</v>
      </c>
      <c r="X1429" s="9">
        <v>32</v>
      </c>
      <c r="Y1429" s="9">
        <v>47</v>
      </c>
      <c r="Z1429" s="9">
        <v>32</v>
      </c>
      <c r="AA1429" s="9">
        <v>47</v>
      </c>
      <c r="AB1429" s="9">
        <v>2</v>
      </c>
      <c r="AC1429" s="9">
        <v>0</v>
      </c>
      <c r="AD1429" s="53" t="e">
        <f>#REF!*D1429</f>
        <v>#REF!</v>
      </c>
      <c r="AE1429" s="53" t="e">
        <f>AD1429-#REF!</f>
        <v>#REF!</v>
      </c>
      <c r="AF1429" s="8"/>
      <c r="AG1429" s="33" t="e">
        <f>#REF!-D1429</f>
        <v>#REF!</v>
      </c>
    </row>
    <row r="1430" spans="1:33" s="12" customFormat="1" ht="12" customHeight="1" outlineLevel="1" x14ac:dyDescent="0.2">
      <c r="A1430" s="62" t="s">
        <v>1662</v>
      </c>
      <c r="B1430" s="47" t="s">
        <v>122</v>
      </c>
      <c r="C1430" s="8" t="s">
        <v>47</v>
      </c>
      <c r="D1430" s="25">
        <f t="shared" si="342"/>
        <v>418</v>
      </c>
      <c r="E1430" s="54"/>
      <c r="F1430" s="9"/>
      <c r="G1430" s="9">
        <v>0</v>
      </c>
      <c r="H1430" s="9">
        <f>40-12</f>
        <v>28</v>
      </c>
      <c r="I1430" s="9">
        <v>14</v>
      </c>
      <c r="J1430" s="9">
        <f>45-13</f>
        <v>32</v>
      </c>
      <c r="K1430" s="9">
        <v>17</v>
      </c>
      <c r="L1430" s="9">
        <f>72-25</f>
        <v>47</v>
      </c>
      <c r="M1430" s="9">
        <v>34</v>
      </c>
      <c r="N1430" s="9">
        <v>34</v>
      </c>
      <c r="O1430" s="9">
        <v>40</v>
      </c>
      <c r="P1430" s="9">
        <v>44</v>
      </c>
      <c r="Q1430" s="9">
        <v>15</v>
      </c>
      <c r="R1430" s="9">
        <v>0</v>
      </c>
      <c r="S1430" s="9">
        <v>0</v>
      </c>
      <c r="T1430" s="9">
        <v>0</v>
      </c>
      <c r="U1430" s="9">
        <v>12</v>
      </c>
      <c r="V1430" s="9">
        <v>4</v>
      </c>
      <c r="W1430" s="9">
        <v>13</v>
      </c>
      <c r="X1430" s="9">
        <v>16</v>
      </c>
      <c r="Y1430" s="9">
        <v>25</v>
      </c>
      <c r="Z1430" s="9">
        <v>16</v>
      </c>
      <c r="AA1430" s="9">
        <v>25</v>
      </c>
      <c r="AB1430" s="9">
        <v>2</v>
      </c>
      <c r="AC1430" s="9">
        <v>0</v>
      </c>
      <c r="AD1430" s="53" t="e">
        <f>#REF!*D1430</f>
        <v>#REF!</v>
      </c>
      <c r="AE1430" s="53" t="e">
        <f>AD1430-#REF!</f>
        <v>#REF!</v>
      </c>
      <c r="AF1430" s="8"/>
      <c r="AG1430" s="33" t="e">
        <f>#REF!-D1430</f>
        <v>#REF!</v>
      </c>
    </row>
    <row r="1431" spans="1:33" s="12" customFormat="1" ht="21.6" outlineLevel="1" x14ac:dyDescent="0.2">
      <c r="A1431" s="62" t="s">
        <v>1663</v>
      </c>
      <c r="B1431" s="47" t="s">
        <v>160</v>
      </c>
      <c r="C1431" s="9" t="s">
        <v>47</v>
      </c>
      <c r="D1431" s="25">
        <f t="shared" si="342"/>
        <v>59</v>
      </c>
      <c r="E1431" s="54"/>
      <c r="F1431" s="9"/>
      <c r="G1431" s="9">
        <v>0</v>
      </c>
      <c r="H1431" s="9">
        <v>3</v>
      </c>
      <c r="I1431" s="9">
        <v>2</v>
      </c>
      <c r="J1431" s="9">
        <v>6</v>
      </c>
      <c r="K1431" s="9">
        <v>3</v>
      </c>
      <c r="L1431" s="9">
        <v>6</v>
      </c>
      <c r="M1431" s="9">
        <v>5</v>
      </c>
      <c r="N1431" s="9">
        <v>5</v>
      </c>
      <c r="O1431" s="9">
        <v>8</v>
      </c>
      <c r="P1431" s="9">
        <v>6</v>
      </c>
      <c r="Q1431" s="9">
        <v>0</v>
      </c>
      <c r="R1431" s="9">
        <v>0</v>
      </c>
      <c r="S1431" s="9">
        <v>0</v>
      </c>
      <c r="T1431" s="9">
        <v>0</v>
      </c>
      <c r="U1431" s="9">
        <v>2</v>
      </c>
      <c r="V1431" s="9">
        <v>1</v>
      </c>
      <c r="W1431" s="9">
        <v>2</v>
      </c>
      <c r="X1431" s="9">
        <v>3</v>
      </c>
      <c r="Y1431" s="9">
        <v>2</v>
      </c>
      <c r="Z1431" s="9">
        <v>3</v>
      </c>
      <c r="AA1431" s="9">
        <v>2</v>
      </c>
      <c r="AB1431" s="9">
        <v>0</v>
      </c>
      <c r="AC1431" s="9">
        <v>0</v>
      </c>
      <c r="AD1431" s="53" t="e">
        <f>#REF!*D1431</f>
        <v>#REF!</v>
      </c>
      <c r="AE1431" s="53" t="e">
        <f>AD1431-#REF!</f>
        <v>#REF!</v>
      </c>
      <c r="AF1431" s="8"/>
      <c r="AG1431" s="33" t="e">
        <f>#REF!-D1431</f>
        <v>#REF!</v>
      </c>
    </row>
    <row r="1432" spans="1:33" s="12" customFormat="1" ht="10.199999999999999" outlineLevel="1" x14ac:dyDescent="0.2">
      <c r="A1432" s="62" t="s">
        <v>1664</v>
      </c>
      <c r="B1432" s="47" t="s">
        <v>1810</v>
      </c>
      <c r="C1432" s="8" t="s">
        <v>47</v>
      </c>
      <c r="D1432" s="25">
        <f t="shared" si="342"/>
        <v>49</v>
      </c>
      <c r="E1432" s="54"/>
      <c r="F1432" s="9"/>
      <c r="G1432" s="9">
        <v>0</v>
      </c>
      <c r="H1432" s="9">
        <v>0</v>
      </c>
      <c r="I1432" s="9">
        <v>0</v>
      </c>
      <c r="J1432" s="9">
        <v>3</v>
      </c>
      <c r="K1432" s="9">
        <v>10</v>
      </c>
      <c r="L1432" s="9">
        <v>2</v>
      </c>
      <c r="M1432" s="9">
        <v>0</v>
      </c>
      <c r="N1432" s="9">
        <v>0</v>
      </c>
      <c r="O1432" s="9">
        <v>0</v>
      </c>
      <c r="P1432" s="9">
        <v>11</v>
      </c>
      <c r="Q1432" s="9">
        <v>1</v>
      </c>
      <c r="R1432" s="9">
        <v>0</v>
      </c>
      <c r="S1432" s="9">
        <v>0</v>
      </c>
      <c r="T1432" s="9">
        <v>0</v>
      </c>
      <c r="U1432" s="9">
        <v>0</v>
      </c>
      <c r="V1432" s="9">
        <v>0</v>
      </c>
      <c r="W1432" s="9">
        <v>2</v>
      </c>
      <c r="X1432" s="9">
        <v>9</v>
      </c>
      <c r="Y1432" s="9">
        <v>1</v>
      </c>
      <c r="Z1432" s="9">
        <v>9</v>
      </c>
      <c r="AA1432" s="9">
        <v>1</v>
      </c>
      <c r="AB1432" s="9">
        <v>0</v>
      </c>
      <c r="AC1432" s="9">
        <v>0</v>
      </c>
      <c r="AD1432" s="53" t="e">
        <f>#REF!*D1432</f>
        <v>#REF!</v>
      </c>
      <c r="AE1432" s="53" t="e">
        <f>AD1432-#REF!</f>
        <v>#REF!</v>
      </c>
      <c r="AF1432" s="8"/>
      <c r="AG1432" s="33" t="e">
        <f>#REF!-D1432</f>
        <v>#REF!</v>
      </c>
    </row>
    <row r="1433" spans="1:33" s="12" customFormat="1" ht="20.399999999999999" outlineLevel="1" x14ac:dyDescent="0.2">
      <c r="A1433" s="62" t="s">
        <v>1665</v>
      </c>
      <c r="B1433" s="47" t="s">
        <v>117</v>
      </c>
      <c r="C1433" s="8" t="s">
        <v>47</v>
      </c>
      <c r="D1433" s="25">
        <f t="shared" si="342"/>
        <v>20</v>
      </c>
      <c r="E1433" s="54"/>
      <c r="F1433" s="9"/>
      <c r="G1433" s="49">
        <f t="shared" ref="G1433:AC1433" si="345">G1434</f>
        <v>0</v>
      </c>
      <c r="H1433" s="49">
        <f t="shared" si="345"/>
        <v>12</v>
      </c>
      <c r="I1433" s="49">
        <f t="shared" si="345"/>
        <v>3</v>
      </c>
      <c r="J1433" s="49">
        <f t="shared" si="345"/>
        <v>0</v>
      </c>
      <c r="K1433" s="49">
        <f t="shared" si="345"/>
        <v>0</v>
      </c>
      <c r="L1433" s="49">
        <f t="shared" si="345"/>
        <v>0</v>
      </c>
      <c r="M1433" s="49">
        <f t="shared" si="345"/>
        <v>0</v>
      </c>
      <c r="N1433" s="49">
        <f t="shared" si="345"/>
        <v>0</v>
      </c>
      <c r="O1433" s="49">
        <f t="shared" si="345"/>
        <v>0</v>
      </c>
      <c r="P1433" s="49">
        <f t="shared" si="345"/>
        <v>0</v>
      </c>
      <c r="Q1433" s="49">
        <f t="shared" si="345"/>
        <v>0</v>
      </c>
      <c r="R1433" s="49">
        <f t="shared" si="345"/>
        <v>0</v>
      </c>
      <c r="S1433" s="49">
        <f t="shared" si="345"/>
        <v>0</v>
      </c>
      <c r="T1433" s="49">
        <f t="shared" si="345"/>
        <v>0</v>
      </c>
      <c r="U1433" s="49">
        <f t="shared" si="345"/>
        <v>5</v>
      </c>
      <c r="V1433" s="49">
        <f t="shared" si="345"/>
        <v>0</v>
      </c>
      <c r="W1433" s="49">
        <f t="shared" si="345"/>
        <v>0</v>
      </c>
      <c r="X1433" s="49">
        <f t="shared" si="345"/>
        <v>0</v>
      </c>
      <c r="Y1433" s="49">
        <f t="shared" si="345"/>
        <v>0</v>
      </c>
      <c r="Z1433" s="49">
        <f t="shared" si="345"/>
        <v>0</v>
      </c>
      <c r="AA1433" s="49">
        <f t="shared" si="345"/>
        <v>0</v>
      </c>
      <c r="AB1433" s="49">
        <f t="shared" si="345"/>
        <v>0</v>
      </c>
      <c r="AC1433" s="49">
        <f t="shared" si="345"/>
        <v>0</v>
      </c>
      <c r="AD1433" s="53" t="e">
        <f>#REF!*D1433</f>
        <v>#REF!</v>
      </c>
      <c r="AE1433" s="53" t="e">
        <f>AD1433-#REF!</f>
        <v>#REF!</v>
      </c>
      <c r="AF1433" s="8"/>
      <c r="AG1433" s="33" t="e">
        <f>#REF!-D1433</f>
        <v>#REF!</v>
      </c>
    </row>
    <row r="1434" spans="1:33" s="12" customFormat="1" ht="12" customHeight="1" outlineLevel="1" x14ac:dyDescent="0.2">
      <c r="A1434" s="62" t="s">
        <v>1666</v>
      </c>
      <c r="B1434" s="47" t="s">
        <v>118</v>
      </c>
      <c r="C1434" s="8" t="s">
        <v>47</v>
      </c>
      <c r="D1434" s="25">
        <f t="shared" si="342"/>
        <v>20</v>
      </c>
      <c r="E1434" s="54"/>
      <c r="F1434" s="9"/>
      <c r="G1434" s="9">
        <v>0</v>
      </c>
      <c r="H1434" s="9">
        <v>12</v>
      </c>
      <c r="I1434" s="9">
        <v>3</v>
      </c>
      <c r="J1434" s="9">
        <v>0</v>
      </c>
      <c r="K1434" s="9">
        <v>0</v>
      </c>
      <c r="L1434" s="9">
        <v>0</v>
      </c>
      <c r="M1434" s="9">
        <v>0</v>
      </c>
      <c r="N1434" s="9">
        <v>0</v>
      </c>
      <c r="O1434" s="9">
        <v>0</v>
      </c>
      <c r="P1434" s="9">
        <v>0</v>
      </c>
      <c r="Q1434" s="9">
        <v>0</v>
      </c>
      <c r="R1434" s="9">
        <v>0</v>
      </c>
      <c r="S1434" s="9">
        <v>0</v>
      </c>
      <c r="T1434" s="9">
        <v>0</v>
      </c>
      <c r="U1434" s="9">
        <v>5</v>
      </c>
      <c r="V1434" s="9">
        <v>0</v>
      </c>
      <c r="W1434" s="9">
        <v>0</v>
      </c>
      <c r="X1434" s="9">
        <v>0</v>
      </c>
      <c r="Y1434" s="9">
        <v>0</v>
      </c>
      <c r="Z1434" s="9">
        <v>0</v>
      </c>
      <c r="AA1434" s="9">
        <v>0</v>
      </c>
      <c r="AB1434" s="9">
        <v>0</v>
      </c>
      <c r="AC1434" s="9">
        <v>0</v>
      </c>
      <c r="AD1434" s="53" t="e">
        <f>#REF!*D1434</f>
        <v>#REF!</v>
      </c>
      <c r="AE1434" s="53" t="e">
        <f>AD1434-#REF!</f>
        <v>#REF!</v>
      </c>
      <c r="AF1434" s="8"/>
      <c r="AG1434" s="33" t="e">
        <f>#REF!-D1434</f>
        <v>#REF!</v>
      </c>
    </row>
    <row r="1435" spans="1:33" s="12" customFormat="1" ht="20.399999999999999" outlineLevel="1" x14ac:dyDescent="0.2">
      <c r="A1435" s="62" t="s">
        <v>1667</v>
      </c>
      <c r="B1435" s="47" t="s">
        <v>1638</v>
      </c>
      <c r="C1435" s="8" t="s">
        <v>48</v>
      </c>
      <c r="D1435" s="25">
        <f>SUM(G1435:AC1435)*3</f>
        <v>1269</v>
      </c>
      <c r="E1435" s="54"/>
      <c r="F1435" s="9"/>
      <c r="G1435" s="9">
        <v>0</v>
      </c>
      <c r="H1435" s="9">
        <f>100-30</f>
        <v>70</v>
      </c>
      <c r="I1435" s="9">
        <f>41-9</f>
        <v>32</v>
      </c>
      <c r="J1435" s="9">
        <f>52-15</f>
        <v>37</v>
      </c>
      <c r="K1435" s="9">
        <v>41</v>
      </c>
      <c r="L1435" s="9">
        <v>14</v>
      </c>
      <c r="M1435" s="9">
        <v>16</v>
      </c>
      <c r="N1435" s="9">
        <v>16</v>
      </c>
      <c r="O1435" s="9">
        <v>19</v>
      </c>
      <c r="P1435" s="9">
        <v>17</v>
      </c>
      <c r="Q1435" s="9">
        <v>9</v>
      </c>
      <c r="R1435" s="9">
        <v>0</v>
      </c>
      <c r="S1435" s="9">
        <v>0</v>
      </c>
      <c r="T1435" s="9">
        <v>0</v>
      </c>
      <c r="U1435" s="9">
        <v>30</v>
      </c>
      <c r="V1435" s="9">
        <v>9</v>
      </c>
      <c r="W1435" s="9">
        <v>15</v>
      </c>
      <c r="X1435" s="9">
        <v>41</v>
      </c>
      <c r="Y1435" s="9">
        <v>7</v>
      </c>
      <c r="Z1435" s="9">
        <v>41</v>
      </c>
      <c r="AA1435" s="9">
        <v>7</v>
      </c>
      <c r="AB1435" s="9">
        <v>2</v>
      </c>
      <c r="AC1435" s="9">
        <v>0</v>
      </c>
      <c r="AD1435" s="53" t="e">
        <f>#REF!*D1435</f>
        <v>#REF!</v>
      </c>
      <c r="AE1435" s="53" t="e">
        <f>AD1435-#REF!</f>
        <v>#REF!</v>
      </c>
      <c r="AF1435" s="8"/>
      <c r="AG1435" s="33" t="e">
        <f>#REF!-D1435</f>
        <v>#REF!</v>
      </c>
    </row>
    <row r="1436" spans="1:33" s="12" customFormat="1" ht="20.399999999999999" outlineLevel="1" x14ac:dyDescent="0.2">
      <c r="A1436" s="62" t="s">
        <v>1668</v>
      </c>
      <c r="B1436" s="47" t="s">
        <v>193</v>
      </c>
      <c r="C1436" s="8" t="s">
        <v>48</v>
      </c>
      <c r="D1436" s="25">
        <f>SUM(G1436:AC1436)*3</f>
        <v>492</v>
      </c>
      <c r="E1436" s="54"/>
      <c r="F1436" s="9"/>
      <c r="G1436" s="9">
        <v>0</v>
      </c>
      <c r="H1436" s="9">
        <f>44-12</f>
        <v>32</v>
      </c>
      <c r="I1436" s="9">
        <f>1</f>
        <v>1</v>
      </c>
      <c r="J1436" s="9">
        <f>43-12</f>
        <v>31</v>
      </c>
      <c r="K1436" s="9">
        <v>16</v>
      </c>
      <c r="L1436" s="9">
        <v>7</v>
      </c>
      <c r="M1436" s="9">
        <v>0</v>
      </c>
      <c r="N1436" s="9">
        <v>0</v>
      </c>
      <c r="O1436" s="9">
        <v>0</v>
      </c>
      <c r="P1436" s="9">
        <f>0</f>
        <v>0</v>
      </c>
      <c r="Q1436" s="9">
        <v>2</v>
      </c>
      <c r="R1436" s="9">
        <v>0</v>
      </c>
      <c r="S1436" s="9">
        <v>0</v>
      </c>
      <c r="T1436" s="9">
        <f>39/3</f>
        <v>13</v>
      </c>
      <c r="U1436" s="9">
        <v>12</v>
      </c>
      <c r="V1436" s="9">
        <v>0</v>
      </c>
      <c r="W1436" s="9">
        <v>12</v>
      </c>
      <c r="X1436" s="9">
        <v>16</v>
      </c>
      <c r="Y1436" s="9">
        <v>3</v>
      </c>
      <c r="Z1436" s="9">
        <v>16</v>
      </c>
      <c r="AA1436" s="9">
        <v>3</v>
      </c>
      <c r="AB1436" s="9">
        <v>0</v>
      </c>
      <c r="AC1436" s="9">
        <v>0</v>
      </c>
      <c r="AD1436" s="53" t="e">
        <f>#REF!*D1436</f>
        <v>#REF!</v>
      </c>
      <c r="AE1436" s="53" t="e">
        <f>AD1436-#REF!</f>
        <v>#REF!</v>
      </c>
      <c r="AF1436" s="8"/>
      <c r="AG1436" s="33" t="e">
        <f>#REF!-D1436</f>
        <v>#REF!</v>
      </c>
    </row>
    <row r="1437" spans="1:33" s="12" customFormat="1" ht="20.399999999999999" outlineLevel="1" x14ac:dyDescent="0.2">
      <c r="A1437" s="62" t="s">
        <v>1669</v>
      </c>
      <c r="B1437" s="47" t="s">
        <v>166</v>
      </c>
      <c r="C1437" s="8" t="s">
        <v>48</v>
      </c>
      <c r="D1437" s="25">
        <f>SUM(G1437:AC1437)*3</f>
        <v>3267</v>
      </c>
      <c r="E1437" s="54"/>
      <c r="F1437" s="9"/>
      <c r="G1437" s="9">
        <v>16</v>
      </c>
      <c r="H1437" s="9">
        <v>103</v>
      </c>
      <c r="I1437" s="9">
        <f>115-26</f>
        <v>89</v>
      </c>
      <c r="J1437" s="9">
        <v>6</v>
      </c>
      <c r="K1437" s="9">
        <v>63</v>
      </c>
      <c r="L1437" s="9">
        <f>125-43</f>
        <v>82</v>
      </c>
      <c r="M1437" s="9">
        <v>88</v>
      </c>
      <c r="N1437" s="9">
        <v>88</v>
      </c>
      <c r="O1437" s="9">
        <v>100</v>
      </c>
      <c r="P1437" s="9">
        <v>101</v>
      </c>
      <c r="Q1437" s="9">
        <v>42</v>
      </c>
      <c r="R1437" s="9">
        <v>0</v>
      </c>
      <c r="S1437" s="9">
        <v>0</v>
      </c>
      <c r="T1437" s="9">
        <v>28</v>
      </c>
      <c r="U1437" s="9">
        <v>43</v>
      </c>
      <c r="V1437" s="9">
        <v>26</v>
      </c>
      <c r="W1437" s="9">
        <v>2</v>
      </c>
      <c r="X1437" s="9">
        <v>62</v>
      </c>
      <c r="Y1437" s="9">
        <v>43</v>
      </c>
      <c r="Z1437" s="9">
        <v>62</v>
      </c>
      <c r="AA1437" s="9">
        <v>43</v>
      </c>
      <c r="AB1437" s="9">
        <v>2</v>
      </c>
      <c r="AC1437" s="9">
        <v>0</v>
      </c>
      <c r="AD1437" s="53" t="e">
        <f>#REF!*D1437</f>
        <v>#REF!</v>
      </c>
      <c r="AE1437" s="53" t="e">
        <f>AD1437-#REF!</f>
        <v>#REF!</v>
      </c>
      <c r="AF1437" s="8"/>
      <c r="AG1437" s="33" t="e">
        <f>#REF!-D1437</f>
        <v>#REF!</v>
      </c>
    </row>
    <row r="1438" spans="1:33" s="12" customFormat="1" ht="20.399999999999999" outlineLevel="1" x14ac:dyDescent="0.2">
      <c r="A1438" s="62" t="s">
        <v>1670</v>
      </c>
      <c r="B1438" s="47" t="s">
        <v>167</v>
      </c>
      <c r="C1438" s="8" t="s">
        <v>48</v>
      </c>
      <c r="D1438" s="25">
        <f>SUM(G1438:AC1438)*3</f>
        <v>1014</v>
      </c>
      <c r="E1438" s="54"/>
      <c r="F1438" s="78"/>
      <c r="G1438" s="9">
        <v>5</v>
      </c>
      <c r="H1438" s="9">
        <v>27</v>
      </c>
      <c r="I1438" s="9">
        <v>10</v>
      </c>
      <c r="J1438" s="9">
        <f>129-38</f>
        <v>91</v>
      </c>
      <c r="K1438" s="9">
        <v>43</v>
      </c>
      <c r="L1438" s="9">
        <v>2</v>
      </c>
      <c r="M1438" s="9">
        <v>3</v>
      </c>
      <c r="N1438" s="9">
        <v>3</v>
      </c>
      <c r="O1438" s="9">
        <v>3</v>
      </c>
      <c r="P1438" s="9">
        <v>2</v>
      </c>
      <c r="Q1438" s="9">
        <v>2</v>
      </c>
      <c r="R1438" s="9">
        <v>0</v>
      </c>
      <c r="S1438" s="9">
        <v>0</v>
      </c>
      <c r="T1438" s="9">
        <f>18/3</f>
        <v>6</v>
      </c>
      <c r="U1438" s="9">
        <v>12</v>
      </c>
      <c r="V1438" s="9">
        <v>3</v>
      </c>
      <c r="W1438" s="9">
        <v>38</v>
      </c>
      <c r="X1438" s="9">
        <v>43</v>
      </c>
      <c r="Y1438" s="9">
        <v>1</v>
      </c>
      <c r="Z1438" s="9">
        <v>43</v>
      </c>
      <c r="AA1438" s="9">
        <v>1</v>
      </c>
      <c r="AB1438" s="9">
        <v>0</v>
      </c>
      <c r="AC1438" s="9">
        <v>0</v>
      </c>
      <c r="AD1438" s="53" t="e">
        <f>#REF!*D1438</f>
        <v>#REF!</v>
      </c>
      <c r="AE1438" s="53" t="e">
        <f>AD1438-#REF!</f>
        <v>#REF!</v>
      </c>
      <c r="AF1438" s="8"/>
      <c r="AG1438" s="33" t="e">
        <f>#REF!-D1438</f>
        <v>#REF!</v>
      </c>
    </row>
    <row r="1439" spans="1:33" s="12" customFormat="1" ht="20.399999999999999" outlineLevel="1" x14ac:dyDescent="0.2">
      <c r="A1439" s="62" t="s">
        <v>1671</v>
      </c>
      <c r="B1439" s="47" t="s">
        <v>1654</v>
      </c>
      <c r="C1439" s="9" t="s">
        <v>47</v>
      </c>
      <c r="D1439" s="25">
        <f t="shared" ref="D1439:D1470" si="346">SUM(G1439:AC1439)</f>
        <v>9</v>
      </c>
      <c r="E1439" s="54"/>
      <c r="F1439" s="9"/>
      <c r="G1439" s="49">
        <f t="shared" ref="G1439:AC1439" si="347">G1443</f>
        <v>0</v>
      </c>
      <c r="H1439" s="49">
        <f t="shared" si="347"/>
        <v>0</v>
      </c>
      <c r="I1439" s="49">
        <f t="shared" si="347"/>
        <v>3</v>
      </c>
      <c r="J1439" s="49">
        <f t="shared" si="347"/>
        <v>2</v>
      </c>
      <c r="K1439" s="49">
        <f t="shared" si="347"/>
        <v>0</v>
      </c>
      <c r="L1439" s="49">
        <f t="shared" si="347"/>
        <v>1</v>
      </c>
      <c r="M1439" s="49">
        <f t="shared" si="347"/>
        <v>0</v>
      </c>
      <c r="N1439" s="49">
        <f t="shared" si="347"/>
        <v>0</v>
      </c>
      <c r="O1439" s="49">
        <f t="shared" si="347"/>
        <v>0</v>
      </c>
      <c r="P1439" s="49">
        <f t="shared" si="347"/>
        <v>0</v>
      </c>
      <c r="Q1439" s="49">
        <f t="shared" si="347"/>
        <v>0</v>
      </c>
      <c r="R1439" s="49">
        <f t="shared" si="347"/>
        <v>0</v>
      </c>
      <c r="S1439" s="49">
        <f t="shared" si="347"/>
        <v>0</v>
      </c>
      <c r="T1439" s="49">
        <f t="shared" si="347"/>
        <v>0</v>
      </c>
      <c r="U1439" s="49">
        <f t="shared" si="347"/>
        <v>0</v>
      </c>
      <c r="V1439" s="49">
        <f t="shared" si="347"/>
        <v>2</v>
      </c>
      <c r="W1439" s="49">
        <f t="shared" si="347"/>
        <v>1</v>
      </c>
      <c r="X1439" s="49">
        <f t="shared" si="347"/>
        <v>0</v>
      </c>
      <c r="Y1439" s="49">
        <f t="shared" si="347"/>
        <v>0</v>
      </c>
      <c r="Z1439" s="49">
        <f t="shared" si="347"/>
        <v>0</v>
      </c>
      <c r="AA1439" s="49">
        <f t="shared" si="347"/>
        <v>0</v>
      </c>
      <c r="AB1439" s="49">
        <f t="shared" si="347"/>
        <v>0</v>
      </c>
      <c r="AC1439" s="49">
        <f t="shared" si="347"/>
        <v>0</v>
      </c>
      <c r="AD1439" s="53" t="e">
        <f>#REF!*D1439</f>
        <v>#REF!</v>
      </c>
      <c r="AE1439" s="53" t="e">
        <f>AD1439-#REF!</f>
        <v>#REF!</v>
      </c>
      <c r="AF1439" s="8"/>
      <c r="AG1439" s="33" t="e">
        <f>#REF!-D1439</f>
        <v>#REF!</v>
      </c>
    </row>
    <row r="1440" spans="1:33" s="12" customFormat="1" ht="20.399999999999999" outlineLevel="1" x14ac:dyDescent="0.2">
      <c r="A1440" s="62" t="s">
        <v>1672</v>
      </c>
      <c r="B1440" s="47" t="s">
        <v>356</v>
      </c>
      <c r="C1440" s="9" t="s">
        <v>47</v>
      </c>
      <c r="D1440" s="25">
        <f t="shared" si="346"/>
        <v>2</v>
      </c>
      <c r="E1440" s="54"/>
      <c r="F1440" s="9"/>
      <c r="G1440" s="49">
        <f t="shared" ref="G1440:AC1440" si="348">G1444</f>
        <v>0</v>
      </c>
      <c r="H1440" s="49">
        <f t="shared" si="348"/>
        <v>0</v>
      </c>
      <c r="I1440" s="49">
        <f t="shared" si="348"/>
        <v>0</v>
      </c>
      <c r="J1440" s="49">
        <f t="shared" si="348"/>
        <v>0</v>
      </c>
      <c r="K1440" s="49">
        <f t="shared" si="348"/>
        <v>1</v>
      </c>
      <c r="L1440" s="49">
        <f t="shared" si="348"/>
        <v>1</v>
      </c>
      <c r="M1440" s="49">
        <f t="shared" si="348"/>
        <v>0</v>
      </c>
      <c r="N1440" s="49">
        <f t="shared" si="348"/>
        <v>0</v>
      </c>
      <c r="O1440" s="49">
        <f t="shared" si="348"/>
        <v>0</v>
      </c>
      <c r="P1440" s="49">
        <f t="shared" si="348"/>
        <v>0</v>
      </c>
      <c r="Q1440" s="49">
        <f t="shared" si="348"/>
        <v>0</v>
      </c>
      <c r="R1440" s="49">
        <f t="shared" si="348"/>
        <v>0</v>
      </c>
      <c r="S1440" s="49">
        <f t="shared" si="348"/>
        <v>0</v>
      </c>
      <c r="T1440" s="49">
        <f t="shared" si="348"/>
        <v>0</v>
      </c>
      <c r="U1440" s="49">
        <f t="shared" si="348"/>
        <v>0</v>
      </c>
      <c r="V1440" s="49">
        <f t="shared" si="348"/>
        <v>0</v>
      </c>
      <c r="W1440" s="49">
        <f t="shared" si="348"/>
        <v>0</v>
      </c>
      <c r="X1440" s="49">
        <f t="shared" si="348"/>
        <v>0</v>
      </c>
      <c r="Y1440" s="49">
        <f t="shared" si="348"/>
        <v>0</v>
      </c>
      <c r="Z1440" s="49">
        <f t="shared" si="348"/>
        <v>0</v>
      </c>
      <c r="AA1440" s="49">
        <f t="shared" si="348"/>
        <v>0</v>
      </c>
      <c r="AB1440" s="49">
        <f t="shared" si="348"/>
        <v>0</v>
      </c>
      <c r="AC1440" s="49">
        <f t="shared" si="348"/>
        <v>0</v>
      </c>
      <c r="AD1440" s="53" t="e">
        <f>#REF!*D1440</f>
        <v>#REF!</v>
      </c>
      <c r="AE1440" s="53" t="e">
        <f>AD1440-#REF!</f>
        <v>#REF!</v>
      </c>
      <c r="AF1440" s="8"/>
      <c r="AG1440" s="33" t="e">
        <f>#REF!-D1440</f>
        <v>#REF!</v>
      </c>
    </row>
    <row r="1441" spans="1:33" s="12" customFormat="1" ht="20.399999999999999" outlineLevel="1" x14ac:dyDescent="0.2">
      <c r="A1441" s="62" t="s">
        <v>1673</v>
      </c>
      <c r="B1441" s="47" t="s">
        <v>173</v>
      </c>
      <c r="C1441" s="9" t="s">
        <v>47</v>
      </c>
      <c r="D1441" s="25">
        <f t="shared" si="346"/>
        <v>99</v>
      </c>
      <c r="E1441" s="54"/>
      <c r="F1441" s="9"/>
      <c r="G1441" s="49">
        <f t="shared" ref="G1441:AC1441" si="349">G1445</f>
        <v>0</v>
      </c>
      <c r="H1441" s="49">
        <f t="shared" si="349"/>
        <v>0</v>
      </c>
      <c r="I1441" s="49">
        <f t="shared" si="349"/>
        <v>12</v>
      </c>
      <c r="J1441" s="49">
        <f t="shared" si="349"/>
        <v>11</v>
      </c>
      <c r="K1441" s="49">
        <f t="shared" si="349"/>
        <v>8</v>
      </c>
      <c r="L1441" s="49">
        <f t="shared" si="349"/>
        <v>9</v>
      </c>
      <c r="M1441" s="49">
        <f t="shared" si="349"/>
        <v>5</v>
      </c>
      <c r="N1441" s="49">
        <f t="shared" si="349"/>
        <v>5</v>
      </c>
      <c r="O1441" s="49">
        <f t="shared" si="349"/>
        <v>9</v>
      </c>
      <c r="P1441" s="49">
        <f t="shared" si="349"/>
        <v>5</v>
      </c>
      <c r="Q1441" s="49">
        <f t="shared" si="349"/>
        <v>6</v>
      </c>
      <c r="R1441" s="49">
        <f t="shared" si="349"/>
        <v>0</v>
      </c>
      <c r="S1441" s="49">
        <f t="shared" si="349"/>
        <v>0</v>
      </c>
      <c r="T1441" s="49">
        <f t="shared" si="349"/>
        <v>0</v>
      </c>
      <c r="U1441" s="49">
        <f t="shared" si="349"/>
        <v>0</v>
      </c>
      <c r="V1441" s="49">
        <f t="shared" si="349"/>
        <v>3</v>
      </c>
      <c r="W1441" s="49">
        <f t="shared" si="349"/>
        <v>4</v>
      </c>
      <c r="X1441" s="49">
        <f t="shared" si="349"/>
        <v>7</v>
      </c>
      <c r="Y1441" s="49">
        <f t="shared" si="349"/>
        <v>4</v>
      </c>
      <c r="Z1441" s="49">
        <f t="shared" si="349"/>
        <v>7</v>
      </c>
      <c r="AA1441" s="49">
        <f t="shared" si="349"/>
        <v>4</v>
      </c>
      <c r="AB1441" s="49">
        <f t="shared" si="349"/>
        <v>0</v>
      </c>
      <c r="AC1441" s="49">
        <f t="shared" si="349"/>
        <v>0</v>
      </c>
      <c r="AD1441" s="53" t="e">
        <f>#REF!*D1441</f>
        <v>#REF!</v>
      </c>
      <c r="AE1441" s="53" t="e">
        <f>AD1441-#REF!</f>
        <v>#REF!</v>
      </c>
      <c r="AF1441" s="8"/>
      <c r="AG1441" s="33" t="e">
        <f>#REF!-D1441</f>
        <v>#REF!</v>
      </c>
    </row>
    <row r="1442" spans="1:33" s="12" customFormat="1" ht="20.399999999999999" outlineLevel="1" x14ac:dyDescent="0.2">
      <c r="A1442" s="62" t="s">
        <v>1674</v>
      </c>
      <c r="B1442" s="47" t="s">
        <v>357</v>
      </c>
      <c r="C1442" s="9" t="s">
        <v>47</v>
      </c>
      <c r="D1442" s="25">
        <f t="shared" si="346"/>
        <v>2</v>
      </c>
      <c r="E1442" s="54"/>
      <c r="F1442" s="9"/>
      <c r="G1442" s="49">
        <f t="shared" ref="G1442:AC1442" si="350">G1446</f>
        <v>0</v>
      </c>
      <c r="H1442" s="49">
        <f t="shared" si="350"/>
        <v>0</v>
      </c>
      <c r="I1442" s="49">
        <f t="shared" si="350"/>
        <v>1</v>
      </c>
      <c r="J1442" s="49">
        <f t="shared" si="350"/>
        <v>0</v>
      </c>
      <c r="K1442" s="49">
        <f t="shared" si="350"/>
        <v>0</v>
      </c>
      <c r="L1442" s="49">
        <f t="shared" si="350"/>
        <v>0</v>
      </c>
      <c r="M1442" s="49">
        <f t="shared" si="350"/>
        <v>0</v>
      </c>
      <c r="N1442" s="49">
        <f t="shared" si="350"/>
        <v>0</v>
      </c>
      <c r="O1442" s="49">
        <f t="shared" si="350"/>
        <v>0</v>
      </c>
      <c r="P1442" s="49">
        <f t="shared" si="350"/>
        <v>0</v>
      </c>
      <c r="Q1442" s="49">
        <f t="shared" si="350"/>
        <v>0</v>
      </c>
      <c r="R1442" s="49">
        <f t="shared" si="350"/>
        <v>0</v>
      </c>
      <c r="S1442" s="49">
        <f t="shared" si="350"/>
        <v>0</v>
      </c>
      <c r="T1442" s="49">
        <f t="shared" si="350"/>
        <v>0</v>
      </c>
      <c r="U1442" s="49">
        <f t="shared" si="350"/>
        <v>0</v>
      </c>
      <c r="V1442" s="49">
        <f t="shared" si="350"/>
        <v>1</v>
      </c>
      <c r="W1442" s="49">
        <f t="shared" si="350"/>
        <v>0</v>
      </c>
      <c r="X1442" s="49">
        <f t="shared" si="350"/>
        <v>0</v>
      </c>
      <c r="Y1442" s="49">
        <f t="shared" si="350"/>
        <v>0</v>
      </c>
      <c r="Z1442" s="49">
        <f t="shared" si="350"/>
        <v>0</v>
      </c>
      <c r="AA1442" s="49">
        <f t="shared" si="350"/>
        <v>0</v>
      </c>
      <c r="AB1442" s="49">
        <f t="shared" si="350"/>
        <v>0</v>
      </c>
      <c r="AC1442" s="49">
        <f t="shared" si="350"/>
        <v>0</v>
      </c>
      <c r="AD1442" s="53" t="e">
        <f>#REF!*D1442</f>
        <v>#REF!</v>
      </c>
      <c r="AE1442" s="53" t="e">
        <f>AD1442-#REF!</f>
        <v>#REF!</v>
      </c>
      <c r="AF1442" s="8"/>
      <c r="AG1442" s="33" t="e">
        <f>#REF!-D1442</f>
        <v>#REF!</v>
      </c>
    </row>
    <row r="1443" spans="1:33" s="12" customFormat="1" ht="12" customHeight="1" outlineLevel="1" x14ac:dyDescent="0.2">
      <c r="A1443" s="62" t="s">
        <v>1675</v>
      </c>
      <c r="B1443" s="47" t="s">
        <v>347</v>
      </c>
      <c r="C1443" s="8" t="s">
        <v>47</v>
      </c>
      <c r="D1443" s="25">
        <f t="shared" si="346"/>
        <v>9</v>
      </c>
      <c r="E1443" s="54"/>
      <c r="F1443" s="9"/>
      <c r="G1443" s="9">
        <v>0</v>
      </c>
      <c r="H1443" s="9">
        <v>0</v>
      </c>
      <c r="I1443" s="9">
        <v>3</v>
      </c>
      <c r="J1443" s="9">
        <v>2</v>
      </c>
      <c r="K1443" s="9">
        <v>0</v>
      </c>
      <c r="L1443" s="9">
        <v>1</v>
      </c>
      <c r="M1443" s="9">
        <v>0</v>
      </c>
      <c r="N1443" s="9">
        <v>0</v>
      </c>
      <c r="O1443" s="9">
        <v>0</v>
      </c>
      <c r="P1443" s="9">
        <v>0</v>
      </c>
      <c r="Q1443" s="9">
        <v>0</v>
      </c>
      <c r="R1443" s="9">
        <v>0</v>
      </c>
      <c r="S1443" s="9">
        <v>0</v>
      </c>
      <c r="T1443" s="9">
        <v>0</v>
      </c>
      <c r="U1443" s="9">
        <v>0</v>
      </c>
      <c r="V1443" s="9">
        <v>2</v>
      </c>
      <c r="W1443" s="9">
        <v>1</v>
      </c>
      <c r="X1443" s="9">
        <v>0</v>
      </c>
      <c r="Y1443" s="9">
        <v>0</v>
      </c>
      <c r="Z1443" s="9">
        <v>0</v>
      </c>
      <c r="AA1443" s="9">
        <v>0</v>
      </c>
      <c r="AB1443" s="9">
        <v>0</v>
      </c>
      <c r="AC1443" s="9">
        <v>0</v>
      </c>
      <c r="AD1443" s="53" t="e">
        <f>#REF!*D1443</f>
        <v>#REF!</v>
      </c>
      <c r="AE1443" s="53" t="e">
        <f>AD1443-#REF!</f>
        <v>#REF!</v>
      </c>
      <c r="AF1443" s="8"/>
      <c r="AG1443" s="33" t="e">
        <f>#REF!-D1443</f>
        <v>#REF!</v>
      </c>
    </row>
    <row r="1444" spans="1:33" s="12" customFormat="1" ht="12" customHeight="1" outlineLevel="1" x14ac:dyDescent="0.2">
      <c r="A1444" s="62" t="s">
        <v>1676</v>
      </c>
      <c r="B1444" s="47" t="s">
        <v>348</v>
      </c>
      <c r="C1444" s="8" t="s">
        <v>47</v>
      </c>
      <c r="D1444" s="25">
        <f t="shared" si="346"/>
        <v>2</v>
      </c>
      <c r="E1444" s="54"/>
      <c r="F1444" s="9"/>
      <c r="G1444" s="9">
        <v>0</v>
      </c>
      <c r="H1444" s="9">
        <v>0</v>
      </c>
      <c r="I1444" s="9">
        <v>0</v>
      </c>
      <c r="J1444" s="9">
        <v>0</v>
      </c>
      <c r="K1444" s="9">
        <v>1</v>
      </c>
      <c r="L1444" s="9">
        <v>1</v>
      </c>
      <c r="M1444" s="9">
        <v>0</v>
      </c>
      <c r="N1444" s="9">
        <v>0</v>
      </c>
      <c r="O1444" s="9">
        <v>0</v>
      </c>
      <c r="P1444" s="9">
        <v>0</v>
      </c>
      <c r="Q1444" s="9">
        <v>0</v>
      </c>
      <c r="R1444" s="9">
        <v>0</v>
      </c>
      <c r="S1444" s="9">
        <v>0</v>
      </c>
      <c r="T1444" s="9">
        <v>0</v>
      </c>
      <c r="U1444" s="9">
        <v>0</v>
      </c>
      <c r="V1444" s="9">
        <v>0</v>
      </c>
      <c r="W1444" s="9">
        <v>0</v>
      </c>
      <c r="X1444" s="9">
        <v>0</v>
      </c>
      <c r="Y1444" s="9">
        <v>0</v>
      </c>
      <c r="Z1444" s="9">
        <v>0</v>
      </c>
      <c r="AA1444" s="9">
        <v>0</v>
      </c>
      <c r="AB1444" s="9">
        <v>0</v>
      </c>
      <c r="AC1444" s="9">
        <v>0</v>
      </c>
      <c r="AD1444" s="53" t="e">
        <f>#REF!*D1444</f>
        <v>#REF!</v>
      </c>
      <c r="AE1444" s="53" t="e">
        <f>AD1444-#REF!</f>
        <v>#REF!</v>
      </c>
      <c r="AF1444" s="8"/>
      <c r="AG1444" s="33" t="e">
        <f>#REF!-D1444</f>
        <v>#REF!</v>
      </c>
    </row>
    <row r="1445" spans="1:33" s="12" customFormat="1" ht="12" customHeight="1" outlineLevel="1" x14ac:dyDescent="0.2">
      <c r="A1445" s="62" t="s">
        <v>1677</v>
      </c>
      <c r="B1445" s="47" t="s">
        <v>349</v>
      </c>
      <c r="C1445" s="8" t="s">
        <v>47</v>
      </c>
      <c r="D1445" s="25">
        <f t="shared" si="346"/>
        <v>99</v>
      </c>
      <c r="E1445" s="54"/>
      <c r="F1445" s="9"/>
      <c r="G1445" s="9">
        <v>0</v>
      </c>
      <c r="H1445" s="9">
        <v>0</v>
      </c>
      <c r="I1445" s="9">
        <v>12</v>
      </c>
      <c r="J1445" s="9">
        <v>11</v>
      </c>
      <c r="K1445" s="9">
        <v>8</v>
      </c>
      <c r="L1445" s="9">
        <f>13-4</f>
        <v>9</v>
      </c>
      <c r="M1445" s="9">
        <v>5</v>
      </c>
      <c r="N1445" s="9">
        <v>5</v>
      </c>
      <c r="O1445" s="9">
        <v>9</v>
      </c>
      <c r="P1445" s="9">
        <v>5</v>
      </c>
      <c r="Q1445" s="9">
        <v>6</v>
      </c>
      <c r="R1445" s="9">
        <v>0</v>
      </c>
      <c r="S1445" s="9">
        <v>0</v>
      </c>
      <c r="T1445" s="9">
        <v>0</v>
      </c>
      <c r="U1445" s="9">
        <v>0</v>
      </c>
      <c r="V1445" s="9">
        <v>3</v>
      </c>
      <c r="W1445" s="9">
        <v>4</v>
      </c>
      <c r="X1445" s="9">
        <v>7</v>
      </c>
      <c r="Y1445" s="9">
        <v>4</v>
      </c>
      <c r="Z1445" s="9">
        <v>7</v>
      </c>
      <c r="AA1445" s="9">
        <v>4</v>
      </c>
      <c r="AB1445" s="9">
        <v>0</v>
      </c>
      <c r="AC1445" s="9">
        <v>0</v>
      </c>
      <c r="AD1445" s="53" t="e">
        <f>#REF!*D1445</f>
        <v>#REF!</v>
      </c>
      <c r="AE1445" s="53" t="e">
        <f>AD1445-#REF!</f>
        <v>#REF!</v>
      </c>
      <c r="AF1445" s="8"/>
      <c r="AG1445" s="33" t="e">
        <f>#REF!-D1445</f>
        <v>#REF!</v>
      </c>
    </row>
    <row r="1446" spans="1:33" s="12" customFormat="1" ht="12" customHeight="1" outlineLevel="1" x14ac:dyDescent="0.2">
      <c r="A1446" s="62" t="s">
        <v>1678</v>
      </c>
      <c r="B1446" s="47" t="s">
        <v>1653</v>
      </c>
      <c r="C1446" s="8" t="s">
        <v>47</v>
      </c>
      <c r="D1446" s="25">
        <f t="shared" si="346"/>
        <v>2</v>
      </c>
      <c r="E1446" s="54"/>
      <c r="F1446" s="9"/>
      <c r="G1446" s="9">
        <v>0</v>
      </c>
      <c r="H1446" s="9">
        <v>0</v>
      </c>
      <c r="I1446" s="9">
        <v>1</v>
      </c>
      <c r="J1446" s="9">
        <v>0</v>
      </c>
      <c r="K1446" s="9">
        <v>0</v>
      </c>
      <c r="L1446" s="9">
        <v>0</v>
      </c>
      <c r="M1446" s="9">
        <v>0</v>
      </c>
      <c r="N1446" s="9">
        <v>0</v>
      </c>
      <c r="O1446" s="9">
        <v>0</v>
      </c>
      <c r="P1446" s="9">
        <v>0</v>
      </c>
      <c r="Q1446" s="9">
        <v>0</v>
      </c>
      <c r="R1446" s="9">
        <v>0</v>
      </c>
      <c r="S1446" s="9">
        <v>0</v>
      </c>
      <c r="T1446" s="9">
        <v>0</v>
      </c>
      <c r="U1446" s="9">
        <v>0</v>
      </c>
      <c r="V1446" s="9">
        <v>1</v>
      </c>
      <c r="W1446" s="9">
        <v>0</v>
      </c>
      <c r="X1446" s="9">
        <v>0</v>
      </c>
      <c r="Y1446" s="9">
        <v>0</v>
      </c>
      <c r="Z1446" s="9">
        <v>0</v>
      </c>
      <c r="AA1446" s="9">
        <v>0</v>
      </c>
      <c r="AB1446" s="9">
        <v>0</v>
      </c>
      <c r="AC1446" s="9">
        <v>0</v>
      </c>
      <c r="AD1446" s="53" t="e">
        <f>#REF!*D1446</f>
        <v>#REF!</v>
      </c>
      <c r="AE1446" s="53" t="e">
        <f>AD1446-#REF!</f>
        <v>#REF!</v>
      </c>
      <c r="AF1446" s="8"/>
      <c r="AG1446" s="33" t="e">
        <f>#REF!-D1446</f>
        <v>#REF!</v>
      </c>
    </row>
    <row r="1447" spans="1:33" s="12" customFormat="1" ht="20.399999999999999" outlineLevel="1" x14ac:dyDescent="0.2">
      <c r="A1447" s="62" t="s">
        <v>1679</v>
      </c>
      <c r="B1447" s="47" t="s">
        <v>1655</v>
      </c>
      <c r="C1447" s="9" t="s">
        <v>47</v>
      </c>
      <c r="D1447" s="25">
        <f t="shared" si="346"/>
        <v>463</v>
      </c>
      <c r="E1447" s="54"/>
      <c r="F1447" s="9"/>
      <c r="G1447" s="49">
        <f t="shared" ref="G1447:AB1447" si="351">G1451+G1468+G1470</f>
        <v>0</v>
      </c>
      <c r="H1447" s="49">
        <f t="shared" si="351"/>
        <v>69</v>
      </c>
      <c r="I1447" s="49">
        <f t="shared" si="351"/>
        <v>35</v>
      </c>
      <c r="J1447" s="49">
        <f t="shared" si="351"/>
        <v>39</v>
      </c>
      <c r="K1447" s="49">
        <f t="shared" si="351"/>
        <v>16</v>
      </c>
      <c r="L1447" s="49">
        <f t="shared" si="351"/>
        <v>24</v>
      </c>
      <c r="M1447" s="49">
        <f t="shared" si="351"/>
        <v>32</v>
      </c>
      <c r="N1447" s="49">
        <f t="shared" si="351"/>
        <v>32</v>
      </c>
      <c r="O1447" s="49">
        <f t="shared" si="351"/>
        <v>34</v>
      </c>
      <c r="P1447" s="49">
        <f t="shared" si="351"/>
        <v>36</v>
      </c>
      <c r="Q1447" s="49">
        <f t="shared" si="351"/>
        <v>29</v>
      </c>
      <c r="R1447" s="49">
        <f t="shared" si="351"/>
        <v>0</v>
      </c>
      <c r="S1447" s="49">
        <f t="shared" si="351"/>
        <v>0</v>
      </c>
      <c r="T1447" s="49">
        <f t="shared" si="351"/>
        <v>0</v>
      </c>
      <c r="U1447" s="49">
        <f t="shared" si="351"/>
        <v>27</v>
      </c>
      <c r="V1447" s="49">
        <f t="shared" si="351"/>
        <v>10</v>
      </c>
      <c r="W1447" s="49">
        <f t="shared" si="351"/>
        <v>15</v>
      </c>
      <c r="X1447" s="49">
        <f t="shared" si="351"/>
        <v>16</v>
      </c>
      <c r="Y1447" s="49">
        <f t="shared" si="351"/>
        <v>11</v>
      </c>
      <c r="Z1447" s="49">
        <f t="shared" si="351"/>
        <v>16</v>
      </c>
      <c r="AA1447" s="49">
        <f t="shared" si="351"/>
        <v>11</v>
      </c>
      <c r="AB1447" s="49">
        <f t="shared" si="351"/>
        <v>11</v>
      </c>
      <c r="AC1447" s="9">
        <v>0</v>
      </c>
      <c r="AD1447" s="53" t="e">
        <f>#REF!*D1447</f>
        <v>#REF!</v>
      </c>
      <c r="AE1447" s="53" t="e">
        <f>AD1447-#REF!</f>
        <v>#REF!</v>
      </c>
      <c r="AF1447" s="8"/>
      <c r="AG1447" s="33" t="e">
        <f>#REF!-D1447</f>
        <v>#REF!</v>
      </c>
    </row>
    <row r="1448" spans="1:33" s="12" customFormat="1" ht="20.399999999999999" outlineLevel="1" x14ac:dyDescent="0.2">
      <c r="A1448" s="62" t="s">
        <v>1680</v>
      </c>
      <c r="B1448" s="47" t="s">
        <v>195</v>
      </c>
      <c r="C1448" s="9" t="s">
        <v>47</v>
      </c>
      <c r="D1448" s="25">
        <f t="shared" si="346"/>
        <v>59</v>
      </c>
      <c r="E1448" s="54"/>
      <c r="F1448" s="9"/>
      <c r="G1448" s="49">
        <f t="shared" ref="G1448:AB1448" si="352">G1452+G1456</f>
        <v>0</v>
      </c>
      <c r="H1448" s="49">
        <f t="shared" si="352"/>
        <v>8</v>
      </c>
      <c r="I1448" s="49">
        <f t="shared" si="352"/>
        <v>1</v>
      </c>
      <c r="J1448" s="49">
        <f t="shared" si="352"/>
        <v>0</v>
      </c>
      <c r="K1448" s="49">
        <f t="shared" si="352"/>
        <v>1</v>
      </c>
      <c r="L1448" s="49">
        <f t="shared" si="352"/>
        <v>0</v>
      </c>
      <c r="M1448" s="49">
        <f t="shared" si="352"/>
        <v>0</v>
      </c>
      <c r="N1448" s="49">
        <f t="shared" si="352"/>
        <v>0</v>
      </c>
      <c r="O1448" s="49">
        <f t="shared" si="352"/>
        <v>0</v>
      </c>
      <c r="P1448" s="49">
        <f t="shared" si="352"/>
        <v>0</v>
      </c>
      <c r="Q1448" s="49">
        <f t="shared" si="352"/>
        <v>0</v>
      </c>
      <c r="R1448" s="49">
        <f t="shared" si="352"/>
        <v>0</v>
      </c>
      <c r="S1448" s="49">
        <f t="shared" si="352"/>
        <v>0</v>
      </c>
      <c r="T1448" s="49">
        <f t="shared" si="352"/>
        <v>44</v>
      </c>
      <c r="U1448" s="49">
        <f t="shared" si="352"/>
        <v>3</v>
      </c>
      <c r="V1448" s="49">
        <f t="shared" si="352"/>
        <v>0</v>
      </c>
      <c r="W1448" s="49">
        <f t="shared" si="352"/>
        <v>0</v>
      </c>
      <c r="X1448" s="49">
        <f t="shared" si="352"/>
        <v>1</v>
      </c>
      <c r="Y1448" s="49">
        <f t="shared" si="352"/>
        <v>0</v>
      </c>
      <c r="Z1448" s="49">
        <f t="shared" si="352"/>
        <v>1</v>
      </c>
      <c r="AA1448" s="49">
        <f t="shared" si="352"/>
        <v>0</v>
      </c>
      <c r="AB1448" s="49">
        <f t="shared" si="352"/>
        <v>0</v>
      </c>
      <c r="AC1448" s="9">
        <v>0</v>
      </c>
      <c r="AD1448" s="53" t="e">
        <f>#REF!*D1448</f>
        <v>#REF!</v>
      </c>
      <c r="AE1448" s="53" t="e">
        <f>AD1448-#REF!</f>
        <v>#REF!</v>
      </c>
      <c r="AF1448" s="8"/>
      <c r="AG1448" s="33" t="e">
        <f>#REF!-D1448</f>
        <v>#REF!</v>
      </c>
    </row>
    <row r="1449" spans="1:33" s="12" customFormat="1" ht="20.399999999999999" outlineLevel="1" x14ac:dyDescent="0.2">
      <c r="A1449" s="62" t="s">
        <v>1681</v>
      </c>
      <c r="B1449" s="47" t="s">
        <v>168</v>
      </c>
      <c r="C1449" s="9" t="s">
        <v>47</v>
      </c>
      <c r="D1449" s="25">
        <f t="shared" si="346"/>
        <v>956</v>
      </c>
      <c r="E1449" s="54"/>
      <c r="F1449" s="9"/>
      <c r="G1449" s="49">
        <f t="shared" ref="G1449:AB1449" si="353">G1453+G1457+G1466+G1471</f>
        <v>0</v>
      </c>
      <c r="H1449" s="49">
        <f t="shared" si="353"/>
        <v>61</v>
      </c>
      <c r="I1449" s="49">
        <f t="shared" si="353"/>
        <v>90</v>
      </c>
      <c r="J1449" s="49">
        <f t="shared" si="353"/>
        <v>88</v>
      </c>
      <c r="K1449" s="49">
        <f t="shared" si="353"/>
        <v>45</v>
      </c>
      <c r="L1449" s="49">
        <f t="shared" si="353"/>
        <v>72</v>
      </c>
      <c r="M1449" s="49">
        <f t="shared" si="353"/>
        <v>78</v>
      </c>
      <c r="N1449" s="49">
        <f t="shared" si="353"/>
        <v>78</v>
      </c>
      <c r="O1449" s="49">
        <f t="shared" si="353"/>
        <v>76</v>
      </c>
      <c r="P1449" s="49">
        <f t="shared" si="353"/>
        <v>86</v>
      </c>
      <c r="Q1449" s="49">
        <f t="shared" si="353"/>
        <v>31</v>
      </c>
      <c r="R1449" s="49">
        <f t="shared" si="353"/>
        <v>0</v>
      </c>
      <c r="S1449" s="49">
        <f t="shared" si="353"/>
        <v>0</v>
      </c>
      <c r="T1449" s="49">
        <f t="shared" si="353"/>
        <v>0</v>
      </c>
      <c r="U1449" s="49">
        <f t="shared" si="353"/>
        <v>25</v>
      </c>
      <c r="V1449" s="49">
        <f t="shared" si="353"/>
        <v>26</v>
      </c>
      <c r="W1449" s="49">
        <f t="shared" si="353"/>
        <v>36</v>
      </c>
      <c r="X1449" s="49">
        <f t="shared" si="353"/>
        <v>43</v>
      </c>
      <c r="Y1449" s="49">
        <f t="shared" si="353"/>
        <v>37</v>
      </c>
      <c r="Z1449" s="49">
        <f t="shared" si="353"/>
        <v>43</v>
      </c>
      <c r="AA1449" s="49">
        <f t="shared" si="353"/>
        <v>37</v>
      </c>
      <c r="AB1449" s="49">
        <f t="shared" si="353"/>
        <v>4</v>
      </c>
      <c r="AC1449" s="9">
        <v>0</v>
      </c>
      <c r="AD1449" s="53" t="e">
        <f>#REF!*D1449</f>
        <v>#REF!</v>
      </c>
      <c r="AE1449" s="53" t="e">
        <f>AD1449-#REF!</f>
        <v>#REF!</v>
      </c>
      <c r="AF1449" s="8"/>
      <c r="AG1449" s="33" t="e">
        <f>#REF!-D1449</f>
        <v>#REF!</v>
      </c>
    </row>
    <row r="1450" spans="1:33" s="12" customFormat="1" ht="20.399999999999999" outlineLevel="1" x14ac:dyDescent="0.2">
      <c r="A1450" s="62" t="s">
        <v>1682</v>
      </c>
      <c r="B1450" s="47" t="s">
        <v>169</v>
      </c>
      <c r="C1450" s="9" t="s">
        <v>47</v>
      </c>
      <c r="D1450" s="25">
        <f t="shared" si="346"/>
        <v>36</v>
      </c>
      <c r="E1450" s="54"/>
      <c r="F1450" s="9"/>
      <c r="G1450" s="49">
        <f t="shared" ref="G1450:AB1450" si="354">G1454+G1458+G1462+G1463</f>
        <v>0</v>
      </c>
      <c r="H1450" s="49">
        <f t="shared" si="354"/>
        <v>1</v>
      </c>
      <c r="I1450" s="49">
        <f t="shared" si="354"/>
        <v>6</v>
      </c>
      <c r="J1450" s="49">
        <f t="shared" si="354"/>
        <v>3</v>
      </c>
      <c r="K1450" s="49">
        <f t="shared" si="354"/>
        <v>2</v>
      </c>
      <c r="L1450" s="49">
        <f t="shared" si="354"/>
        <v>2</v>
      </c>
      <c r="M1450" s="49">
        <f t="shared" si="354"/>
        <v>3</v>
      </c>
      <c r="N1450" s="49">
        <f t="shared" si="354"/>
        <v>3</v>
      </c>
      <c r="O1450" s="49">
        <f t="shared" si="354"/>
        <v>3</v>
      </c>
      <c r="P1450" s="49">
        <f t="shared" si="354"/>
        <v>1</v>
      </c>
      <c r="Q1450" s="49">
        <f t="shared" si="354"/>
        <v>3</v>
      </c>
      <c r="R1450" s="49">
        <f t="shared" si="354"/>
        <v>0</v>
      </c>
      <c r="S1450" s="49">
        <f t="shared" si="354"/>
        <v>0</v>
      </c>
      <c r="T1450" s="49">
        <f t="shared" si="354"/>
        <v>0</v>
      </c>
      <c r="U1450" s="49">
        <f t="shared" si="354"/>
        <v>0</v>
      </c>
      <c r="V1450" s="49">
        <f t="shared" si="354"/>
        <v>2</v>
      </c>
      <c r="W1450" s="49">
        <f t="shared" si="354"/>
        <v>3</v>
      </c>
      <c r="X1450" s="49">
        <f t="shared" si="354"/>
        <v>1</v>
      </c>
      <c r="Y1450" s="49">
        <f t="shared" si="354"/>
        <v>1</v>
      </c>
      <c r="Z1450" s="49">
        <f t="shared" si="354"/>
        <v>1</v>
      </c>
      <c r="AA1450" s="49">
        <f t="shared" si="354"/>
        <v>1</v>
      </c>
      <c r="AB1450" s="49">
        <f t="shared" si="354"/>
        <v>0</v>
      </c>
      <c r="AC1450" s="9">
        <v>0</v>
      </c>
      <c r="AD1450" s="53" t="e">
        <f>#REF!*D1450</f>
        <v>#REF!</v>
      </c>
      <c r="AE1450" s="53" t="e">
        <f>AD1450-#REF!</f>
        <v>#REF!</v>
      </c>
      <c r="AF1450" s="8"/>
      <c r="AG1450" s="33" t="e">
        <f>#REF!-D1450</f>
        <v>#REF!</v>
      </c>
    </row>
    <row r="1451" spans="1:33" s="12" customFormat="1" ht="21.6" outlineLevel="1" x14ac:dyDescent="0.2">
      <c r="A1451" s="62" t="s">
        <v>1683</v>
      </c>
      <c r="B1451" s="47" t="s">
        <v>351</v>
      </c>
      <c r="C1451" s="9" t="s">
        <v>47</v>
      </c>
      <c r="D1451" s="25">
        <f t="shared" si="346"/>
        <v>239</v>
      </c>
      <c r="E1451" s="54"/>
      <c r="F1451" s="9"/>
      <c r="G1451" s="9">
        <v>0</v>
      </c>
      <c r="H1451" s="9">
        <f>76-22</f>
        <v>54</v>
      </c>
      <c r="I1451" s="9">
        <f>21-5</f>
        <v>16</v>
      </c>
      <c r="J1451" s="9">
        <f>32-9</f>
        <v>23</v>
      </c>
      <c r="K1451" s="9">
        <v>5</v>
      </c>
      <c r="L1451" s="9">
        <v>10</v>
      </c>
      <c r="M1451" s="9">
        <v>15</v>
      </c>
      <c r="N1451" s="9">
        <v>15</v>
      </c>
      <c r="O1451" s="9">
        <v>15</v>
      </c>
      <c r="P1451" s="9">
        <v>12</v>
      </c>
      <c r="Q1451" s="9">
        <v>12</v>
      </c>
      <c r="R1451" s="9">
        <v>0</v>
      </c>
      <c r="S1451" s="9">
        <v>0</v>
      </c>
      <c r="T1451" s="9">
        <v>0</v>
      </c>
      <c r="U1451" s="9">
        <v>22</v>
      </c>
      <c r="V1451" s="9">
        <v>5</v>
      </c>
      <c r="W1451" s="9">
        <v>9</v>
      </c>
      <c r="X1451" s="9">
        <v>5</v>
      </c>
      <c r="Y1451" s="9">
        <v>4</v>
      </c>
      <c r="Z1451" s="9">
        <v>5</v>
      </c>
      <c r="AA1451" s="9">
        <v>4</v>
      </c>
      <c r="AB1451" s="9">
        <v>8</v>
      </c>
      <c r="AC1451" s="9">
        <v>0</v>
      </c>
      <c r="AD1451" s="53" t="e">
        <f>#REF!*D1451</f>
        <v>#REF!</v>
      </c>
      <c r="AE1451" s="53" t="e">
        <f>AD1451-#REF!</f>
        <v>#REF!</v>
      </c>
      <c r="AF1451" s="9"/>
      <c r="AG1451" s="33" t="e">
        <f>#REF!-D1451</f>
        <v>#REF!</v>
      </c>
    </row>
    <row r="1452" spans="1:33" s="12" customFormat="1" ht="21.6" outlineLevel="1" x14ac:dyDescent="0.2">
      <c r="A1452" s="62" t="s">
        <v>1684</v>
      </c>
      <c r="B1452" s="47" t="s">
        <v>209</v>
      </c>
      <c r="C1452" s="9" t="s">
        <v>47</v>
      </c>
      <c r="D1452" s="25">
        <f t="shared" si="346"/>
        <v>25</v>
      </c>
      <c r="E1452" s="54"/>
      <c r="F1452" s="9"/>
      <c r="G1452" s="9">
        <v>0</v>
      </c>
      <c r="H1452" s="9">
        <v>2</v>
      </c>
      <c r="I1452" s="9">
        <v>0</v>
      </c>
      <c r="J1452" s="9">
        <v>0</v>
      </c>
      <c r="K1452" s="9">
        <v>0</v>
      </c>
      <c r="L1452" s="9">
        <v>0</v>
      </c>
      <c r="M1452" s="9">
        <v>0</v>
      </c>
      <c r="N1452" s="9">
        <v>0</v>
      </c>
      <c r="O1452" s="9">
        <v>0</v>
      </c>
      <c r="P1452" s="9">
        <v>0</v>
      </c>
      <c r="Q1452" s="9">
        <v>0</v>
      </c>
      <c r="R1452" s="9">
        <v>0</v>
      </c>
      <c r="S1452" s="9">
        <v>0</v>
      </c>
      <c r="T1452" s="9">
        <v>22</v>
      </c>
      <c r="U1452" s="9">
        <v>1</v>
      </c>
      <c r="V1452" s="9">
        <v>0</v>
      </c>
      <c r="W1452" s="9">
        <v>0</v>
      </c>
      <c r="X1452" s="9">
        <v>0</v>
      </c>
      <c r="Y1452" s="9">
        <v>0</v>
      </c>
      <c r="Z1452" s="9">
        <v>0</v>
      </c>
      <c r="AA1452" s="9">
        <v>0</v>
      </c>
      <c r="AB1452" s="9">
        <v>0</v>
      </c>
      <c r="AC1452" s="9">
        <v>0</v>
      </c>
      <c r="AD1452" s="53" t="e">
        <f>#REF!*D1452</f>
        <v>#REF!</v>
      </c>
      <c r="AE1452" s="53" t="e">
        <f>AD1452-#REF!</f>
        <v>#REF!</v>
      </c>
      <c r="AF1452" s="9"/>
      <c r="AG1452" s="33" t="e">
        <f>#REF!-D1452</f>
        <v>#REF!</v>
      </c>
    </row>
    <row r="1453" spans="1:33" s="12" customFormat="1" ht="21.6" outlineLevel="1" x14ac:dyDescent="0.2">
      <c r="A1453" s="62" t="s">
        <v>1685</v>
      </c>
      <c r="B1453" s="47" t="s">
        <v>170</v>
      </c>
      <c r="C1453" s="9" t="s">
        <v>47</v>
      </c>
      <c r="D1453" s="25">
        <f t="shared" si="346"/>
        <v>353</v>
      </c>
      <c r="E1453" s="54"/>
      <c r="F1453" s="9"/>
      <c r="G1453" s="9">
        <v>0</v>
      </c>
      <c r="H1453" s="9">
        <f>42-12</f>
        <v>30</v>
      </c>
      <c r="I1453" s="9">
        <f>50-11</f>
        <v>39</v>
      </c>
      <c r="J1453" s="9">
        <f>44-13</f>
        <v>31</v>
      </c>
      <c r="K1453" s="9">
        <v>15</v>
      </c>
      <c r="L1453" s="9">
        <f>38-13</f>
        <v>25</v>
      </c>
      <c r="M1453" s="9">
        <v>28</v>
      </c>
      <c r="N1453" s="9">
        <v>28</v>
      </c>
      <c r="O1453" s="9">
        <v>28</v>
      </c>
      <c r="P1453" s="9">
        <v>26</v>
      </c>
      <c r="Q1453" s="9">
        <v>12</v>
      </c>
      <c r="R1453" s="9">
        <v>0</v>
      </c>
      <c r="S1453" s="9">
        <v>0</v>
      </c>
      <c r="T1453" s="9">
        <v>0</v>
      </c>
      <c r="U1453" s="9">
        <v>12</v>
      </c>
      <c r="V1453" s="9">
        <v>11</v>
      </c>
      <c r="W1453" s="9">
        <v>13</v>
      </c>
      <c r="X1453" s="9">
        <v>14</v>
      </c>
      <c r="Y1453" s="9">
        <v>13</v>
      </c>
      <c r="Z1453" s="9">
        <v>14</v>
      </c>
      <c r="AA1453" s="9">
        <v>13</v>
      </c>
      <c r="AB1453" s="9">
        <v>1</v>
      </c>
      <c r="AC1453" s="9">
        <v>0</v>
      </c>
      <c r="AD1453" s="53" t="e">
        <f>#REF!*D1453</f>
        <v>#REF!</v>
      </c>
      <c r="AE1453" s="53" t="e">
        <f>AD1453-#REF!</f>
        <v>#REF!</v>
      </c>
      <c r="AF1453" s="9"/>
      <c r="AG1453" s="33" t="e">
        <f>#REF!-D1453</f>
        <v>#REF!</v>
      </c>
    </row>
    <row r="1454" spans="1:33" s="12" customFormat="1" ht="21.6" outlineLevel="1" x14ac:dyDescent="0.2">
      <c r="A1454" s="62" t="s">
        <v>1686</v>
      </c>
      <c r="B1454" s="47" t="s">
        <v>352</v>
      </c>
      <c r="C1454" s="9" t="s">
        <v>47</v>
      </c>
      <c r="D1454" s="25">
        <f t="shared" si="346"/>
        <v>2</v>
      </c>
      <c r="E1454" s="54"/>
      <c r="F1454" s="9"/>
      <c r="G1454" s="9">
        <v>0</v>
      </c>
      <c r="H1454" s="9">
        <v>1</v>
      </c>
      <c r="I1454" s="9">
        <v>1</v>
      </c>
      <c r="J1454" s="9">
        <v>0</v>
      </c>
      <c r="K1454" s="9">
        <v>0</v>
      </c>
      <c r="L1454" s="9">
        <v>0</v>
      </c>
      <c r="M1454" s="9">
        <v>0</v>
      </c>
      <c r="N1454" s="9">
        <v>0</v>
      </c>
      <c r="O1454" s="9">
        <v>0</v>
      </c>
      <c r="P1454" s="9">
        <v>0</v>
      </c>
      <c r="Q1454" s="9">
        <v>0</v>
      </c>
      <c r="R1454" s="9">
        <v>0</v>
      </c>
      <c r="S1454" s="9">
        <v>0</v>
      </c>
      <c r="T1454" s="9">
        <v>0</v>
      </c>
      <c r="U1454" s="9">
        <v>0</v>
      </c>
      <c r="V1454" s="9">
        <v>0</v>
      </c>
      <c r="W1454" s="9">
        <v>0</v>
      </c>
      <c r="X1454" s="9">
        <v>0</v>
      </c>
      <c r="Y1454" s="9">
        <v>0</v>
      </c>
      <c r="Z1454" s="9">
        <v>0</v>
      </c>
      <c r="AA1454" s="9">
        <v>0</v>
      </c>
      <c r="AB1454" s="9">
        <v>0</v>
      </c>
      <c r="AC1454" s="9">
        <v>0</v>
      </c>
      <c r="AD1454" s="53" t="e">
        <f>#REF!*D1454</f>
        <v>#REF!</v>
      </c>
      <c r="AE1454" s="53" t="e">
        <f>AD1454-#REF!</f>
        <v>#REF!</v>
      </c>
      <c r="AF1454" s="9"/>
      <c r="AG1454" s="33" t="e">
        <f>#REF!-D1454</f>
        <v>#REF!</v>
      </c>
    </row>
    <row r="1455" spans="1:33" s="12" customFormat="1" ht="21.6" outlineLevel="1" x14ac:dyDescent="0.2">
      <c r="A1455" s="62" t="s">
        <v>1687</v>
      </c>
      <c r="B1455" s="47" t="s">
        <v>1639</v>
      </c>
      <c r="C1455" s="9" t="s">
        <v>47</v>
      </c>
      <c r="D1455" s="25">
        <f t="shared" si="346"/>
        <v>176</v>
      </c>
      <c r="E1455" s="54"/>
      <c r="F1455" s="9"/>
      <c r="G1455" s="9">
        <v>0</v>
      </c>
      <c r="H1455" s="9">
        <f>42-12</f>
        <v>30</v>
      </c>
      <c r="I1455" s="9">
        <v>16</v>
      </c>
      <c r="J1455" s="9">
        <f>21-6</f>
        <v>15</v>
      </c>
      <c r="K1455" s="9">
        <v>16</v>
      </c>
      <c r="L1455" s="9">
        <v>8</v>
      </c>
      <c r="M1455" s="9">
        <v>3</v>
      </c>
      <c r="N1455" s="9">
        <v>3</v>
      </c>
      <c r="O1455" s="9">
        <v>6</v>
      </c>
      <c r="P1455" s="9">
        <v>7</v>
      </c>
      <c r="Q1455" s="9">
        <v>7</v>
      </c>
      <c r="R1455" s="9">
        <v>0</v>
      </c>
      <c r="S1455" s="9">
        <v>0</v>
      </c>
      <c r="T1455" s="9">
        <v>0</v>
      </c>
      <c r="U1455" s="9">
        <v>12</v>
      </c>
      <c r="V1455" s="9">
        <v>5</v>
      </c>
      <c r="W1455" s="9">
        <v>6</v>
      </c>
      <c r="X1455" s="9">
        <v>16</v>
      </c>
      <c r="Y1455" s="9">
        <v>4</v>
      </c>
      <c r="Z1455" s="9">
        <v>16</v>
      </c>
      <c r="AA1455" s="9">
        <v>4</v>
      </c>
      <c r="AB1455" s="9">
        <v>2</v>
      </c>
      <c r="AC1455" s="9">
        <v>0</v>
      </c>
      <c r="AD1455" s="53" t="e">
        <f>#REF!*D1455</f>
        <v>#REF!</v>
      </c>
      <c r="AE1455" s="53" t="e">
        <f>AD1455-#REF!</f>
        <v>#REF!</v>
      </c>
      <c r="AF1455" s="9"/>
      <c r="AG1455" s="33" t="e">
        <f>#REF!-D1455</f>
        <v>#REF!</v>
      </c>
    </row>
    <row r="1456" spans="1:33" s="12" customFormat="1" ht="21.6" outlineLevel="1" x14ac:dyDescent="0.2">
      <c r="A1456" s="62" t="s">
        <v>1688</v>
      </c>
      <c r="B1456" s="47" t="s">
        <v>210</v>
      </c>
      <c r="C1456" s="9" t="s">
        <v>47</v>
      </c>
      <c r="D1456" s="25">
        <f t="shared" si="346"/>
        <v>34</v>
      </c>
      <c r="E1456" s="54"/>
      <c r="F1456" s="9"/>
      <c r="G1456" s="9">
        <v>0</v>
      </c>
      <c r="H1456" s="9">
        <v>6</v>
      </c>
      <c r="I1456" s="9">
        <v>1</v>
      </c>
      <c r="J1456" s="9">
        <v>0</v>
      </c>
      <c r="K1456" s="9">
        <v>1</v>
      </c>
      <c r="L1456" s="9">
        <v>0</v>
      </c>
      <c r="M1456" s="9">
        <v>0</v>
      </c>
      <c r="N1456" s="9">
        <v>0</v>
      </c>
      <c r="O1456" s="9">
        <v>0</v>
      </c>
      <c r="P1456" s="9">
        <v>0</v>
      </c>
      <c r="Q1456" s="9">
        <v>0</v>
      </c>
      <c r="R1456" s="9">
        <v>0</v>
      </c>
      <c r="S1456" s="9">
        <v>0</v>
      </c>
      <c r="T1456" s="9">
        <v>22</v>
      </c>
      <c r="U1456" s="9">
        <v>2</v>
      </c>
      <c r="V1456" s="9">
        <v>0</v>
      </c>
      <c r="W1456" s="9">
        <v>0</v>
      </c>
      <c r="X1456" s="9">
        <v>1</v>
      </c>
      <c r="Y1456" s="9">
        <v>0</v>
      </c>
      <c r="Z1456" s="9">
        <v>1</v>
      </c>
      <c r="AA1456" s="9">
        <v>0</v>
      </c>
      <c r="AB1456" s="9">
        <v>0</v>
      </c>
      <c r="AC1456" s="9">
        <v>0</v>
      </c>
      <c r="AD1456" s="53" t="e">
        <f>#REF!*D1456</f>
        <v>#REF!</v>
      </c>
      <c r="AE1456" s="53" t="e">
        <f>AD1456-#REF!</f>
        <v>#REF!</v>
      </c>
      <c r="AF1456" s="9"/>
      <c r="AG1456" s="33" t="e">
        <f>#REF!-D1456</f>
        <v>#REF!</v>
      </c>
    </row>
    <row r="1457" spans="1:33" s="12" customFormat="1" ht="21.6" outlineLevel="1" x14ac:dyDescent="0.2">
      <c r="A1457" s="62" t="s">
        <v>1689</v>
      </c>
      <c r="B1457" s="47" t="s">
        <v>171</v>
      </c>
      <c r="C1457" s="9" t="s">
        <v>47</v>
      </c>
      <c r="D1457" s="25">
        <f t="shared" si="346"/>
        <v>272</v>
      </c>
      <c r="E1457" s="54"/>
      <c r="F1457" s="9"/>
      <c r="G1457" s="9">
        <v>0</v>
      </c>
      <c r="H1457" s="9">
        <v>14</v>
      </c>
      <c r="I1457" s="9">
        <f>32-7</f>
        <v>25</v>
      </c>
      <c r="J1457" s="9">
        <f>32-9</f>
        <v>23</v>
      </c>
      <c r="K1457" s="9">
        <v>12</v>
      </c>
      <c r="L1457" s="9">
        <f>35-12</f>
        <v>23</v>
      </c>
      <c r="M1457" s="9">
        <v>22</v>
      </c>
      <c r="N1457" s="9">
        <v>22</v>
      </c>
      <c r="O1457" s="9">
        <v>21</v>
      </c>
      <c r="P1457" s="9">
        <v>25</v>
      </c>
      <c r="Q1457" s="9">
        <v>14</v>
      </c>
      <c r="R1457" s="9">
        <v>0</v>
      </c>
      <c r="S1457" s="9">
        <v>0</v>
      </c>
      <c r="T1457" s="9">
        <v>0</v>
      </c>
      <c r="U1457" s="9">
        <v>6</v>
      </c>
      <c r="V1457" s="9">
        <v>7</v>
      </c>
      <c r="W1457" s="9">
        <v>9</v>
      </c>
      <c r="X1457" s="9">
        <v>12</v>
      </c>
      <c r="Y1457" s="9">
        <v>12</v>
      </c>
      <c r="Z1457" s="9">
        <v>12</v>
      </c>
      <c r="AA1457" s="9">
        <v>12</v>
      </c>
      <c r="AB1457" s="9">
        <v>1</v>
      </c>
      <c r="AC1457" s="9">
        <v>0</v>
      </c>
      <c r="AD1457" s="53" t="e">
        <f>#REF!*D1457</f>
        <v>#REF!</v>
      </c>
      <c r="AE1457" s="53" t="e">
        <f>AD1457-#REF!</f>
        <v>#REF!</v>
      </c>
      <c r="AF1457" s="8"/>
      <c r="AG1457" s="33" t="e">
        <f>#REF!-D1457</f>
        <v>#REF!</v>
      </c>
    </row>
    <row r="1458" spans="1:33" s="12" customFormat="1" ht="21.6" outlineLevel="1" x14ac:dyDescent="0.2">
      <c r="A1458" s="62" t="s">
        <v>1690</v>
      </c>
      <c r="B1458" s="47" t="s">
        <v>350</v>
      </c>
      <c r="C1458" s="9" t="s">
        <v>47</v>
      </c>
      <c r="D1458" s="25">
        <f t="shared" si="346"/>
        <v>4</v>
      </c>
      <c r="E1458" s="54"/>
      <c r="F1458" s="9"/>
      <c r="G1458" s="9">
        <v>0</v>
      </c>
      <c r="H1458" s="9">
        <v>0</v>
      </c>
      <c r="I1458" s="9">
        <v>3</v>
      </c>
      <c r="J1458" s="9">
        <v>0</v>
      </c>
      <c r="K1458" s="9">
        <v>0</v>
      </c>
      <c r="L1458" s="9">
        <v>0</v>
      </c>
      <c r="M1458" s="9">
        <v>0</v>
      </c>
      <c r="N1458" s="9">
        <v>0</v>
      </c>
      <c r="O1458" s="9">
        <v>0</v>
      </c>
      <c r="P1458" s="9">
        <v>0</v>
      </c>
      <c r="Q1458" s="9">
        <v>0</v>
      </c>
      <c r="R1458" s="9">
        <v>0</v>
      </c>
      <c r="S1458" s="9">
        <v>0</v>
      </c>
      <c r="T1458" s="9">
        <v>0</v>
      </c>
      <c r="U1458" s="9">
        <v>0</v>
      </c>
      <c r="V1458" s="9">
        <v>1</v>
      </c>
      <c r="W1458" s="9">
        <v>0</v>
      </c>
      <c r="X1458" s="9">
        <v>0</v>
      </c>
      <c r="Y1458" s="9">
        <v>0</v>
      </c>
      <c r="Z1458" s="9">
        <v>0</v>
      </c>
      <c r="AA1458" s="9">
        <v>0</v>
      </c>
      <c r="AB1458" s="9">
        <v>0</v>
      </c>
      <c r="AC1458" s="9">
        <v>0</v>
      </c>
      <c r="AD1458" s="53" t="e">
        <f>#REF!*D1458</f>
        <v>#REF!</v>
      </c>
      <c r="AE1458" s="53" t="e">
        <f>AD1458-#REF!</f>
        <v>#REF!</v>
      </c>
      <c r="AF1458" s="8"/>
      <c r="AG1458" s="33" t="e">
        <f>#REF!-D1458</f>
        <v>#REF!</v>
      </c>
    </row>
    <row r="1459" spans="1:33" s="12" customFormat="1" ht="21.6" outlineLevel="1" x14ac:dyDescent="0.2">
      <c r="A1459" s="62" t="s">
        <v>1691</v>
      </c>
      <c r="B1459" s="47" t="s">
        <v>2589</v>
      </c>
      <c r="C1459" s="9" t="s">
        <v>47</v>
      </c>
      <c r="D1459" s="25">
        <f t="shared" si="346"/>
        <v>19</v>
      </c>
      <c r="E1459" s="54"/>
      <c r="F1459" s="9"/>
      <c r="G1459" s="49">
        <f t="shared" ref="G1459:AA1459" si="355">G1707</f>
        <v>0</v>
      </c>
      <c r="H1459" s="49">
        <f t="shared" si="355"/>
        <v>0</v>
      </c>
      <c r="I1459" s="49">
        <f t="shared" si="355"/>
        <v>2</v>
      </c>
      <c r="J1459" s="49">
        <f t="shared" si="355"/>
        <v>2</v>
      </c>
      <c r="K1459" s="49">
        <f t="shared" si="355"/>
        <v>1</v>
      </c>
      <c r="L1459" s="49">
        <f t="shared" si="355"/>
        <v>1</v>
      </c>
      <c r="M1459" s="49">
        <f t="shared" si="355"/>
        <v>1</v>
      </c>
      <c r="N1459" s="49">
        <f t="shared" si="355"/>
        <v>1</v>
      </c>
      <c r="O1459" s="49">
        <f t="shared" si="355"/>
        <v>1</v>
      </c>
      <c r="P1459" s="49">
        <f t="shared" si="355"/>
        <v>2</v>
      </c>
      <c r="Q1459" s="49">
        <f t="shared" si="355"/>
        <v>1</v>
      </c>
      <c r="R1459" s="49">
        <f t="shared" si="355"/>
        <v>0</v>
      </c>
      <c r="S1459" s="49">
        <f t="shared" si="355"/>
        <v>0</v>
      </c>
      <c r="T1459" s="49">
        <f t="shared" si="355"/>
        <v>0</v>
      </c>
      <c r="U1459" s="49">
        <f t="shared" si="355"/>
        <v>0</v>
      </c>
      <c r="V1459" s="49">
        <f t="shared" si="355"/>
        <v>2</v>
      </c>
      <c r="W1459" s="49">
        <f t="shared" si="355"/>
        <v>0</v>
      </c>
      <c r="X1459" s="49">
        <f t="shared" si="355"/>
        <v>0</v>
      </c>
      <c r="Y1459" s="49">
        <f t="shared" si="355"/>
        <v>2</v>
      </c>
      <c r="Z1459" s="49">
        <f t="shared" si="355"/>
        <v>1</v>
      </c>
      <c r="AA1459" s="49">
        <f t="shared" si="355"/>
        <v>1</v>
      </c>
      <c r="AB1459" s="9">
        <v>1</v>
      </c>
      <c r="AC1459" s="9">
        <v>0</v>
      </c>
      <c r="AD1459" s="53" t="e">
        <f>#REF!*D1459</f>
        <v>#REF!</v>
      </c>
      <c r="AE1459" s="53" t="e">
        <f>AD1459-#REF!</f>
        <v>#REF!</v>
      </c>
      <c r="AF1459" s="9"/>
      <c r="AG1459" s="33" t="e">
        <f>#REF!-D1459</f>
        <v>#REF!</v>
      </c>
    </row>
    <row r="1460" spans="1:33" s="12" customFormat="1" ht="21.6" outlineLevel="1" x14ac:dyDescent="0.2">
      <c r="A1460" s="62" t="s">
        <v>1692</v>
      </c>
      <c r="B1460" s="47" t="s">
        <v>361</v>
      </c>
      <c r="C1460" s="9" t="s">
        <v>47</v>
      </c>
      <c r="D1460" s="25">
        <f t="shared" si="346"/>
        <v>9</v>
      </c>
      <c r="E1460" s="54"/>
      <c r="F1460" s="9"/>
      <c r="G1460" s="9">
        <v>0</v>
      </c>
      <c r="H1460" s="9">
        <v>0</v>
      </c>
      <c r="I1460" s="9">
        <v>0</v>
      </c>
      <c r="J1460" s="9">
        <v>0</v>
      </c>
      <c r="K1460" s="9">
        <v>0</v>
      </c>
      <c r="L1460" s="9">
        <v>0</v>
      </c>
      <c r="M1460" s="9">
        <v>0</v>
      </c>
      <c r="N1460" s="9">
        <v>0</v>
      </c>
      <c r="O1460" s="9">
        <v>0</v>
      </c>
      <c r="P1460" s="9">
        <v>0</v>
      </c>
      <c r="Q1460" s="9">
        <v>0</v>
      </c>
      <c r="R1460" s="9">
        <v>0</v>
      </c>
      <c r="S1460" s="9">
        <v>0</v>
      </c>
      <c r="T1460" s="9">
        <v>9</v>
      </c>
      <c r="U1460" s="9">
        <v>0</v>
      </c>
      <c r="V1460" s="9">
        <v>0</v>
      </c>
      <c r="W1460" s="9">
        <v>0</v>
      </c>
      <c r="X1460" s="9">
        <v>0</v>
      </c>
      <c r="Y1460" s="9">
        <v>0</v>
      </c>
      <c r="Z1460" s="9">
        <v>0</v>
      </c>
      <c r="AA1460" s="9">
        <v>0</v>
      </c>
      <c r="AB1460" s="9">
        <v>0</v>
      </c>
      <c r="AC1460" s="9">
        <v>0</v>
      </c>
      <c r="AD1460" s="53" t="e">
        <f>#REF!*D1460</f>
        <v>#REF!</v>
      </c>
      <c r="AE1460" s="53" t="e">
        <f>AD1460-#REF!</f>
        <v>#REF!</v>
      </c>
      <c r="AF1460" s="9"/>
      <c r="AG1460" s="33" t="e">
        <f>#REF!-D1460</f>
        <v>#REF!</v>
      </c>
    </row>
    <row r="1461" spans="1:33" s="12" customFormat="1" ht="21.6" outlineLevel="1" x14ac:dyDescent="0.2">
      <c r="A1461" s="62" t="s">
        <v>1693</v>
      </c>
      <c r="B1461" s="47" t="s">
        <v>1656</v>
      </c>
      <c r="C1461" s="9" t="s">
        <v>47</v>
      </c>
      <c r="D1461" s="25">
        <f t="shared" si="346"/>
        <v>3</v>
      </c>
      <c r="E1461" s="54"/>
      <c r="F1461" s="9"/>
      <c r="G1461" s="9">
        <v>0</v>
      </c>
      <c r="H1461" s="9">
        <v>0</v>
      </c>
      <c r="I1461" s="9">
        <v>0</v>
      </c>
      <c r="J1461" s="9">
        <v>0</v>
      </c>
      <c r="K1461" s="9">
        <v>0</v>
      </c>
      <c r="L1461" s="9">
        <v>0</v>
      </c>
      <c r="M1461" s="9">
        <v>0</v>
      </c>
      <c r="N1461" s="9">
        <v>0</v>
      </c>
      <c r="O1461" s="9">
        <v>0</v>
      </c>
      <c r="P1461" s="9">
        <v>0</v>
      </c>
      <c r="Q1461" s="9">
        <v>0</v>
      </c>
      <c r="R1461" s="9">
        <v>0</v>
      </c>
      <c r="S1461" s="9">
        <v>0</v>
      </c>
      <c r="T1461" s="9">
        <v>3</v>
      </c>
      <c r="U1461" s="9">
        <v>0</v>
      </c>
      <c r="V1461" s="9">
        <v>0</v>
      </c>
      <c r="W1461" s="9">
        <v>0</v>
      </c>
      <c r="X1461" s="9">
        <v>0</v>
      </c>
      <c r="Y1461" s="9">
        <v>0</v>
      </c>
      <c r="Z1461" s="9">
        <v>0</v>
      </c>
      <c r="AA1461" s="9">
        <v>0</v>
      </c>
      <c r="AB1461" s="9">
        <v>0</v>
      </c>
      <c r="AC1461" s="9">
        <v>0</v>
      </c>
      <c r="AD1461" s="53" t="e">
        <f>#REF!*D1461</f>
        <v>#REF!</v>
      </c>
      <c r="AE1461" s="53" t="e">
        <f>AD1461-#REF!</f>
        <v>#REF!</v>
      </c>
      <c r="AF1461" s="9"/>
      <c r="AG1461" s="33" t="e">
        <f>#REF!-D1461</f>
        <v>#REF!</v>
      </c>
    </row>
    <row r="1462" spans="1:33" s="12" customFormat="1" ht="21.6" outlineLevel="1" x14ac:dyDescent="0.2">
      <c r="A1462" s="62" t="s">
        <v>1694</v>
      </c>
      <c r="B1462" s="47" t="s">
        <v>1642</v>
      </c>
      <c r="C1462" s="9" t="s">
        <v>47</v>
      </c>
      <c r="D1462" s="25">
        <f t="shared" si="346"/>
        <v>2</v>
      </c>
      <c r="E1462" s="54"/>
      <c r="F1462" s="9"/>
      <c r="G1462" s="9">
        <v>0</v>
      </c>
      <c r="H1462" s="9">
        <v>0</v>
      </c>
      <c r="I1462" s="9">
        <v>1</v>
      </c>
      <c r="J1462" s="9">
        <v>0</v>
      </c>
      <c r="K1462" s="9">
        <v>0</v>
      </c>
      <c r="L1462" s="9">
        <v>0</v>
      </c>
      <c r="M1462" s="9">
        <v>0</v>
      </c>
      <c r="N1462" s="9">
        <v>0</v>
      </c>
      <c r="O1462" s="9">
        <v>0</v>
      </c>
      <c r="P1462" s="9">
        <v>0</v>
      </c>
      <c r="Q1462" s="9">
        <v>0</v>
      </c>
      <c r="R1462" s="9">
        <v>0</v>
      </c>
      <c r="S1462" s="9">
        <v>0</v>
      </c>
      <c r="T1462" s="9">
        <v>0</v>
      </c>
      <c r="U1462" s="9">
        <v>0</v>
      </c>
      <c r="V1462" s="9">
        <v>1</v>
      </c>
      <c r="W1462" s="9">
        <v>0</v>
      </c>
      <c r="X1462" s="9">
        <v>0</v>
      </c>
      <c r="Y1462" s="9">
        <v>0</v>
      </c>
      <c r="Z1462" s="9">
        <v>0</v>
      </c>
      <c r="AA1462" s="9">
        <v>0</v>
      </c>
      <c r="AB1462" s="9">
        <v>0</v>
      </c>
      <c r="AC1462" s="9">
        <v>0</v>
      </c>
      <c r="AD1462" s="53" t="e">
        <f>#REF!*D1462</f>
        <v>#REF!</v>
      </c>
      <c r="AE1462" s="53" t="e">
        <f>AD1462-#REF!</f>
        <v>#REF!</v>
      </c>
      <c r="AF1462" s="8"/>
      <c r="AG1462" s="33" t="e">
        <f>#REF!-D1462</f>
        <v>#REF!</v>
      </c>
    </row>
    <row r="1463" spans="1:33" s="12" customFormat="1" ht="21.6" outlineLevel="1" x14ac:dyDescent="0.2">
      <c r="A1463" s="62" t="s">
        <v>1695</v>
      </c>
      <c r="B1463" s="47" t="s">
        <v>354</v>
      </c>
      <c r="C1463" s="9" t="s">
        <v>47</v>
      </c>
      <c r="D1463" s="25">
        <f t="shared" si="346"/>
        <v>28</v>
      </c>
      <c r="E1463" s="54"/>
      <c r="F1463" s="9"/>
      <c r="G1463" s="9">
        <v>0</v>
      </c>
      <c r="H1463" s="9">
        <v>0</v>
      </c>
      <c r="I1463" s="9">
        <v>1</v>
      </c>
      <c r="J1463" s="9">
        <v>3</v>
      </c>
      <c r="K1463" s="9">
        <v>2</v>
      </c>
      <c r="L1463" s="9">
        <v>2</v>
      </c>
      <c r="M1463" s="9">
        <v>3</v>
      </c>
      <c r="N1463" s="9">
        <v>3</v>
      </c>
      <c r="O1463" s="9">
        <v>3</v>
      </c>
      <c r="P1463" s="9">
        <v>1</v>
      </c>
      <c r="Q1463" s="9">
        <v>3</v>
      </c>
      <c r="R1463" s="9">
        <v>0</v>
      </c>
      <c r="S1463" s="9">
        <v>0</v>
      </c>
      <c r="T1463" s="9">
        <v>0</v>
      </c>
      <c r="U1463" s="9">
        <v>0</v>
      </c>
      <c r="V1463" s="9">
        <v>0</v>
      </c>
      <c r="W1463" s="9">
        <v>3</v>
      </c>
      <c r="X1463" s="9">
        <v>1</v>
      </c>
      <c r="Y1463" s="9">
        <v>1</v>
      </c>
      <c r="Z1463" s="9">
        <v>1</v>
      </c>
      <c r="AA1463" s="9">
        <v>1</v>
      </c>
      <c r="AB1463" s="9">
        <v>0</v>
      </c>
      <c r="AC1463" s="9">
        <v>0</v>
      </c>
      <c r="AD1463" s="53" t="e">
        <f>#REF!*D1463</f>
        <v>#REF!</v>
      </c>
      <c r="AE1463" s="53" t="e">
        <f>AD1463-#REF!</f>
        <v>#REF!</v>
      </c>
      <c r="AF1463" s="8"/>
      <c r="AG1463" s="33" t="e">
        <f>#REF!-D1463</f>
        <v>#REF!</v>
      </c>
    </row>
    <row r="1464" spans="1:33" s="12" customFormat="1" ht="21.6" outlineLevel="1" x14ac:dyDescent="0.2">
      <c r="A1464" s="62" t="s">
        <v>1696</v>
      </c>
      <c r="B1464" s="47" t="s">
        <v>172</v>
      </c>
      <c r="C1464" s="9" t="s">
        <v>47</v>
      </c>
      <c r="D1464" s="25">
        <f t="shared" si="346"/>
        <v>344</v>
      </c>
      <c r="E1464" s="54"/>
      <c r="F1464" s="9"/>
      <c r="G1464" s="9">
        <v>0</v>
      </c>
      <c r="H1464" s="9">
        <v>3</v>
      </c>
      <c r="I1464" s="9">
        <v>23</v>
      </c>
      <c r="J1464" s="9">
        <f>55-16</f>
        <v>39</v>
      </c>
      <c r="K1464" s="9">
        <v>18</v>
      </c>
      <c r="L1464" s="9">
        <f>49-17</f>
        <v>32</v>
      </c>
      <c r="M1464" s="9">
        <v>29</v>
      </c>
      <c r="N1464" s="9">
        <v>29</v>
      </c>
      <c r="O1464" s="9">
        <v>35</v>
      </c>
      <c r="P1464" s="9">
        <v>27</v>
      </c>
      <c r="Q1464" s="9">
        <v>15</v>
      </c>
      <c r="R1464" s="9">
        <v>0</v>
      </c>
      <c r="S1464" s="9">
        <v>0</v>
      </c>
      <c r="T1464" s="9">
        <v>0</v>
      </c>
      <c r="U1464" s="9">
        <v>2</v>
      </c>
      <c r="V1464" s="9">
        <v>7</v>
      </c>
      <c r="W1464" s="9">
        <v>16</v>
      </c>
      <c r="X1464" s="9">
        <v>17</v>
      </c>
      <c r="Y1464" s="9">
        <v>17</v>
      </c>
      <c r="Z1464" s="9">
        <v>17</v>
      </c>
      <c r="AA1464" s="9">
        <v>17</v>
      </c>
      <c r="AB1464" s="9">
        <v>1</v>
      </c>
      <c r="AC1464" s="9">
        <v>0</v>
      </c>
      <c r="AD1464" s="53" t="e">
        <f>#REF!*D1464</f>
        <v>#REF!</v>
      </c>
      <c r="AE1464" s="53" t="e">
        <f>AD1464-#REF!</f>
        <v>#REF!</v>
      </c>
      <c r="AF1464" s="8"/>
      <c r="AG1464" s="33" t="e">
        <f>#REF!-D1464</f>
        <v>#REF!</v>
      </c>
    </row>
    <row r="1465" spans="1:33" s="12" customFormat="1" ht="21.6" outlineLevel="1" x14ac:dyDescent="0.2">
      <c r="A1465" s="62" t="s">
        <v>1697</v>
      </c>
      <c r="B1465" s="47" t="s">
        <v>353</v>
      </c>
      <c r="C1465" s="9" t="s">
        <v>47</v>
      </c>
      <c r="D1465" s="25">
        <f t="shared" si="346"/>
        <v>3</v>
      </c>
      <c r="E1465" s="54"/>
      <c r="F1465" s="9"/>
      <c r="G1465" s="9">
        <v>0</v>
      </c>
      <c r="H1465" s="9">
        <v>0</v>
      </c>
      <c r="I1465" s="9">
        <v>0</v>
      </c>
      <c r="J1465" s="9">
        <v>0</v>
      </c>
      <c r="K1465" s="9">
        <v>1</v>
      </c>
      <c r="L1465" s="9">
        <v>1</v>
      </c>
      <c r="M1465" s="9">
        <v>0</v>
      </c>
      <c r="N1465" s="9">
        <v>0</v>
      </c>
      <c r="O1465" s="9">
        <v>0</v>
      </c>
      <c r="P1465" s="9">
        <v>0</v>
      </c>
      <c r="Q1465" s="9">
        <v>1</v>
      </c>
      <c r="R1465" s="9">
        <v>0</v>
      </c>
      <c r="S1465" s="9">
        <v>0</v>
      </c>
      <c r="T1465" s="9">
        <v>0</v>
      </c>
      <c r="U1465" s="9">
        <v>0</v>
      </c>
      <c r="V1465" s="9">
        <v>0</v>
      </c>
      <c r="W1465" s="9">
        <v>0</v>
      </c>
      <c r="X1465" s="9">
        <v>0</v>
      </c>
      <c r="Y1465" s="9">
        <v>0</v>
      </c>
      <c r="Z1465" s="9">
        <v>0</v>
      </c>
      <c r="AA1465" s="9">
        <v>0</v>
      </c>
      <c r="AB1465" s="9">
        <v>0</v>
      </c>
      <c r="AC1465" s="9">
        <v>0</v>
      </c>
      <c r="AD1465" s="53" t="e">
        <f>#REF!*D1465</f>
        <v>#REF!</v>
      </c>
      <c r="AE1465" s="53" t="e">
        <f>AD1465-#REF!</f>
        <v>#REF!</v>
      </c>
      <c r="AF1465" s="8"/>
      <c r="AG1465" s="33" t="e">
        <f>#REF!-D1465</f>
        <v>#REF!</v>
      </c>
    </row>
    <row r="1466" spans="1:33" s="12" customFormat="1" ht="21.6" outlineLevel="1" x14ac:dyDescent="0.2">
      <c r="A1466" s="62" t="s">
        <v>1698</v>
      </c>
      <c r="B1466" s="47" t="s">
        <v>1641</v>
      </c>
      <c r="C1466" s="9" t="s">
        <v>47</v>
      </c>
      <c r="D1466" s="25">
        <f t="shared" si="346"/>
        <v>311</v>
      </c>
      <c r="E1466" s="54"/>
      <c r="F1466" s="9"/>
      <c r="G1466" s="9">
        <v>0</v>
      </c>
      <c r="H1466" s="9">
        <v>5</v>
      </c>
      <c r="I1466" s="9">
        <f>31-7</f>
        <v>24</v>
      </c>
      <c r="J1466" s="9">
        <f>48-14</f>
        <v>34</v>
      </c>
      <c r="K1466" s="9">
        <v>18</v>
      </c>
      <c r="L1466" s="9">
        <v>24</v>
      </c>
      <c r="M1466" s="9">
        <v>28</v>
      </c>
      <c r="N1466" s="9">
        <v>28</v>
      </c>
      <c r="O1466" s="9">
        <v>27</v>
      </c>
      <c r="P1466" s="9">
        <v>35</v>
      </c>
      <c r="Q1466" s="9">
        <v>5</v>
      </c>
      <c r="R1466" s="9">
        <v>0</v>
      </c>
      <c r="S1466" s="9">
        <v>0</v>
      </c>
      <c r="T1466" s="9">
        <v>0</v>
      </c>
      <c r="U1466" s="9">
        <v>2</v>
      </c>
      <c r="V1466" s="9">
        <v>7</v>
      </c>
      <c r="W1466" s="9">
        <v>14</v>
      </c>
      <c r="X1466" s="9">
        <v>17</v>
      </c>
      <c r="Y1466" s="9">
        <v>12</v>
      </c>
      <c r="Z1466" s="9">
        <v>17</v>
      </c>
      <c r="AA1466" s="9">
        <v>12</v>
      </c>
      <c r="AB1466" s="9">
        <v>2</v>
      </c>
      <c r="AC1466" s="9">
        <v>0</v>
      </c>
      <c r="AD1466" s="53" t="e">
        <f>#REF!*D1466</f>
        <v>#REF!</v>
      </c>
      <c r="AE1466" s="53" t="e">
        <f>AD1466-#REF!</f>
        <v>#REF!</v>
      </c>
      <c r="AF1466" s="8"/>
      <c r="AG1466" s="33" t="e">
        <f>#REF!-D1466</f>
        <v>#REF!</v>
      </c>
    </row>
    <row r="1467" spans="1:33" s="12" customFormat="1" ht="21.6" outlineLevel="1" x14ac:dyDescent="0.2">
      <c r="A1467" s="62" t="s">
        <v>1699</v>
      </c>
      <c r="B1467" s="47" t="s">
        <v>1643</v>
      </c>
      <c r="C1467" s="9" t="s">
        <v>47</v>
      </c>
      <c r="D1467" s="25">
        <f t="shared" si="346"/>
        <v>36</v>
      </c>
      <c r="E1467" s="54"/>
      <c r="F1467" s="9"/>
      <c r="G1467" s="9">
        <v>0</v>
      </c>
      <c r="H1467" s="9">
        <v>6</v>
      </c>
      <c r="I1467" s="9">
        <v>1</v>
      </c>
      <c r="J1467" s="9">
        <v>0</v>
      </c>
      <c r="K1467" s="9">
        <v>7</v>
      </c>
      <c r="L1467" s="9">
        <v>3</v>
      </c>
      <c r="M1467" s="9">
        <v>0</v>
      </c>
      <c r="N1467" s="9">
        <v>0</v>
      </c>
      <c r="O1467" s="9">
        <v>0</v>
      </c>
      <c r="P1467" s="9">
        <v>0</v>
      </c>
      <c r="Q1467" s="9">
        <v>0</v>
      </c>
      <c r="R1467" s="9">
        <v>0</v>
      </c>
      <c r="S1467" s="9">
        <v>0</v>
      </c>
      <c r="T1467" s="9">
        <v>0</v>
      </c>
      <c r="U1467" s="9">
        <v>2</v>
      </c>
      <c r="V1467" s="9">
        <v>0</v>
      </c>
      <c r="W1467" s="9">
        <v>0</v>
      </c>
      <c r="X1467" s="9">
        <v>7</v>
      </c>
      <c r="Y1467" s="9">
        <v>1</v>
      </c>
      <c r="Z1467" s="9">
        <v>7</v>
      </c>
      <c r="AA1467" s="9">
        <v>1</v>
      </c>
      <c r="AB1467" s="9">
        <v>1</v>
      </c>
      <c r="AC1467" s="9">
        <v>0</v>
      </c>
      <c r="AD1467" s="53" t="e">
        <f>#REF!*D1467</f>
        <v>#REF!</v>
      </c>
      <c r="AE1467" s="53" t="e">
        <f>AD1467-#REF!</f>
        <v>#REF!</v>
      </c>
      <c r="AF1467" s="8"/>
      <c r="AG1467" s="33" t="e">
        <f>#REF!-D1467</f>
        <v>#REF!</v>
      </c>
    </row>
    <row r="1468" spans="1:33" s="12" customFormat="1" ht="21.6" outlineLevel="1" x14ac:dyDescent="0.2">
      <c r="A1468" s="62" t="s">
        <v>1700</v>
      </c>
      <c r="B1468" s="47" t="s">
        <v>1644</v>
      </c>
      <c r="C1468" s="9" t="s">
        <v>47</v>
      </c>
      <c r="D1468" s="25">
        <f t="shared" si="346"/>
        <v>60</v>
      </c>
      <c r="E1468" s="54"/>
      <c r="F1468" s="9"/>
      <c r="G1468" s="9">
        <v>0</v>
      </c>
      <c r="H1468" s="9">
        <v>8</v>
      </c>
      <c r="I1468" s="9">
        <v>8</v>
      </c>
      <c r="J1468" s="9">
        <v>3</v>
      </c>
      <c r="K1468" s="9">
        <v>6</v>
      </c>
      <c r="L1468" s="9">
        <v>1</v>
      </c>
      <c r="M1468" s="9">
        <v>0</v>
      </c>
      <c r="N1468" s="9">
        <v>0</v>
      </c>
      <c r="O1468" s="9">
        <v>0</v>
      </c>
      <c r="P1468" s="9">
        <v>11</v>
      </c>
      <c r="Q1468" s="9">
        <v>5</v>
      </c>
      <c r="R1468" s="9">
        <v>0</v>
      </c>
      <c r="S1468" s="9">
        <v>0</v>
      </c>
      <c r="T1468" s="9">
        <v>0</v>
      </c>
      <c r="U1468" s="9">
        <v>2</v>
      </c>
      <c r="V1468" s="9">
        <v>2</v>
      </c>
      <c r="W1468" s="9">
        <v>1</v>
      </c>
      <c r="X1468" s="9">
        <v>6</v>
      </c>
      <c r="Y1468" s="9">
        <v>0</v>
      </c>
      <c r="Z1468" s="9">
        <v>6</v>
      </c>
      <c r="AA1468" s="9">
        <v>0</v>
      </c>
      <c r="AB1468" s="9">
        <v>1</v>
      </c>
      <c r="AC1468" s="9">
        <v>0</v>
      </c>
      <c r="AD1468" s="53" t="e">
        <f>#REF!*D1468</f>
        <v>#REF!</v>
      </c>
      <c r="AE1468" s="53" t="e">
        <f>AD1468-#REF!</f>
        <v>#REF!</v>
      </c>
      <c r="AF1468" s="8"/>
      <c r="AG1468" s="33" t="e">
        <f>#REF!-D1468</f>
        <v>#REF!</v>
      </c>
    </row>
    <row r="1469" spans="1:33" s="12" customFormat="1" ht="21.6" outlineLevel="1" x14ac:dyDescent="0.2">
      <c r="A1469" s="62" t="s">
        <v>1701</v>
      </c>
      <c r="B1469" s="47" t="s">
        <v>2597</v>
      </c>
      <c r="C1469" s="9" t="s">
        <v>47</v>
      </c>
      <c r="D1469" s="25">
        <f t="shared" si="346"/>
        <v>23</v>
      </c>
      <c r="E1469" s="54"/>
      <c r="F1469" s="9"/>
      <c r="G1469" s="9">
        <v>0</v>
      </c>
      <c r="H1469" s="9">
        <v>0</v>
      </c>
      <c r="I1469" s="9">
        <v>0</v>
      </c>
      <c r="J1469" s="9">
        <v>0</v>
      </c>
      <c r="K1469" s="9">
        <v>0</v>
      </c>
      <c r="L1469" s="9">
        <v>0</v>
      </c>
      <c r="M1469" s="9">
        <v>0</v>
      </c>
      <c r="N1469" s="9">
        <v>0</v>
      </c>
      <c r="O1469" s="9">
        <v>0</v>
      </c>
      <c r="P1469" s="9">
        <v>0</v>
      </c>
      <c r="Q1469" s="9">
        <v>0</v>
      </c>
      <c r="R1469" s="9">
        <v>0</v>
      </c>
      <c r="S1469" s="9">
        <v>0</v>
      </c>
      <c r="T1469" s="9">
        <v>22</v>
      </c>
      <c r="U1469" s="9">
        <v>0</v>
      </c>
      <c r="V1469" s="9">
        <v>0</v>
      </c>
      <c r="W1469" s="9">
        <v>0</v>
      </c>
      <c r="X1469" s="9">
        <v>0</v>
      </c>
      <c r="Y1469" s="9">
        <v>0</v>
      </c>
      <c r="Z1469" s="9">
        <v>0</v>
      </c>
      <c r="AA1469" s="9">
        <v>0</v>
      </c>
      <c r="AB1469" s="9">
        <v>1</v>
      </c>
      <c r="AC1469" s="9">
        <v>0</v>
      </c>
      <c r="AD1469" s="53" t="e">
        <f>#REF!*D1469</f>
        <v>#REF!</v>
      </c>
      <c r="AE1469" s="53" t="e">
        <f>AD1469-#REF!</f>
        <v>#REF!</v>
      </c>
      <c r="AF1469" s="8"/>
      <c r="AG1469" s="33" t="e">
        <f>#REF!-D1469</f>
        <v>#REF!</v>
      </c>
    </row>
    <row r="1470" spans="1:33" s="12" customFormat="1" ht="12" customHeight="1" outlineLevel="1" x14ac:dyDescent="0.2">
      <c r="A1470" s="62" t="s">
        <v>1702</v>
      </c>
      <c r="B1470" s="47" t="s">
        <v>1645</v>
      </c>
      <c r="C1470" s="9" t="s">
        <v>47</v>
      </c>
      <c r="D1470" s="25">
        <f t="shared" si="346"/>
        <v>164</v>
      </c>
      <c r="E1470" s="54"/>
      <c r="F1470" s="9"/>
      <c r="G1470" s="9">
        <v>0</v>
      </c>
      <c r="H1470" s="9">
        <v>7</v>
      </c>
      <c r="I1470" s="9">
        <v>11</v>
      </c>
      <c r="J1470" s="9">
        <v>13</v>
      </c>
      <c r="K1470" s="9">
        <v>5</v>
      </c>
      <c r="L1470" s="9">
        <v>13</v>
      </c>
      <c r="M1470" s="9">
        <v>17</v>
      </c>
      <c r="N1470" s="9">
        <v>17</v>
      </c>
      <c r="O1470" s="9">
        <v>19</v>
      </c>
      <c r="P1470" s="9">
        <v>13</v>
      </c>
      <c r="Q1470" s="9">
        <v>12</v>
      </c>
      <c r="R1470" s="9">
        <v>0</v>
      </c>
      <c r="S1470" s="9">
        <v>0</v>
      </c>
      <c r="T1470" s="9">
        <v>0</v>
      </c>
      <c r="U1470" s="9">
        <v>3</v>
      </c>
      <c r="V1470" s="9">
        <v>3</v>
      </c>
      <c r="W1470" s="9">
        <v>5</v>
      </c>
      <c r="X1470" s="9">
        <v>5</v>
      </c>
      <c r="Y1470" s="9">
        <v>7</v>
      </c>
      <c r="Z1470" s="9">
        <v>5</v>
      </c>
      <c r="AA1470" s="9">
        <v>7</v>
      </c>
      <c r="AB1470" s="9">
        <v>2</v>
      </c>
      <c r="AC1470" s="9">
        <v>0</v>
      </c>
      <c r="AD1470" s="53" t="e">
        <f>#REF!*D1470</f>
        <v>#REF!</v>
      </c>
      <c r="AE1470" s="53" t="e">
        <f>AD1470-#REF!</f>
        <v>#REF!</v>
      </c>
      <c r="AF1470" s="9"/>
      <c r="AG1470" s="33" t="e">
        <f>#REF!-D1470</f>
        <v>#REF!</v>
      </c>
    </row>
    <row r="1471" spans="1:33" s="12" customFormat="1" ht="12" customHeight="1" outlineLevel="1" x14ac:dyDescent="0.2">
      <c r="A1471" s="62" t="s">
        <v>1703</v>
      </c>
      <c r="B1471" s="47" t="s">
        <v>211</v>
      </c>
      <c r="C1471" s="9" t="s">
        <v>47</v>
      </c>
      <c r="D1471" s="25">
        <f t="shared" ref="D1471:D1488" si="356">SUM(G1471:AC1471)</f>
        <v>20</v>
      </c>
      <c r="E1471" s="54"/>
      <c r="F1471" s="9"/>
      <c r="G1471" s="9">
        <v>0</v>
      </c>
      <c r="H1471" s="9">
        <v>12</v>
      </c>
      <c r="I1471" s="9">
        <v>2</v>
      </c>
      <c r="J1471" s="9">
        <v>0</v>
      </c>
      <c r="K1471" s="9">
        <v>0</v>
      </c>
      <c r="L1471" s="9">
        <v>0</v>
      </c>
      <c r="M1471" s="9">
        <v>0</v>
      </c>
      <c r="N1471" s="9">
        <v>0</v>
      </c>
      <c r="O1471" s="9">
        <v>0</v>
      </c>
      <c r="P1471" s="9">
        <v>0</v>
      </c>
      <c r="Q1471" s="9">
        <v>0</v>
      </c>
      <c r="R1471" s="9">
        <v>0</v>
      </c>
      <c r="S1471" s="9">
        <v>0</v>
      </c>
      <c r="T1471" s="9">
        <v>0</v>
      </c>
      <c r="U1471" s="9">
        <v>5</v>
      </c>
      <c r="V1471" s="9">
        <v>1</v>
      </c>
      <c r="W1471" s="9">
        <v>0</v>
      </c>
      <c r="X1471" s="9">
        <v>0</v>
      </c>
      <c r="Y1471" s="9">
        <v>0</v>
      </c>
      <c r="Z1471" s="9">
        <v>0</v>
      </c>
      <c r="AA1471" s="9">
        <v>0</v>
      </c>
      <c r="AB1471" s="9">
        <v>0</v>
      </c>
      <c r="AC1471" s="9">
        <v>0</v>
      </c>
      <c r="AD1471" s="53" t="e">
        <f>#REF!*D1471</f>
        <v>#REF!</v>
      </c>
      <c r="AE1471" s="53" t="e">
        <f>AD1471-#REF!</f>
        <v>#REF!</v>
      </c>
      <c r="AF1471" s="9"/>
      <c r="AG1471" s="33" t="e">
        <f>#REF!-D1471</f>
        <v>#REF!</v>
      </c>
    </row>
    <row r="1472" spans="1:33" s="12" customFormat="1" ht="21.6" outlineLevel="1" x14ac:dyDescent="0.2">
      <c r="A1472" s="62" t="s">
        <v>1704</v>
      </c>
      <c r="B1472" s="47" t="s">
        <v>1646</v>
      </c>
      <c r="C1472" s="8" t="s">
        <v>47</v>
      </c>
      <c r="D1472" s="25">
        <f t="shared" si="356"/>
        <v>13</v>
      </c>
      <c r="E1472" s="54"/>
      <c r="F1472" s="9"/>
      <c r="G1472" s="9">
        <v>0</v>
      </c>
      <c r="H1472" s="9">
        <v>1</v>
      </c>
      <c r="I1472" s="9">
        <v>1</v>
      </c>
      <c r="J1472" s="9">
        <v>3</v>
      </c>
      <c r="K1472" s="9">
        <v>2</v>
      </c>
      <c r="L1472" s="9">
        <v>0</v>
      </c>
      <c r="M1472" s="9">
        <v>1</v>
      </c>
      <c r="N1472" s="9">
        <v>1</v>
      </c>
      <c r="O1472" s="9">
        <v>0</v>
      </c>
      <c r="P1472" s="9">
        <v>0</v>
      </c>
      <c r="Q1472" s="9">
        <v>1</v>
      </c>
      <c r="R1472" s="9">
        <v>0</v>
      </c>
      <c r="S1472" s="9">
        <v>0</v>
      </c>
      <c r="T1472" s="9">
        <v>0</v>
      </c>
      <c r="U1472" s="9">
        <v>0</v>
      </c>
      <c r="V1472" s="9">
        <v>0</v>
      </c>
      <c r="W1472" s="9">
        <v>1</v>
      </c>
      <c r="X1472" s="9">
        <v>1</v>
      </c>
      <c r="Y1472" s="9">
        <v>0</v>
      </c>
      <c r="Z1472" s="9">
        <v>1</v>
      </c>
      <c r="AA1472" s="9">
        <v>0</v>
      </c>
      <c r="AB1472" s="9">
        <v>0</v>
      </c>
      <c r="AC1472" s="9">
        <v>0</v>
      </c>
      <c r="AD1472" s="53" t="e">
        <f>#REF!*D1472</f>
        <v>#REF!</v>
      </c>
      <c r="AE1472" s="53" t="e">
        <f>AD1472-#REF!</f>
        <v>#REF!</v>
      </c>
      <c r="AF1472" s="8"/>
      <c r="AG1472" s="33" t="e">
        <f>#REF!-D1472</f>
        <v>#REF!</v>
      </c>
    </row>
    <row r="1473" spans="1:33" s="12" customFormat="1" ht="21.6" outlineLevel="1" x14ac:dyDescent="0.2">
      <c r="A1473" s="62" t="s">
        <v>1705</v>
      </c>
      <c r="B1473" s="47" t="s">
        <v>1647</v>
      </c>
      <c r="C1473" s="8" t="s">
        <v>47</v>
      </c>
      <c r="D1473" s="25">
        <f t="shared" si="356"/>
        <v>130</v>
      </c>
      <c r="E1473" s="54"/>
      <c r="F1473" s="9"/>
      <c r="G1473" s="9">
        <v>0</v>
      </c>
      <c r="H1473" s="9">
        <v>5</v>
      </c>
      <c r="I1473" s="9">
        <v>8</v>
      </c>
      <c r="J1473" s="9">
        <v>14</v>
      </c>
      <c r="K1473" s="9">
        <v>3</v>
      </c>
      <c r="L1473" s="9">
        <v>13</v>
      </c>
      <c r="M1473" s="9">
        <v>10</v>
      </c>
      <c r="N1473" s="9">
        <v>10</v>
      </c>
      <c r="O1473" s="9">
        <v>19</v>
      </c>
      <c r="P1473" s="9">
        <v>14</v>
      </c>
      <c r="Q1473" s="9">
        <v>7</v>
      </c>
      <c r="R1473" s="9">
        <v>0</v>
      </c>
      <c r="S1473" s="9">
        <v>0</v>
      </c>
      <c r="T1473" s="9">
        <v>0</v>
      </c>
      <c r="U1473" s="9">
        <v>2</v>
      </c>
      <c r="V1473" s="9">
        <v>2</v>
      </c>
      <c r="W1473" s="9">
        <v>5</v>
      </c>
      <c r="X1473" s="9">
        <v>3</v>
      </c>
      <c r="Y1473" s="9">
        <v>6</v>
      </c>
      <c r="Z1473" s="9">
        <v>3</v>
      </c>
      <c r="AA1473" s="9">
        <v>6</v>
      </c>
      <c r="AB1473" s="9">
        <v>0</v>
      </c>
      <c r="AC1473" s="9">
        <v>0</v>
      </c>
      <c r="AD1473" s="53" t="e">
        <f>#REF!*D1473</f>
        <v>#REF!</v>
      </c>
      <c r="AE1473" s="53" t="e">
        <f>AD1473-#REF!</f>
        <v>#REF!</v>
      </c>
      <c r="AF1473" s="8"/>
      <c r="AG1473" s="33" t="e">
        <f>#REF!-D1473</f>
        <v>#REF!</v>
      </c>
    </row>
    <row r="1474" spans="1:33" s="12" customFormat="1" ht="21.6" outlineLevel="1" x14ac:dyDescent="0.2">
      <c r="A1474" s="62" t="s">
        <v>1706</v>
      </c>
      <c r="B1474" s="47" t="s">
        <v>1648</v>
      </c>
      <c r="C1474" s="8" t="s">
        <v>47</v>
      </c>
      <c r="D1474" s="25">
        <f t="shared" si="356"/>
        <v>2</v>
      </c>
      <c r="E1474" s="54"/>
      <c r="F1474" s="9"/>
      <c r="G1474" s="9">
        <v>0</v>
      </c>
      <c r="H1474" s="9">
        <v>2</v>
      </c>
      <c r="I1474" s="9">
        <v>0</v>
      </c>
      <c r="J1474" s="9">
        <v>0</v>
      </c>
      <c r="K1474" s="9">
        <v>0</v>
      </c>
      <c r="L1474" s="9">
        <v>0</v>
      </c>
      <c r="M1474" s="9">
        <v>0</v>
      </c>
      <c r="N1474" s="9">
        <v>0</v>
      </c>
      <c r="O1474" s="9">
        <v>0</v>
      </c>
      <c r="P1474" s="9">
        <v>0</v>
      </c>
      <c r="Q1474" s="9">
        <v>0</v>
      </c>
      <c r="R1474" s="9">
        <v>0</v>
      </c>
      <c r="S1474" s="9">
        <v>0</v>
      </c>
      <c r="T1474" s="9">
        <v>0</v>
      </c>
      <c r="U1474" s="9">
        <v>0</v>
      </c>
      <c r="V1474" s="9">
        <v>0</v>
      </c>
      <c r="W1474" s="9">
        <v>0</v>
      </c>
      <c r="X1474" s="9">
        <v>0</v>
      </c>
      <c r="Y1474" s="9">
        <v>0</v>
      </c>
      <c r="Z1474" s="9">
        <v>0</v>
      </c>
      <c r="AA1474" s="9">
        <v>0</v>
      </c>
      <c r="AB1474" s="9">
        <v>0</v>
      </c>
      <c r="AC1474" s="9">
        <v>0</v>
      </c>
      <c r="AD1474" s="53" t="e">
        <f>#REF!*D1474</f>
        <v>#REF!</v>
      </c>
      <c r="AE1474" s="53" t="e">
        <f>AD1474-#REF!</f>
        <v>#REF!</v>
      </c>
      <c r="AF1474" s="8"/>
      <c r="AG1474" s="33" t="e">
        <f>#REF!-D1474</f>
        <v>#REF!</v>
      </c>
    </row>
    <row r="1475" spans="1:33" s="12" customFormat="1" ht="20.399999999999999" outlineLevel="1" x14ac:dyDescent="0.2">
      <c r="A1475" s="62" t="s">
        <v>1707</v>
      </c>
      <c r="B1475" s="47" t="s">
        <v>355</v>
      </c>
      <c r="C1475" s="8" t="s">
        <v>47</v>
      </c>
      <c r="D1475" s="25">
        <f t="shared" si="356"/>
        <v>1</v>
      </c>
      <c r="E1475" s="54"/>
      <c r="F1475" s="9"/>
      <c r="G1475" s="9">
        <v>0</v>
      </c>
      <c r="H1475" s="9">
        <v>1</v>
      </c>
      <c r="I1475" s="9">
        <v>0</v>
      </c>
      <c r="J1475" s="9">
        <v>0</v>
      </c>
      <c r="K1475" s="9">
        <v>0</v>
      </c>
      <c r="L1475" s="9">
        <v>0</v>
      </c>
      <c r="M1475" s="9">
        <v>0</v>
      </c>
      <c r="N1475" s="9">
        <v>0</v>
      </c>
      <c r="O1475" s="9">
        <v>0</v>
      </c>
      <c r="P1475" s="9">
        <v>0</v>
      </c>
      <c r="Q1475" s="9">
        <v>0</v>
      </c>
      <c r="R1475" s="9">
        <v>0</v>
      </c>
      <c r="S1475" s="9">
        <v>0</v>
      </c>
      <c r="T1475" s="9">
        <v>0</v>
      </c>
      <c r="U1475" s="9">
        <v>0</v>
      </c>
      <c r="V1475" s="9">
        <v>0</v>
      </c>
      <c r="W1475" s="9">
        <v>0</v>
      </c>
      <c r="X1475" s="9">
        <v>0</v>
      </c>
      <c r="Y1475" s="9">
        <v>0</v>
      </c>
      <c r="Z1475" s="9">
        <v>0</v>
      </c>
      <c r="AA1475" s="9">
        <v>0</v>
      </c>
      <c r="AB1475" s="9">
        <v>0</v>
      </c>
      <c r="AC1475" s="9">
        <v>0</v>
      </c>
      <c r="AD1475" s="53" t="e">
        <f>#REF!*D1475</f>
        <v>#REF!</v>
      </c>
      <c r="AE1475" s="53" t="e">
        <f>AD1475-#REF!</f>
        <v>#REF!</v>
      </c>
      <c r="AF1475" s="8"/>
      <c r="AG1475" s="33" t="e">
        <f>#REF!-D1475</f>
        <v>#REF!</v>
      </c>
    </row>
    <row r="1476" spans="1:33" s="12" customFormat="1" ht="20.399999999999999" outlineLevel="1" x14ac:dyDescent="0.2">
      <c r="A1476" s="62" t="s">
        <v>1708</v>
      </c>
      <c r="B1476" s="47" t="s">
        <v>1649</v>
      </c>
      <c r="C1476" s="8" t="s">
        <v>47</v>
      </c>
      <c r="D1476" s="25">
        <f t="shared" si="356"/>
        <v>1</v>
      </c>
      <c r="E1476" s="54"/>
      <c r="F1476" s="9"/>
      <c r="G1476" s="9">
        <v>0</v>
      </c>
      <c r="H1476" s="9">
        <v>0</v>
      </c>
      <c r="I1476" s="9">
        <v>0</v>
      </c>
      <c r="J1476" s="9">
        <v>0</v>
      </c>
      <c r="K1476" s="9">
        <v>0</v>
      </c>
      <c r="L1476" s="9">
        <v>1</v>
      </c>
      <c r="M1476" s="9">
        <v>0</v>
      </c>
      <c r="N1476" s="9">
        <v>0</v>
      </c>
      <c r="O1476" s="9">
        <v>0</v>
      </c>
      <c r="P1476" s="9">
        <v>0</v>
      </c>
      <c r="Q1476" s="9">
        <v>0</v>
      </c>
      <c r="R1476" s="9">
        <v>0</v>
      </c>
      <c r="S1476" s="9">
        <v>0</v>
      </c>
      <c r="T1476" s="9">
        <v>0</v>
      </c>
      <c r="U1476" s="9">
        <v>0</v>
      </c>
      <c r="V1476" s="9">
        <v>0</v>
      </c>
      <c r="W1476" s="9">
        <v>0</v>
      </c>
      <c r="X1476" s="9">
        <v>0</v>
      </c>
      <c r="Y1476" s="9">
        <v>0</v>
      </c>
      <c r="Z1476" s="9">
        <v>0</v>
      </c>
      <c r="AA1476" s="9">
        <v>0</v>
      </c>
      <c r="AB1476" s="9">
        <v>0</v>
      </c>
      <c r="AC1476" s="9">
        <v>0</v>
      </c>
      <c r="AD1476" s="53" t="e">
        <f>#REF!*D1476</f>
        <v>#REF!</v>
      </c>
      <c r="AE1476" s="53" t="e">
        <f>AD1476-#REF!</f>
        <v>#REF!</v>
      </c>
      <c r="AF1476" s="8"/>
      <c r="AG1476" s="33" t="e">
        <f>#REF!-D1476</f>
        <v>#REF!</v>
      </c>
    </row>
    <row r="1477" spans="1:33" s="12" customFormat="1" ht="20.399999999999999" outlineLevel="1" x14ac:dyDescent="0.2">
      <c r="A1477" s="62" t="s">
        <v>1709</v>
      </c>
      <c r="B1477" s="47" t="s">
        <v>1650</v>
      </c>
      <c r="C1477" s="8" t="s">
        <v>47</v>
      </c>
      <c r="D1477" s="25">
        <f t="shared" si="356"/>
        <v>3</v>
      </c>
      <c r="E1477" s="54"/>
      <c r="F1477" s="9"/>
      <c r="G1477" s="9">
        <v>0</v>
      </c>
      <c r="H1477" s="9">
        <v>2</v>
      </c>
      <c r="I1477" s="9">
        <v>1</v>
      </c>
      <c r="J1477" s="9">
        <v>0</v>
      </c>
      <c r="K1477" s="9">
        <v>0</v>
      </c>
      <c r="L1477" s="9">
        <v>0</v>
      </c>
      <c r="M1477" s="9">
        <v>0</v>
      </c>
      <c r="N1477" s="9">
        <v>0</v>
      </c>
      <c r="O1477" s="9">
        <v>0</v>
      </c>
      <c r="P1477" s="9">
        <v>0</v>
      </c>
      <c r="Q1477" s="9">
        <v>0</v>
      </c>
      <c r="R1477" s="9">
        <v>0</v>
      </c>
      <c r="S1477" s="9">
        <v>0</v>
      </c>
      <c r="T1477" s="9">
        <v>0</v>
      </c>
      <c r="U1477" s="9">
        <v>0</v>
      </c>
      <c r="V1477" s="9">
        <v>0</v>
      </c>
      <c r="W1477" s="9">
        <v>0</v>
      </c>
      <c r="X1477" s="9">
        <v>0</v>
      </c>
      <c r="Y1477" s="9">
        <v>0</v>
      </c>
      <c r="Z1477" s="9">
        <v>0</v>
      </c>
      <c r="AA1477" s="9">
        <v>0</v>
      </c>
      <c r="AB1477" s="9">
        <v>0</v>
      </c>
      <c r="AC1477" s="9">
        <v>0</v>
      </c>
      <c r="AD1477" s="53" t="e">
        <f>#REF!*D1477</f>
        <v>#REF!</v>
      </c>
      <c r="AE1477" s="53" t="e">
        <f>AD1477-#REF!</f>
        <v>#REF!</v>
      </c>
      <c r="AF1477" s="8"/>
      <c r="AG1477" s="33" t="e">
        <f>#REF!-D1477</f>
        <v>#REF!</v>
      </c>
    </row>
    <row r="1478" spans="1:33" s="20" customFormat="1" ht="20.399999999999999" outlineLevel="1" x14ac:dyDescent="0.2">
      <c r="A1478" s="62" t="s">
        <v>1710</v>
      </c>
      <c r="B1478" s="235" t="s">
        <v>1851</v>
      </c>
      <c r="C1478" s="9" t="s">
        <v>48</v>
      </c>
      <c r="D1478" s="25">
        <f t="shared" si="356"/>
        <v>24</v>
      </c>
      <c r="E1478" s="54"/>
      <c r="F1478" s="79"/>
      <c r="G1478" s="9">
        <v>0</v>
      </c>
      <c r="H1478" s="9">
        <v>24</v>
      </c>
      <c r="I1478" s="9">
        <v>0</v>
      </c>
      <c r="J1478" s="9">
        <v>0</v>
      </c>
      <c r="K1478" s="9">
        <v>0</v>
      </c>
      <c r="L1478" s="9">
        <v>0</v>
      </c>
      <c r="M1478" s="9">
        <v>0</v>
      </c>
      <c r="N1478" s="9">
        <v>0</v>
      </c>
      <c r="O1478" s="9">
        <v>0</v>
      </c>
      <c r="P1478" s="9">
        <v>0</v>
      </c>
      <c r="Q1478" s="9">
        <v>0</v>
      </c>
      <c r="R1478" s="9">
        <v>0</v>
      </c>
      <c r="S1478" s="9">
        <v>0</v>
      </c>
      <c r="T1478" s="9">
        <v>0</v>
      </c>
      <c r="U1478" s="9">
        <v>0</v>
      </c>
      <c r="V1478" s="9">
        <v>0</v>
      </c>
      <c r="W1478" s="9">
        <v>0</v>
      </c>
      <c r="X1478" s="9">
        <v>0</v>
      </c>
      <c r="Y1478" s="9">
        <v>0</v>
      </c>
      <c r="Z1478" s="9">
        <v>0</v>
      </c>
      <c r="AA1478" s="9">
        <v>0</v>
      </c>
      <c r="AB1478" s="9">
        <v>0</v>
      </c>
      <c r="AC1478" s="9">
        <v>0</v>
      </c>
      <c r="AD1478" s="53" t="e">
        <f>#REF!*D1478</f>
        <v>#REF!</v>
      </c>
      <c r="AE1478" s="53" t="e">
        <f>AD1478-#REF!</f>
        <v>#REF!</v>
      </c>
      <c r="AF1478" s="9"/>
      <c r="AG1478" s="33" t="e">
        <f>#REF!-D1478</f>
        <v>#REF!</v>
      </c>
    </row>
    <row r="1479" spans="1:33" s="20" customFormat="1" ht="20.399999999999999" outlineLevel="1" x14ac:dyDescent="0.2">
      <c r="A1479" s="62" t="s">
        <v>1711</v>
      </c>
      <c r="B1479" s="47" t="s">
        <v>1850</v>
      </c>
      <c r="C1479" s="9" t="s">
        <v>48</v>
      </c>
      <c r="D1479" s="25">
        <f t="shared" si="356"/>
        <v>12</v>
      </c>
      <c r="E1479" s="54"/>
      <c r="F1479" s="79"/>
      <c r="G1479" s="9">
        <v>0</v>
      </c>
      <c r="H1479" s="9">
        <v>12</v>
      </c>
      <c r="I1479" s="9">
        <v>0</v>
      </c>
      <c r="J1479" s="9">
        <v>0</v>
      </c>
      <c r="K1479" s="9">
        <v>0</v>
      </c>
      <c r="L1479" s="9">
        <v>0</v>
      </c>
      <c r="M1479" s="9">
        <v>0</v>
      </c>
      <c r="N1479" s="9">
        <v>0</v>
      </c>
      <c r="O1479" s="9">
        <v>0</v>
      </c>
      <c r="P1479" s="9">
        <v>0</v>
      </c>
      <c r="Q1479" s="9">
        <v>0</v>
      </c>
      <c r="R1479" s="9">
        <v>0</v>
      </c>
      <c r="S1479" s="9">
        <v>0</v>
      </c>
      <c r="T1479" s="9">
        <v>0</v>
      </c>
      <c r="U1479" s="9">
        <v>0</v>
      </c>
      <c r="V1479" s="9">
        <v>0</v>
      </c>
      <c r="W1479" s="9">
        <v>0</v>
      </c>
      <c r="X1479" s="9">
        <v>0</v>
      </c>
      <c r="Y1479" s="9">
        <v>0</v>
      </c>
      <c r="Z1479" s="9">
        <v>0</v>
      </c>
      <c r="AA1479" s="9">
        <v>0</v>
      </c>
      <c r="AB1479" s="9">
        <v>0</v>
      </c>
      <c r="AC1479" s="9">
        <v>0</v>
      </c>
      <c r="AD1479" s="53" t="e">
        <f>#REF!*D1479</f>
        <v>#REF!</v>
      </c>
      <c r="AE1479" s="53" t="e">
        <f>AD1479-#REF!</f>
        <v>#REF!</v>
      </c>
      <c r="AF1479" s="9"/>
      <c r="AG1479" s="33" t="e">
        <f>#REF!-D1479</f>
        <v>#REF!</v>
      </c>
    </row>
    <row r="1480" spans="1:33" s="20" customFormat="1" ht="20.399999999999999" outlineLevel="1" x14ac:dyDescent="0.2">
      <c r="A1480" s="62" t="s">
        <v>1712</v>
      </c>
      <c r="B1480" s="47" t="s">
        <v>1852</v>
      </c>
      <c r="C1480" s="9" t="s">
        <v>48</v>
      </c>
      <c r="D1480" s="25">
        <f t="shared" si="356"/>
        <v>12</v>
      </c>
      <c r="E1480" s="54"/>
      <c r="F1480" s="79"/>
      <c r="G1480" s="9">
        <v>0</v>
      </c>
      <c r="H1480" s="9">
        <v>12</v>
      </c>
      <c r="I1480" s="9">
        <v>0</v>
      </c>
      <c r="J1480" s="9">
        <v>0</v>
      </c>
      <c r="K1480" s="9">
        <v>0</v>
      </c>
      <c r="L1480" s="9">
        <v>0</v>
      </c>
      <c r="M1480" s="9">
        <v>0</v>
      </c>
      <c r="N1480" s="9">
        <v>0</v>
      </c>
      <c r="O1480" s="9">
        <v>0</v>
      </c>
      <c r="P1480" s="9">
        <v>0</v>
      </c>
      <c r="Q1480" s="9">
        <v>0</v>
      </c>
      <c r="R1480" s="9">
        <v>0</v>
      </c>
      <c r="S1480" s="9">
        <v>0</v>
      </c>
      <c r="T1480" s="9">
        <v>0</v>
      </c>
      <c r="U1480" s="9">
        <v>0</v>
      </c>
      <c r="V1480" s="9">
        <v>0</v>
      </c>
      <c r="W1480" s="9">
        <v>0</v>
      </c>
      <c r="X1480" s="9">
        <v>0</v>
      </c>
      <c r="Y1480" s="9">
        <v>0</v>
      </c>
      <c r="Z1480" s="9">
        <v>0</v>
      </c>
      <c r="AA1480" s="9">
        <v>0</v>
      </c>
      <c r="AB1480" s="9">
        <v>0</v>
      </c>
      <c r="AC1480" s="9">
        <v>0</v>
      </c>
      <c r="AD1480" s="53" t="e">
        <f>#REF!*D1480</f>
        <v>#REF!</v>
      </c>
      <c r="AE1480" s="53" t="e">
        <f>AD1480-#REF!</f>
        <v>#REF!</v>
      </c>
      <c r="AF1480" s="9"/>
      <c r="AG1480" s="33" t="e">
        <f>#REF!-D1480</f>
        <v>#REF!</v>
      </c>
    </row>
    <row r="1481" spans="1:33" s="20" customFormat="1" ht="20.399999999999999" outlineLevel="1" x14ac:dyDescent="0.2">
      <c r="A1481" s="62" t="s">
        <v>1713</v>
      </c>
      <c r="B1481" s="47" t="s">
        <v>1853</v>
      </c>
      <c r="C1481" s="9" t="s">
        <v>47</v>
      </c>
      <c r="D1481" s="25">
        <f t="shared" si="356"/>
        <v>6</v>
      </c>
      <c r="E1481" s="54"/>
      <c r="F1481" s="79"/>
      <c r="G1481" s="9">
        <v>0</v>
      </c>
      <c r="H1481" s="9">
        <v>6</v>
      </c>
      <c r="I1481" s="9">
        <v>0</v>
      </c>
      <c r="J1481" s="9">
        <v>0</v>
      </c>
      <c r="K1481" s="9">
        <v>0</v>
      </c>
      <c r="L1481" s="9">
        <v>0</v>
      </c>
      <c r="M1481" s="9">
        <v>0</v>
      </c>
      <c r="N1481" s="9">
        <v>0</v>
      </c>
      <c r="O1481" s="9">
        <v>0</v>
      </c>
      <c r="P1481" s="9">
        <v>0</v>
      </c>
      <c r="Q1481" s="9">
        <v>0</v>
      </c>
      <c r="R1481" s="9">
        <v>0</v>
      </c>
      <c r="S1481" s="9">
        <v>0</v>
      </c>
      <c r="T1481" s="9">
        <v>0</v>
      </c>
      <c r="U1481" s="9">
        <v>0</v>
      </c>
      <c r="V1481" s="9">
        <v>0</v>
      </c>
      <c r="W1481" s="9">
        <v>0</v>
      </c>
      <c r="X1481" s="9">
        <v>0</v>
      </c>
      <c r="Y1481" s="9">
        <v>0</v>
      </c>
      <c r="Z1481" s="9">
        <v>0</v>
      </c>
      <c r="AA1481" s="9">
        <v>0</v>
      </c>
      <c r="AB1481" s="9">
        <v>0</v>
      </c>
      <c r="AC1481" s="9">
        <v>0</v>
      </c>
      <c r="AD1481" s="53" t="e">
        <f>#REF!*D1481</f>
        <v>#REF!</v>
      </c>
      <c r="AE1481" s="53" t="e">
        <f>AD1481-#REF!</f>
        <v>#REF!</v>
      </c>
      <c r="AF1481" s="9"/>
      <c r="AG1481" s="33" t="e">
        <f>#REF!-D1481</f>
        <v>#REF!</v>
      </c>
    </row>
    <row r="1482" spans="1:33" s="19" customFormat="1" ht="20.399999999999999" outlineLevel="1" x14ac:dyDescent="0.25">
      <c r="A1482" s="62" t="s">
        <v>1714</v>
      </c>
      <c r="B1482" s="47" t="s">
        <v>1854</v>
      </c>
      <c r="C1482" s="8" t="s">
        <v>47</v>
      </c>
      <c r="D1482" s="25">
        <f t="shared" si="356"/>
        <v>1</v>
      </c>
      <c r="E1482" s="54"/>
      <c r="F1482" s="79"/>
      <c r="G1482" s="9">
        <v>0</v>
      </c>
      <c r="H1482" s="9">
        <v>1</v>
      </c>
      <c r="I1482" s="9">
        <v>0</v>
      </c>
      <c r="J1482" s="9">
        <v>0</v>
      </c>
      <c r="K1482" s="9">
        <v>0</v>
      </c>
      <c r="L1482" s="9">
        <v>0</v>
      </c>
      <c r="M1482" s="9">
        <v>0</v>
      </c>
      <c r="N1482" s="9">
        <v>0</v>
      </c>
      <c r="O1482" s="9">
        <v>0</v>
      </c>
      <c r="P1482" s="9">
        <v>0</v>
      </c>
      <c r="Q1482" s="9">
        <v>0</v>
      </c>
      <c r="R1482" s="9">
        <v>0</v>
      </c>
      <c r="S1482" s="9">
        <v>0</v>
      </c>
      <c r="T1482" s="9">
        <v>0</v>
      </c>
      <c r="U1482" s="9">
        <v>0</v>
      </c>
      <c r="V1482" s="9">
        <v>0</v>
      </c>
      <c r="W1482" s="9">
        <v>0</v>
      </c>
      <c r="X1482" s="9">
        <v>0</v>
      </c>
      <c r="Y1482" s="9">
        <v>0</v>
      </c>
      <c r="Z1482" s="9">
        <v>0</v>
      </c>
      <c r="AA1482" s="9">
        <v>0</v>
      </c>
      <c r="AB1482" s="9">
        <v>0</v>
      </c>
      <c r="AC1482" s="9">
        <v>0</v>
      </c>
      <c r="AD1482" s="53" t="e">
        <f>#REF!*D1482</f>
        <v>#REF!</v>
      </c>
      <c r="AE1482" s="53" t="e">
        <f>AD1482-#REF!</f>
        <v>#REF!</v>
      </c>
      <c r="AF1482" s="8"/>
      <c r="AG1482" s="33" t="e">
        <f>#REF!-D1482</f>
        <v>#REF!</v>
      </c>
    </row>
    <row r="1483" spans="1:33" s="17" customFormat="1" ht="20.399999999999999" outlineLevel="1" x14ac:dyDescent="0.2">
      <c r="A1483" s="62" t="s">
        <v>1715</v>
      </c>
      <c r="B1483" s="47" t="s">
        <v>1855</v>
      </c>
      <c r="C1483" s="8" t="s">
        <v>47</v>
      </c>
      <c r="D1483" s="25">
        <f t="shared" si="356"/>
        <v>8</v>
      </c>
      <c r="E1483" s="54"/>
      <c r="F1483" s="79"/>
      <c r="G1483" s="9">
        <v>0</v>
      </c>
      <c r="H1483" s="9">
        <v>8</v>
      </c>
      <c r="I1483" s="9">
        <v>0</v>
      </c>
      <c r="J1483" s="9">
        <v>0</v>
      </c>
      <c r="K1483" s="9">
        <v>0</v>
      </c>
      <c r="L1483" s="9">
        <v>0</v>
      </c>
      <c r="M1483" s="9">
        <v>0</v>
      </c>
      <c r="N1483" s="9">
        <v>0</v>
      </c>
      <c r="O1483" s="9">
        <v>0</v>
      </c>
      <c r="P1483" s="9">
        <v>0</v>
      </c>
      <c r="Q1483" s="9">
        <v>0</v>
      </c>
      <c r="R1483" s="9">
        <v>0</v>
      </c>
      <c r="S1483" s="9">
        <v>0</v>
      </c>
      <c r="T1483" s="9">
        <v>0</v>
      </c>
      <c r="U1483" s="9">
        <v>0</v>
      </c>
      <c r="V1483" s="9">
        <v>0</v>
      </c>
      <c r="W1483" s="9">
        <v>0</v>
      </c>
      <c r="X1483" s="9">
        <v>0</v>
      </c>
      <c r="Y1483" s="9">
        <v>0</v>
      </c>
      <c r="Z1483" s="9">
        <v>0</v>
      </c>
      <c r="AA1483" s="9">
        <v>0</v>
      </c>
      <c r="AB1483" s="9">
        <v>0</v>
      </c>
      <c r="AC1483" s="9">
        <v>0</v>
      </c>
      <c r="AD1483" s="53" t="e">
        <f>#REF!*D1483</f>
        <v>#REF!</v>
      </c>
      <c r="AE1483" s="53" t="e">
        <f>AD1483-#REF!</f>
        <v>#REF!</v>
      </c>
      <c r="AF1483" s="8"/>
      <c r="AG1483" s="33" t="e">
        <f>#REF!-D1483</f>
        <v>#REF!</v>
      </c>
    </row>
    <row r="1484" spans="1:33" s="17" customFormat="1" ht="20.399999999999999" outlineLevel="1" x14ac:dyDescent="0.2">
      <c r="A1484" s="62" t="s">
        <v>1716</v>
      </c>
      <c r="B1484" s="47" t="s">
        <v>1856</v>
      </c>
      <c r="C1484" s="8" t="s">
        <v>47</v>
      </c>
      <c r="D1484" s="25">
        <f t="shared" si="356"/>
        <v>2</v>
      </c>
      <c r="E1484" s="54"/>
      <c r="F1484" s="79"/>
      <c r="G1484" s="9">
        <v>0</v>
      </c>
      <c r="H1484" s="9">
        <v>2</v>
      </c>
      <c r="I1484" s="9">
        <v>0</v>
      </c>
      <c r="J1484" s="9">
        <v>0</v>
      </c>
      <c r="K1484" s="9">
        <v>0</v>
      </c>
      <c r="L1484" s="9">
        <v>0</v>
      </c>
      <c r="M1484" s="9">
        <v>0</v>
      </c>
      <c r="N1484" s="9">
        <v>0</v>
      </c>
      <c r="O1484" s="9">
        <v>0</v>
      </c>
      <c r="P1484" s="9">
        <v>0</v>
      </c>
      <c r="Q1484" s="9">
        <v>0</v>
      </c>
      <c r="R1484" s="9">
        <v>0</v>
      </c>
      <c r="S1484" s="9">
        <v>0</v>
      </c>
      <c r="T1484" s="9">
        <v>0</v>
      </c>
      <c r="U1484" s="9">
        <v>0</v>
      </c>
      <c r="V1484" s="9">
        <v>0</v>
      </c>
      <c r="W1484" s="9">
        <v>0</v>
      </c>
      <c r="X1484" s="9">
        <v>0</v>
      </c>
      <c r="Y1484" s="9">
        <v>0</v>
      </c>
      <c r="Z1484" s="9">
        <v>0</v>
      </c>
      <c r="AA1484" s="9">
        <v>0</v>
      </c>
      <c r="AB1484" s="9">
        <v>0</v>
      </c>
      <c r="AC1484" s="9">
        <v>0</v>
      </c>
      <c r="AD1484" s="53" t="e">
        <f>#REF!*D1484</f>
        <v>#REF!</v>
      </c>
      <c r="AE1484" s="53" t="e">
        <f>AD1484-#REF!</f>
        <v>#REF!</v>
      </c>
      <c r="AF1484" s="8"/>
      <c r="AG1484" s="33" t="e">
        <f>#REF!-D1484</f>
        <v>#REF!</v>
      </c>
    </row>
    <row r="1485" spans="1:33" s="20" customFormat="1" ht="20.399999999999999" outlineLevel="1" x14ac:dyDescent="0.2">
      <c r="A1485" s="62" t="s">
        <v>1717</v>
      </c>
      <c r="B1485" s="47" t="s">
        <v>1857</v>
      </c>
      <c r="C1485" s="9" t="s">
        <v>47</v>
      </c>
      <c r="D1485" s="25">
        <f t="shared" si="356"/>
        <v>2</v>
      </c>
      <c r="E1485" s="54"/>
      <c r="F1485" s="79"/>
      <c r="G1485" s="9">
        <v>0</v>
      </c>
      <c r="H1485" s="9">
        <v>2</v>
      </c>
      <c r="I1485" s="9">
        <v>0</v>
      </c>
      <c r="J1485" s="9">
        <v>0</v>
      </c>
      <c r="K1485" s="9">
        <v>0</v>
      </c>
      <c r="L1485" s="9">
        <v>0</v>
      </c>
      <c r="M1485" s="9">
        <v>0</v>
      </c>
      <c r="N1485" s="9">
        <v>0</v>
      </c>
      <c r="O1485" s="9">
        <v>0</v>
      </c>
      <c r="P1485" s="9">
        <v>0</v>
      </c>
      <c r="Q1485" s="9">
        <v>0</v>
      </c>
      <c r="R1485" s="9">
        <v>0</v>
      </c>
      <c r="S1485" s="9">
        <v>0</v>
      </c>
      <c r="T1485" s="9">
        <v>0</v>
      </c>
      <c r="U1485" s="9">
        <v>0</v>
      </c>
      <c r="V1485" s="9">
        <v>0</v>
      </c>
      <c r="W1485" s="9">
        <v>0</v>
      </c>
      <c r="X1485" s="9">
        <v>0</v>
      </c>
      <c r="Y1485" s="9">
        <v>0</v>
      </c>
      <c r="Z1485" s="9">
        <v>0</v>
      </c>
      <c r="AA1485" s="9">
        <v>0</v>
      </c>
      <c r="AB1485" s="9">
        <v>0</v>
      </c>
      <c r="AC1485" s="9">
        <v>0</v>
      </c>
      <c r="AD1485" s="53" t="e">
        <f>#REF!*D1485</f>
        <v>#REF!</v>
      </c>
      <c r="AE1485" s="53" t="e">
        <f>AD1485-#REF!</f>
        <v>#REF!</v>
      </c>
      <c r="AF1485" s="9"/>
      <c r="AG1485" s="33" t="e">
        <f>#REF!-D1485</f>
        <v>#REF!</v>
      </c>
    </row>
    <row r="1486" spans="1:33" s="20" customFormat="1" ht="20.399999999999999" outlineLevel="1" x14ac:dyDescent="0.2">
      <c r="A1486" s="62" t="s">
        <v>1718</v>
      </c>
      <c r="B1486" s="47" t="s">
        <v>1858</v>
      </c>
      <c r="C1486" s="9" t="s">
        <v>47</v>
      </c>
      <c r="D1486" s="25">
        <f t="shared" si="356"/>
        <v>1</v>
      </c>
      <c r="E1486" s="54"/>
      <c r="F1486" s="79"/>
      <c r="G1486" s="9">
        <v>0</v>
      </c>
      <c r="H1486" s="9">
        <v>1</v>
      </c>
      <c r="I1486" s="9">
        <v>0</v>
      </c>
      <c r="J1486" s="9">
        <v>0</v>
      </c>
      <c r="K1486" s="9">
        <v>0</v>
      </c>
      <c r="L1486" s="9">
        <v>0</v>
      </c>
      <c r="M1486" s="9">
        <v>0</v>
      </c>
      <c r="N1486" s="9">
        <v>0</v>
      </c>
      <c r="O1486" s="9">
        <v>0</v>
      </c>
      <c r="P1486" s="9">
        <v>0</v>
      </c>
      <c r="Q1486" s="9">
        <v>0</v>
      </c>
      <c r="R1486" s="9">
        <v>0</v>
      </c>
      <c r="S1486" s="9">
        <v>0</v>
      </c>
      <c r="T1486" s="9">
        <v>0</v>
      </c>
      <c r="U1486" s="9">
        <v>0</v>
      </c>
      <c r="V1486" s="9">
        <v>0</v>
      </c>
      <c r="W1486" s="9">
        <v>0</v>
      </c>
      <c r="X1486" s="9">
        <v>0</v>
      </c>
      <c r="Y1486" s="9">
        <v>0</v>
      </c>
      <c r="Z1486" s="9">
        <v>0</v>
      </c>
      <c r="AA1486" s="9">
        <v>0</v>
      </c>
      <c r="AB1486" s="9">
        <v>0</v>
      </c>
      <c r="AC1486" s="9">
        <v>0</v>
      </c>
      <c r="AD1486" s="53" t="e">
        <f>#REF!*D1486</f>
        <v>#REF!</v>
      </c>
      <c r="AE1486" s="53" t="e">
        <f>AD1486-#REF!</f>
        <v>#REF!</v>
      </c>
      <c r="AF1486" s="9"/>
      <c r="AG1486" s="33" t="e">
        <f>#REF!-D1486</f>
        <v>#REF!</v>
      </c>
    </row>
    <row r="1487" spans="1:33" s="20" customFormat="1" ht="20.399999999999999" outlineLevel="1" x14ac:dyDescent="0.2">
      <c r="A1487" s="62" t="s">
        <v>1870</v>
      </c>
      <c r="B1487" s="47" t="s">
        <v>1859</v>
      </c>
      <c r="C1487" s="9" t="s">
        <v>47</v>
      </c>
      <c r="D1487" s="25">
        <f t="shared" si="356"/>
        <v>2</v>
      </c>
      <c r="E1487" s="54"/>
      <c r="F1487" s="79"/>
      <c r="G1487" s="9">
        <v>0</v>
      </c>
      <c r="H1487" s="9">
        <v>2</v>
      </c>
      <c r="I1487" s="9">
        <v>0</v>
      </c>
      <c r="J1487" s="9">
        <v>0</v>
      </c>
      <c r="K1487" s="9">
        <v>0</v>
      </c>
      <c r="L1487" s="9">
        <v>0</v>
      </c>
      <c r="M1487" s="9">
        <v>0</v>
      </c>
      <c r="N1487" s="9">
        <v>0</v>
      </c>
      <c r="O1487" s="9">
        <v>0</v>
      </c>
      <c r="P1487" s="9">
        <v>0</v>
      </c>
      <c r="Q1487" s="9">
        <v>0</v>
      </c>
      <c r="R1487" s="9">
        <v>0</v>
      </c>
      <c r="S1487" s="9">
        <v>0</v>
      </c>
      <c r="T1487" s="9">
        <v>0</v>
      </c>
      <c r="U1487" s="9">
        <v>0</v>
      </c>
      <c r="V1487" s="9">
        <v>0</v>
      </c>
      <c r="W1487" s="9">
        <v>0</v>
      </c>
      <c r="X1487" s="9">
        <v>0</v>
      </c>
      <c r="Y1487" s="9">
        <v>0</v>
      </c>
      <c r="Z1487" s="9">
        <v>0</v>
      </c>
      <c r="AA1487" s="9">
        <v>0</v>
      </c>
      <c r="AB1487" s="9">
        <v>0</v>
      </c>
      <c r="AC1487" s="9">
        <v>0</v>
      </c>
      <c r="AD1487" s="53" t="e">
        <f>#REF!*D1487</f>
        <v>#REF!</v>
      </c>
      <c r="AE1487" s="53" t="e">
        <f>AD1487-#REF!</f>
        <v>#REF!</v>
      </c>
      <c r="AF1487" s="9"/>
      <c r="AG1487" s="33" t="e">
        <f>#REF!-D1487</f>
        <v>#REF!</v>
      </c>
    </row>
    <row r="1488" spans="1:33" s="20" customFormat="1" ht="20.399999999999999" outlineLevel="1" x14ac:dyDescent="0.2">
      <c r="A1488" s="62" t="s">
        <v>1871</v>
      </c>
      <c r="B1488" s="47" t="s">
        <v>1860</v>
      </c>
      <c r="C1488" s="9" t="s">
        <v>47</v>
      </c>
      <c r="D1488" s="25">
        <f t="shared" si="356"/>
        <v>1</v>
      </c>
      <c r="E1488" s="54"/>
      <c r="F1488" s="79"/>
      <c r="G1488" s="9">
        <v>0</v>
      </c>
      <c r="H1488" s="9">
        <v>1</v>
      </c>
      <c r="I1488" s="9">
        <v>0</v>
      </c>
      <c r="J1488" s="9">
        <v>0</v>
      </c>
      <c r="K1488" s="9">
        <v>0</v>
      </c>
      <c r="L1488" s="9">
        <v>0</v>
      </c>
      <c r="M1488" s="9">
        <v>0</v>
      </c>
      <c r="N1488" s="9">
        <v>0</v>
      </c>
      <c r="O1488" s="9">
        <v>0</v>
      </c>
      <c r="P1488" s="9">
        <v>0</v>
      </c>
      <c r="Q1488" s="9">
        <v>0</v>
      </c>
      <c r="R1488" s="9">
        <v>0</v>
      </c>
      <c r="S1488" s="9">
        <v>0</v>
      </c>
      <c r="T1488" s="9">
        <v>0</v>
      </c>
      <c r="U1488" s="9">
        <v>0</v>
      </c>
      <c r="V1488" s="9">
        <v>0</v>
      </c>
      <c r="W1488" s="9">
        <v>0</v>
      </c>
      <c r="X1488" s="9">
        <v>0</v>
      </c>
      <c r="Y1488" s="9">
        <v>0</v>
      </c>
      <c r="Z1488" s="9">
        <v>0</v>
      </c>
      <c r="AA1488" s="9">
        <v>0</v>
      </c>
      <c r="AB1488" s="9">
        <v>0</v>
      </c>
      <c r="AC1488" s="9">
        <v>0</v>
      </c>
      <c r="AD1488" s="53" t="e">
        <f>#REF!*D1488</f>
        <v>#REF!</v>
      </c>
      <c r="AE1488" s="53" t="e">
        <f>AD1488-#REF!</f>
        <v>#REF!</v>
      </c>
      <c r="AF1488" s="9"/>
      <c r="AG1488" s="33" t="e">
        <f>#REF!-D1488</f>
        <v>#REF!</v>
      </c>
    </row>
    <row r="1489" spans="1:33" s="19" customFormat="1" ht="20.399999999999999" outlineLevel="1" x14ac:dyDescent="0.25">
      <c r="A1489" s="62" t="s">
        <v>1872</v>
      </c>
      <c r="B1489" s="47" t="s">
        <v>2596</v>
      </c>
      <c r="C1489" s="8" t="s">
        <v>48</v>
      </c>
      <c r="D1489" s="25">
        <f>SUM(G1489:AC1489)*3</f>
        <v>9</v>
      </c>
      <c r="E1489" s="54"/>
      <c r="F1489" s="79"/>
      <c r="G1489" s="9">
        <v>0</v>
      </c>
      <c r="H1489" s="9">
        <v>3</v>
      </c>
      <c r="I1489" s="9">
        <v>0</v>
      </c>
      <c r="J1489" s="9">
        <v>0</v>
      </c>
      <c r="K1489" s="9">
        <v>0</v>
      </c>
      <c r="L1489" s="9">
        <v>0</v>
      </c>
      <c r="M1489" s="9">
        <v>0</v>
      </c>
      <c r="N1489" s="9">
        <v>0</v>
      </c>
      <c r="O1489" s="9">
        <v>0</v>
      </c>
      <c r="P1489" s="9">
        <v>0</v>
      </c>
      <c r="Q1489" s="9">
        <v>0</v>
      </c>
      <c r="R1489" s="9">
        <v>0</v>
      </c>
      <c r="S1489" s="9">
        <v>0</v>
      </c>
      <c r="T1489" s="9">
        <v>0</v>
      </c>
      <c r="U1489" s="9">
        <v>0</v>
      </c>
      <c r="V1489" s="9">
        <v>0</v>
      </c>
      <c r="W1489" s="9">
        <v>0</v>
      </c>
      <c r="X1489" s="9">
        <v>0</v>
      </c>
      <c r="Y1489" s="9">
        <v>0</v>
      </c>
      <c r="Z1489" s="9">
        <v>0</v>
      </c>
      <c r="AA1489" s="9">
        <v>0</v>
      </c>
      <c r="AB1489" s="9">
        <v>0</v>
      </c>
      <c r="AC1489" s="9">
        <v>0</v>
      </c>
      <c r="AD1489" s="53" t="e">
        <f>#REF!*D1489</f>
        <v>#REF!</v>
      </c>
      <c r="AE1489" s="53" t="e">
        <f>AD1489-#REF!</f>
        <v>#REF!</v>
      </c>
      <c r="AF1489" s="8"/>
      <c r="AG1489" s="33" t="e">
        <f>#REF!-D1489</f>
        <v>#REF!</v>
      </c>
    </row>
    <row r="1490" spans="1:33" s="19" customFormat="1" ht="20.399999999999999" outlineLevel="1" x14ac:dyDescent="0.25">
      <c r="A1490" s="62" t="s">
        <v>1873</v>
      </c>
      <c r="B1490" s="47" t="s">
        <v>2586</v>
      </c>
      <c r="C1490" s="8" t="s">
        <v>48</v>
      </c>
      <c r="D1490" s="25">
        <f>SUM(G1490:AC1490)*3</f>
        <v>6</v>
      </c>
      <c r="E1490" s="54"/>
      <c r="F1490" s="79"/>
      <c r="G1490" s="9">
        <v>0</v>
      </c>
      <c r="H1490" s="9">
        <v>2</v>
      </c>
      <c r="I1490" s="9">
        <v>0</v>
      </c>
      <c r="J1490" s="9">
        <v>0</v>
      </c>
      <c r="K1490" s="9">
        <v>0</v>
      </c>
      <c r="L1490" s="9">
        <v>0</v>
      </c>
      <c r="M1490" s="9">
        <v>0</v>
      </c>
      <c r="N1490" s="9">
        <v>0</v>
      </c>
      <c r="O1490" s="9">
        <v>0</v>
      </c>
      <c r="P1490" s="9">
        <v>0</v>
      </c>
      <c r="Q1490" s="9">
        <v>0</v>
      </c>
      <c r="R1490" s="9">
        <v>0</v>
      </c>
      <c r="S1490" s="9">
        <v>0</v>
      </c>
      <c r="T1490" s="9">
        <v>0</v>
      </c>
      <c r="U1490" s="9">
        <v>0</v>
      </c>
      <c r="V1490" s="9">
        <v>0</v>
      </c>
      <c r="W1490" s="9">
        <v>0</v>
      </c>
      <c r="X1490" s="9">
        <v>0</v>
      </c>
      <c r="Y1490" s="9">
        <v>0</v>
      </c>
      <c r="Z1490" s="9">
        <v>0</v>
      </c>
      <c r="AA1490" s="9">
        <v>0</v>
      </c>
      <c r="AB1490" s="9">
        <v>0</v>
      </c>
      <c r="AC1490" s="9">
        <v>0</v>
      </c>
      <c r="AD1490" s="53" t="e">
        <f>#REF!*D1490</f>
        <v>#REF!</v>
      </c>
      <c r="AE1490" s="53" t="e">
        <f>AD1490-#REF!</f>
        <v>#REF!</v>
      </c>
      <c r="AF1490" s="8"/>
      <c r="AG1490" s="33" t="e">
        <f>#REF!-D1490</f>
        <v>#REF!</v>
      </c>
    </row>
    <row r="1491" spans="1:33" s="17" customFormat="1" ht="20.399999999999999" outlineLevel="1" x14ac:dyDescent="0.2">
      <c r="A1491" s="62" t="s">
        <v>1874</v>
      </c>
      <c r="B1491" s="47" t="s">
        <v>2587</v>
      </c>
      <c r="C1491" s="8" t="s">
        <v>48</v>
      </c>
      <c r="D1491" s="25">
        <f>SUM(G1491:AC1491)*3</f>
        <v>30</v>
      </c>
      <c r="E1491" s="54"/>
      <c r="F1491" s="79"/>
      <c r="G1491" s="9">
        <v>0</v>
      </c>
      <c r="H1491" s="9">
        <v>3</v>
      </c>
      <c r="I1491" s="9">
        <v>0</v>
      </c>
      <c r="J1491" s="9">
        <v>0</v>
      </c>
      <c r="K1491" s="9">
        <v>0</v>
      </c>
      <c r="L1491" s="9">
        <v>0</v>
      </c>
      <c r="M1491" s="9">
        <v>0</v>
      </c>
      <c r="N1491" s="9">
        <v>0</v>
      </c>
      <c r="O1491" s="9">
        <v>0</v>
      </c>
      <c r="P1491" s="9">
        <v>0</v>
      </c>
      <c r="Q1491" s="9">
        <v>0</v>
      </c>
      <c r="R1491" s="9">
        <v>0</v>
      </c>
      <c r="S1491" s="9">
        <v>0</v>
      </c>
      <c r="T1491" s="9">
        <v>0</v>
      </c>
      <c r="U1491" s="9">
        <v>0</v>
      </c>
      <c r="V1491" s="9">
        <f>21/3</f>
        <v>7</v>
      </c>
      <c r="W1491" s="9">
        <v>0</v>
      </c>
      <c r="X1491" s="9">
        <v>0</v>
      </c>
      <c r="Y1491" s="9">
        <v>0</v>
      </c>
      <c r="Z1491" s="9">
        <v>0</v>
      </c>
      <c r="AA1491" s="9">
        <v>0</v>
      </c>
      <c r="AB1491" s="9">
        <v>0</v>
      </c>
      <c r="AC1491" s="9">
        <v>0</v>
      </c>
      <c r="AD1491" s="53" t="e">
        <f>#REF!*D1491</f>
        <v>#REF!</v>
      </c>
      <c r="AE1491" s="53" t="e">
        <f>AD1491-#REF!</f>
        <v>#REF!</v>
      </c>
      <c r="AF1491" s="8"/>
      <c r="AG1491" s="33" t="e">
        <f>#REF!-D1491</f>
        <v>#REF!</v>
      </c>
    </row>
    <row r="1492" spans="1:33" s="17" customFormat="1" ht="20.399999999999999" outlineLevel="1" x14ac:dyDescent="0.2">
      <c r="A1492" s="62" t="s">
        <v>1875</v>
      </c>
      <c r="B1492" s="47" t="s">
        <v>2815</v>
      </c>
      <c r="C1492" s="8" t="s">
        <v>48</v>
      </c>
      <c r="D1492" s="25">
        <f>SUM(G1492:AC1492)*3</f>
        <v>12</v>
      </c>
      <c r="E1492" s="54"/>
      <c r="F1492" s="79"/>
      <c r="G1492" s="9">
        <v>0</v>
      </c>
      <c r="H1492" s="9">
        <v>0</v>
      </c>
      <c r="I1492" s="9">
        <v>0</v>
      </c>
      <c r="J1492" s="9">
        <v>0</v>
      </c>
      <c r="K1492" s="9">
        <v>0</v>
      </c>
      <c r="L1492" s="9">
        <v>0</v>
      </c>
      <c r="M1492" s="9">
        <v>0</v>
      </c>
      <c r="N1492" s="9">
        <v>0</v>
      </c>
      <c r="O1492" s="9">
        <v>0</v>
      </c>
      <c r="P1492" s="9">
        <v>0</v>
      </c>
      <c r="Q1492" s="9">
        <v>0</v>
      </c>
      <c r="R1492" s="9">
        <v>0</v>
      </c>
      <c r="S1492" s="9">
        <v>0</v>
      </c>
      <c r="T1492" s="9">
        <v>0</v>
      </c>
      <c r="U1492" s="9">
        <v>4</v>
      </c>
      <c r="V1492" s="9">
        <v>0</v>
      </c>
      <c r="W1492" s="9">
        <v>0</v>
      </c>
      <c r="X1492" s="9">
        <v>0</v>
      </c>
      <c r="Y1492" s="9">
        <v>0</v>
      </c>
      <c r="Z1492" s="9">
        <v>0</v>
      </c>
      <c r="AA1492" s="9">
        <v>0</v>
      </c>
      <c r="AB1492" s="9">
        <v>0</v>
      </c>
      <c r="AC1492" s="9">
        <v>0</v>
      </c>
      <c r="AD1492" s="53" t="e">
        <f>#REF!*D1492</f>
        <v>#REF!</v>
      </c>
      <c r="AE1492" s="53" t="e">
        <f>AD1492-#REF!</f>
        <v>#REF!</v>
      </c>
      <c r="AF1492" s="8"/>
      <c r="AG1492" s="33" t="e">
        <f>#REF!-D1492</f>
        <v>#REF!</v>
      </c>
    </row>
    <row r="1493" spans="1:33" s="17" customFormat="1" ht="20.399999999999999" outlineLevel="1" x14ac:dyDescent="0.2">
      <c r="A1493" s="62" t="s">
        <v>1875</v>
      </c>
      <c r="B1493" s="47" t="s">
        <v>2588</v>
      </c>
      <c r="C1493" s="8" t="s">
        <v>48</v>
      </c>
      <c r="D1493" s="25">
        <f>SUM(G1493:AC1493)*3</f>
        <v>9</v>
      </c>
      <c r="E1493" s="54"/>
      <c r="F1493" s="79"/>
      <c r="G1493" s="9">
        <v>0</v>
      </c>
      <c r="H1493" s="9">
        <v>3</v>
      </c>
      <c r="I1493" s="9">
        <v>0</v>
      </c>
      <c r="J1493" s="9">
        <v>0</v>
      </c>
      <c r="K1493" s="9">
        <v>0</v>
      </c>
      <c r="L1493" s="9">
        <v>0</v>
      </c>
      <c r="M1493" s="9">
        <v>0</v>
      </c>
      <c r="N1493" s="9">
        <v>0</v>
      </c>
      <c r="O1493" s="9">
        <v>0</v>
      </c>
      <c r="P1493" s="9">
        <v>0</v>
      </c>
      <c r="Q1493" s="9">
        <v>0</v>
      </c>
      <c r="R1493" s="9">
        <v>0</v>
      </c>
      <c r="S1493" s="9">
        <v>0</v>
      </c>
      <c r="T1493" s="9">
        <v>0</v>
      </c>
      <c r="U1493" s="9">
        <v>0</v>
      </c>
      <c r="V1493" s="9">
        <v>0</v>
      </c>
      <c r="W1493" s="9">
        <v>0</v>
      </c>
      <c r="X1493" s="9">
        <v>0</v>
      </c>
      <c r="Y1493" s="9">
        <v>0</v>
      </c>
      <c r="Z1493" s="9">
        <v>0</v>
      </c>
      <c r="AA1493" s="9">
        <v>0</v>
      </c>
      <c r="AB1493" s="9">
        <v>0</v>
      </c>
      <c r="AC1493" s="9">
        <v>0</v>
      </c>
      <c r="AD1493" s="53" t="e">
        <f>#REF!*D1493</f>
        <v>#REF!</v>
      </c>
      <c r="AE1493" s="53" t="e">
        <f>AD1493-#REF!</f>
        <v>#REF!</v>
      </c>
      <c r="AF1493" s="8"/>
      <c r="AG1493" s="33" t="e">
        <f>#REF!-D1493</f>
        <v>#REF!</v>
      </c>
    </row>
    <row r="1494" spans="1:33" s="17" customFormat="1" ht="10.199999999999999" outlineLevel="1" x14ac:dyDescent="0.2">
      <c r="A1494" s="62" t="s">
        <v>1876</v>
      </c>
      <c r="B1494" s="47" t="s">
        <v>1862</v>
      </c>
      <c r="C1494" s="8" t="s">
        <v>47</v>
      </c>
      <c r="D1494" s="25">
        <f t="shared" ref="D1494:D1506" si="357">SUM(G1494:AC1494)</f>
        <v>3</v>
      </c>
      <c r="E1494" s="54"/>
      <c r="F1494" s="79"/>
      <c r="G1494" s="9">
        <v>0</v>
      </c>
      <c r="H1494" s="9">
        <v>3</v>
      </c>
      <c r="I1494" s="9">
        <v>0</v>
      </c>
      <c r="J1494" s="9">
        <v>0</v>
      </c>
      <c r="K1494" s="9">
        <v>0</v>
      </c>
      <c r="L1494" s="9">
        <v>0</v>
      </c>
      <c r="M1494" s="9">
        <v>0</v>
      </c>
      <c r="N1494" s="9">
        <v>0</v>
      </c>
      <c r="O1494" s="9">
        <v>0</v>
      </c>
      <c r="P1494" s="9">
        <v>0</v>
      </c>
      <c r="Q1494" s="9">
        <v>0</v>
      </c>
      <c r="R1494" s="9">
        <v>0</v>
      </c>
      <c r="S1494" s="9">
        <v>0</v>
      </c>
      <c r="T1494" s="9">
        <v>0</v>
      </c>
      <c r="U1494" s="9">
        <v>0</v>
      </c>
      <c r="V1494" s="9">
        <v>0</v>
      </c>
      <c r="W1494" s="9">
        <v>0</v>
      </c>
      <c r="X1494" s="9">
        <v>0</v>
      </c>
      <c r="Y1494" s="9">
        <v>0</v>
      </c>
      <c r="Z1494" s="9">
        <v>0</v>
      </c>
      <c r="AA1494" s="9">
        <v>0</v>
      </c>
      <c r="AB1494" s="9">
        <v>0</v>
      </c>
      <c r="AC1494" s="9">
        <v>0</v>
      </c>
      <c r="AD1494" s="53" t="e">
        <f>#REF!*D1494</f>
        <v>#REF!</v>
      </c>
      <c r="AE1494" s="53" t="e">
        <f>AD1494-#REF!</f>
        <v>#REF!</v>
      </c>
      <c r="AF1494" s="8"/>
      <c r="AG1494" s="33" t="e">
        <f>#REF!-D1494</f>
        <v>#REF!</v>
      </c>
    </row>
    <row r="1495" spans="1:33" s="17" customFormat="1" ht="10.199999999999999" outlineLevel="1" x14ac:dyDescent="0.2">
      <c r="A1495" s="62" t="s">
        <v>1877</v>
      </c>
      <c r="B1495" s="47" t="s">
        <v>1863</v>
      </c>
      <c r="C1495" s="8" t="s">
        <v>47</v>
      </c>
      <c r="D1495" s="25">
        <f t="shared" si="357"/>
        <v>3</v>
      </c>
      <c r="E1495" s="54"/>
      <c r="F1495" s="79"/>
      <c r="G1495" s="9">
        <v>0</v>
      </c>
      <c r="H1495" s="9">
        <v>3</v>
      </c>
      <c r="I1495" s="9">
        <v>0</v>
      </c>
      <c r="J1495" s="9">
        <v>0</v>
      </c>
      <c r="K1495" s="9">
        <v>0</v>
      </c>
      <c r="L1495" s="9">
        <v>0</v>
      </c>
      <c r="M1495" s="9">
        <v>0</v>
      </c>
      <c r="N1495" s="9">
        <v>0</v>
      </c>
      <c r="O1495" s="9">
        <v>0</v>
      </c>
      <c r="P1495" s="9">
        <v>0</v>
      </c>
      <c r="Q1495" s="9">
        <v>0</v>
      </c>
      <c r="R1495" s="9">
        <v>0</v>
      </c>
      <c r="S1495" s="9">
        <v>0</v>
      </c>
      <c r="T1495" s="9">
        <v>0</v>
      </c>
      <c r="U1495" s="9">
        <v>0</v>
      </c>
      <c r="V1495" s="9">
        <v>0</v>
      </c>
      <c r="W1495" s="9">
        <v>0</v>
      </c>
      <c r="X1495" s="9">
        <v>0</v>
      </c>
      <c r="Y1495" s="9">
        <v>0</v>
      </c>
      <c r="Z1495" s="9">
        <v>0</v>
      </c>
      <c r="AA1495" s="9">
        <v>0</v>
      </c>
      <c r="AB1495" s="9">
        <v>0</v>
      </c>
      <c r="AC1495" s="9">
        <v>0</v>
      </c>
      <c r="AD1495" s="53" t="e">
        <f>#REF!*D1495</f>
        <v>#REF!</v>
      </c>
      <c r="AE1495" s="53" t="e">
        <f>AD1495-#REF!</f>
        <v>#REF!</v>
      </c>
      <c r="AF1495" s="8"/>
      <c r="AG1495" s="33" t="e">
        <f>#REF!-D1495</f>
        <v>#REF!</v>
      </c>
    </row>
    <row r="1496" spans="1:33" s="19" customFormat="1" ht="12" outlineLevel="1" x14ac:dyDescent="0.25">
      <c r="A1496" s="62" t="s">
        <v>1878</v>
      </c>
      <c r="B1496" s="47" t="s">
        <v>1861</v>
      </c>
      <c r="C1496" s="8" t="s">
        <v>47</v>
      </c>
      <c r="D1496" s="25">
        <f t="shared" si="357"/>
        <v>10</v>
      </c>
      <c r="E1496" s="54"/>
      <c r="F1496" s="79"/>
      <c r="G1496" s="9">
        <v>0</v>
      </c>
      <c r="H1496" s="9">
        <v>3</v>
      </c>
      <c r="I1496" s="9">
        <v>0</v>
      </c>
      <c r="J1496" s="9">
        <v>0</v>
      </c>
      <c r="K1496" s="9">
        <v>0</v>
      </c>
      <c r="L1496" s="9">
        <v>0</v>
      </c>
      <c r="M1496" s="9">
        <v>0</v>
      </c>
      <c r="N1496" s="9">
        <v>0</v>
      </c>
      <c r="O1496" s="9">
        <v>0</v>
      </c>
      <c r="P1496" s="9">
        <v>0</v>
      </c>
      <c r="Q1496" s="9">
        <v>0</v>
      </c>
      <c r="R1496" s="9">
        <v>0</v>
      </c>
      <c r="S1496" s="9">
        <v>0</v>
      </c>
      <c r="T1496" s="9">
        <v>0</v>
      </c>
      <c r="U1496" s="9">
        <v>0</v>
      </c>
      <c r="V1496" s="9">
        <v>7</v>
      </c>
      <c r="W1496" s="9">
        <v>0</v>
      </c>
      <c r="X1496" s="9">
        <v>0</v>
      </c>
      <c r="Y1496" s="9">
        <v>0</v>
      </c>
      <c r="Z1496" s="9">
        <v>0</v>
      </c>
      <c r="AA1496" s="9">
        <v>0</v>
      </c>
      <c r="AB1496" s="9">
        <v>0</v>
      </c>
      <c r="AC1496" s="9">
        <v>0</v>
      </c>
      <c r="AD1496" s="53" t="e">
        <f>#REF!*D1496</f>
        <v>#REF!</v>
      </c>
      <c r="AE1496" s="53" t="e">
        <f>AD1496-#REF!</f>
        <v>#REF!</v>
      </c>
      <c r="AF1496" s="8"/>
      <c r="AG1496" s="33" t="e">
        <f>#REF!-D1496</f>
        <v>#REF!</v>
      </c>
    </row>
    <row r="1497" spans="1:33" s="19" customFormat="1" ht="12" outlineLevel="1" x14ac:dyDescent="0.25">
      <c r="A1497" s="62" t="s">
        <v>1878</v>
      </c>
      <c r="B1497" s="47" t="s">
        <v>2816</v>
      </c>
      <c r="C1497" s="8" t="s">
        <v>47</v>
      </c>
      <c r="D1497" s="25">
        <f t="shared" si="357"/>
        <v>4</v>
      </c>
      <c r="E1497" s="54"/>
      <c r="F1497" s="79"/>
      <c r="G1497" s="9">
        <v>0</v>
      </c>
      <c r="H1497" s="9">
        <v>0</v>
      </c>
      <c r="I1497" s="9">
        <v>0</v>
      </c>
      <c r="J1497" s="9">
        <v>0</v>
      </c>
      <c r="K1497" s="9">
        <v>0</v>
      </c>
      <c r="L1497" s="9">
        <v>0</v>
      </c>
      <c r="M1497" s="9">
        <v>0</v>
      </c>
      <c r="N1497" s="9">
        <v>0</v>
      </c>
      <c r="O1497" s="9">
        <v>0</v>
      </c>
      <c r="P1497" s="9">
        <v>0</v>
      </c>
      <c r="Q1497" s="9">
        <v>0</v>
      </c>
      <c r="R1497" s="9">
        <v>0</v>
      </c>
      <c r="S1497" s="9">
        <v>0</v>
      </c>
      <c r="T1497" s="9">
        <v>0</v>
      </c>
      <c r="U1497" s="9">
        <v>4</v>
      </c>
      <c r="V1497" s="9">
        <v>0</v>
      </c>
      <c r="W1497" s="9">
        <v>0</v>
      </c>
      <c r="X1497" s="9">
        <v>0</v>
      </c>
      <c r="Y1497" s="9">
        <v>0</v>
      </c>
      <c r="Z1497" s="9">
        <v>0</v>
      </c>
      <c r="AA1497" s="9">
        <v>0</v>
      </c>
      <c r="AB1497" s="9">
        <v>0</v>
      </c>
      <c r="AC1497" s="9">
        <v>0</v>
      </c>
      <c r="AD1497" s="53" t="e">
        <f>#REF!*D1497</f>
        <v>#REF!</v>
      </c>
      <c r="AE1497" s="53" t="e">
        <f>AD1497-#REF!</f>
        <v>#REF!</v>
      </c>
      <c r="AF1497" s="8"/>
      <c r="AG1497" s="33" t="e">
        <f>#REF!-D1497</f>
        <v>#REF!</v>
      </c>
    </row>
    <row r="1498" spans="1:33" s="19" customFormat="1" ht="21.6" outlineLevel="1" x14ac:dyDescent="0.25">
      <c r="A1498" s="62" t="s">
        <v>1879</v>
      </c>
      <c r="B1498" s="47" t="s">
        <v>1866</v>
      </c>
      <c r="C1498" s="8" t="s">
        <v>47</v>
      </c>
      <c r="D1498" s="25">
        <f t="shared" si="357"/>
        <v>8</v>
      </c>
      <c r="E1498" s="54"/>
      <c r="F1498" s="79"/>
      <c r="G1498" s="9">
        <v>0</v>
      </c>
      <c r="H1498" s="9">
        <v>4</v>
      </c>
      <c r="I1498" s="9">
        <v>0</v>
      </c>
      <c r="J1498" s="9">
        <v>0</v>
      </c>
      <c r="K1498" s="9">
        <v>0</v>
      </c>
      <c r="L1498" s="9">
        <v>0</v>
      </c>
      <c r="M1498" s="9">
        <v>0</v>
      </c>
      <c r="N1498" s="9">
        <v>0</v>
      </c>
      <c r="O1498" s="9">
        <v>0</v>
      </c>
      <c r="P1498" s="9">
        <v>0</v>
      </c>
      <c r="Q1498" s="9">
        <v>0</v>
      </c>
      <c r="R1498" s="9">
        <v>0</v>
      </c>
      <c r="S1498" s="9">
        <v>0</v>
      </c>
      <c r="T1498" s="9">
        <v>0</v>
      </c>
      <c r="U1498" s="9">
        <v>4</v>
      </c>
      <c r="V1498" s="9">
        <v>0</v>
      </c>
      <c r="W1498" s="9">
        <v>0</v>
      </c>
      <c r="X1498" s="9">
        <v>0</v>
      </c>
      <c r="Y1498" s="9">
        <v>0</v>
      </c>
      <c r="Z1498" s="9">
        <v>0</v>
      </c>
      <c r="AA1498" s="9">
        <v>0</v>
      </c>
      <c r="AB1498" s="9">
        <v>0</v>
      </c>
      <c r="AC1498" s="9">
        <v>0</v>
      </c>
      <c r="AD1498" s="53" t="e">
        <f>#REF!*D1498</f>
        <v>#REF!</v>
      </c>
      <c r="AE1498" s="53" t="e">
        <f>AD1498-#REF!</f>
        <v>#REF!</v>
      </c>
      <c r="AF1498" s="8"/>
      <c r="AG1498" s="33" t="e">
        <f>#REF!-D1498</f>
        <v>#REF!</v>
      </c>
    </row>
    <row r="1499" spans="1:33" s="19" customFormat="1" ht="21.6" outlineLevel="1" x14ac:dyDescent="0.25">
      <c r="A1499" s="62" t="s">
        <v>1880</v>
      </c>
      <c r="B1499" s="47" t="s">
        <v>1867</v>
      </c>
      <c r="C1499" s="8" t="s">
        <v>47</v>
      </c>
      <c r="D1499" s="25">
        <f t="shared" si="357"/>
        <v>1</v>
      </c>
      <c r="E1499" s="54"/>
      <c r="F1499" s="79"/>
      <c r="G1499" s="9">
        <v>0</v>
      </c>
      <c r="H1499" s="9">
        <v>1</v>
      </c>
      <c r="I1499" s="9">
        <v>0</v>
      </c>
      <c r="J1499" s="9">
        <v>0</v>
      </c>
      <c r="K1499" s="9">
        <v>0</v>
      </c>
      <c r="L1499" s="9">
        <v>0</v>
      </c>
      <c r="M1499" s="9">
        <v>0</v>
      </c>
      <c r="N1499" s="9">
        <v>0</v>
      </c>
      <c r="O1499" s="9">
        <v>0</v>
      </c>
      <c r="P1499" s="9">
        <v>0</v>
      </c>
      <c r="Q1499" s="9">
        <v>0</v>
      </c>
      <c r="R1499" s="9">
        <v>0</v>
      </c>
      <c r="S1499" s="9">
        <v>0</v>
      </c>
      <c r="T1499" s="9">
        <v>0</v>
      </c>
      <c r="U1499" s="9">
        <v>0</v>
      </c>
      <c r="V1499" s="9">
        <v>0</v>
      </c>
      <c r="W1499" s="9">
        <v>0</v>
      </c>
      <c r="X1499" s="9">
        <v>0</v>
      </c>
      <c r="Y1499" s="9">
        <v>0</v>
      </c>
      <c r="Z1499" s="9">
        <v>0</v>
      </c>
      <c r="AA1499" s="9">
        <v>0</v>
      </c>
      <c r="AB1499" s="9">
        <v>0</v>
      </c>
      <c r="AC1499" s="9">
        <v>0</v>
      </c>
      <c r="AD1499" s="53" t="e">
        <f>#REF!*D1499</f>
        <v>#REF!</v>
      </c>
      <c r="AE1499" s="53" t="e">
        <f>AD1499-#REF!</f>
        <v>#REF!</v>
      </c>
      <c r="AF1499" s="8"/>
      <c r="AG1499" s="33" t="e">
        <f>#REF!-D1499</f>
        <v>#REF!</v>
      </c>
    </row>
    <row r="1500" spans="1:33" s="19" customFormat="1" ht="21.6" outlineLevel="1" x14ac:dyDescent="0.25">
      <c r="A1500" s="62" t="s">
        <v>1881</v>
      </c>
      <c r="B1500" s="47" t="s">
        <v>1868</v>
      </c>
      <c r="C1500" s="8" t="s">
        <v>47</v>
      </c>
      <c r="D1500" s="25">
        <f t="shared" si="357"/>
        <v>6</v>
      </c>
      <c r="E1500" s="54"/>
      <c r="F1500" s="79"/>
      <c r="G1500" s="9">
        <v>0</v>
      </c>
      <c r="H1500" s="9">
        <v>3</v>
      </c>
      <c r="I1500" s="9">
        <v>0</v>
      </c>
      <c r="J1500" s="9">
        <v>0</v>
      </c>
      <c r="K1500" s="9">
        <v>0</v>
      </c>
      <c r="L1500" s="9">
        <v>0</v>
      </c>
      <c r="M1500" s="9">
        <v>0</v>
      </c>
      <c r="N1500" s="9">
        <v>0</v>
      </c>
      <c r="O1500" s="9">
        <v>0</v>
      </c>
      <c r="P1500" s="9">
        <v>0</v>
      </c>
      <c r="Q1500" s="9">
        <v>0</v>
      </c>
      <c r="R1500" s="9">
        <v>0</v>
      </c>
      <c r="S1500" s="9">
        <v>0</v>
      </c>
      <c r="T1500" s="9">
        <v>0</v>
      </c>
      <c r="U1500" s="9">
        <v>0</v>
      </c>
      <c r="V1500" s="9">
        <v>3</v>
      </c>
      <c r="W1500" s="9">
        <v>0</v>
      </c>
      <c r="X1500" s="9">
        <v>0</v>
      </c>
      <c r="Y1500" s="9">
        <v>0</v>
      </c>
      <c r="Z1500" s="9">
        <v>0</v>
      </c>
      <c r="AA1500" s="9">
        <v>0</v>
      </c>
      <c r="AB1500" s="9">
        <v>0</v>
      </c>
      <c r="AC1500" s="9">
        <v>0</v>
      </c>
      <c r="AD1500" s="53" t="e">
        <f>#REF!*D1500</f>
        <v>#REF!</v>
      </c>
      <c r="AE1500" s="53" t="e">
        <f>AD1500-#REF!</f>
        <v>#REF!</v>
      </c>
      <c r="AF1500" s="8"/>
      <c r="AG1500" s="33" t="e">
        <f>#REF!-D1500</f>
        <v>#REF!</v>
      </c>
    </row>
    <row r="1501" spans="1:33" s="19" customFormat="1" ht="21.6" outlineLevel="1" x14ac:dyDescent="0.25">
      <c r="A1501" s="62" t="s">
        <v>1881</v>
      </c>
      <c r="B1501" s="47" t="s">
        <v>2817</v>
      </c>
      <c r="C1501" s="8" t="s">
        <v>47</v>
      </c>
      <c r="D1501" s="25">
        <f t="shared" si="357"/>
        <v>1</v>
      </c>
      <c r="E1501" s="54"/>
      <c r="F1501" s="79"/>
      <c r="G1501" s="9">
        <v>0</v>
      </c>
      <c r="H1501" s="9">
        <v>0</v>
      </c>
      <c r="I1501" s="9">
        <v>0</v>
      </c>
      <c r="J1501" s="9">
        <v>0</v>
      </c>
      <c r="K1501" s="9">
        <v>0</v>
      </c>
      <c r="L1501" s="9">
        <v>0</v>
      </c>
      <c r="M1501" s="9">
        <v>0</v>
      </c>
      <c r="N1501" s="9">
        <v>0</v>
      </c>
      <c r="O1501" s="9">
        <v>0</v>
      </c>
      <c r="P1501" s="9">
        <v>0</v>
      </c>
      <c r="Q1501" s="9">
        <v>0</v>
      </c>
      <c r="R1501" s="9">
        <v>0</v>
      </c>
      <c r="S1501" s="9">
        <v>0</v>
      </c>
      <c r="T1501" s="9">
        <v>0</v>
      </c>
      <c r="U1501" s="9">
        <v>1</v>
      </c>
      <c r="V1501" s="9">
        <v>0</v>
      </c>
      <c r="W1501" s="9">
        <v>0</v>
      </c>
      <c r="X1501" s="9">
        <v>0</v>
      </c>
      <c r="Y1501" s="9">
        <v>0</v>
      </c>
      <c r="Z1501" s="9">
        <v>0</v>
      </c>
      <c r="AA1501" s="9">
        <v>0</v>
      </c>
      <c r="AB1501" s="9">
        <v>0</v>
      </c>
      <c r="AC1501" s="9">
        <v>0</v>
      </c>
      <c r="AD1501" s="53" t="e">
        <f>#REF!*D1501</f>
        <v>#REF!</v>
      </c>
      <c r="AE1501" s="53" t="e">
        <f>AD1501-#REF!</f>
        <v>#REF!</v>
      </c>
      <c r="AF1501" s="8"/>
      <c r="AG1501" s="33" t="e">
        <f>#REF!-D1501</f>
        <v>#REF!</v>
      </c>
    </row>
    <row r="1502" spans="1:33" s="17" customFormat="1" ht="21.6" outlineLevel="1" x14ac:dyDescent="0.2">
      <c r="A1502" s="62" t="s">
        <v>1882</v>
      </c>
      <c r="B1502" s="47" t="s">
        <v>1869</v>
      </c>
      <c r="C1502" s="8" t="s">
        <v>47</v>
      </c>
      <c r="D1502" s="25">
        <f t="shared" si="357"/>
        <v>5</v>
      </c>
      <c r="E1502" s="54"/>
      <c r="F1502" s="79"/>
      <c r="G1502" s="9">
        <v>0</v>
      </c>
      <c r="H1502" s="9">
        <v>2</v>
      </c>
      <c r="I1502" s="9">
        <v>0</v>
      </c>
      <c r="J1502" s="9">
        <v>0</v>
      </c>
      <c r="K1502" s="9">
        <v>0</v>
      </c>
      <c r="L1502" s="9">
        <v>0</v>
      </c>
      <c r="M1502" s="9">
        <v>0</v>
      </c>
      <c r="N1502" s="9">
        <v>0</v>
      </c>
      <c r="O1502" s="9">
        <v>0</v>
      </c>
      <c r="P1502" s="9">
        <v>0</v>
      </c>
      <c r="Q1502" s="9">
        <v>0</v>
      </c>
      <c r="R1502" s="9">
        <v>0</v>
      </c>
      <c r="S1502" s="9">
        <v>0</v>
      </c>
      <c r="T1502" s="9">
        <v>0</v>
      </c>
      <c r="U1502" s="9">
        <v>0</v>
      </c>
      <c r="V1502" s="9">
        <v>3</v>
      </c>
      <c r="W1502" s="9">
        <v>0</v>
      </c>
      <c r="X1502" s="9">
        <v>0</v>
      </c>
      <c r="Y1502" s="9">
        <v>0</v>
      </c>
      <c r="Z1502" s="9">
        <v>0</v>
      </c>
      <c r="AA1502" s="9">
        <v>0</v>
      </c>
      <c r="AB1502" s="9">
        <v>0</v>
      </c>
      <c r="AC1502" s="9">
        <v>0</v>
      </c>
      <c r="AD1502" s="53" t="e">
        <f>#REF!*D1502</f>
        <v>#REF!</v>
      </c>
      <c r="AE1502" s="53" t="e">
        <f>AD1502-#REF!</f>
        <v>#REF!</v>
      </c>
      <c r="AF1502" s="8"/>
      <c r="AG1502" s="33" t="e">
        <f>#REF!-D1502</f>
        <v>#REF!</v>
      </c>
    </row>
    <row r="1503" spans="1:33" s="17" customFormat="1" ht="21.6" outlineLevel="1" x14ac:dyDescent="0.2">
      <c r="A1503" s="62" t="s">
        <v>1882</v>
      </c>
      <c r="B1503" s="47" t="s">
        <v>2818</v>
      </c>
      <c r="C1503" s="8" t="s">
        <v>47</v>
      </c>
      <c r="D1503" s="25">
        <f t="shared" si="357"/>
        <v>2</v>
      </c>
      <c r="E1503" s="54"/>
      <c r="F1503" s="79"/>
      <c r="G1503" s="9">
        <v>0</v>
      </c>
      <c r="H1503" s="9">
        <v>0</v>
      </c>
      <c r="I1503" s="9">
        <v>0</v>
      </c>
      <c r="J1503" s="9">
        <v>0</v>
      </c>
      <c r="K1503" s="9">
        <v>0</v>
      </c>
      <c r="L1503" s="9">
        <v>0</v>
      </c>
      <c r="M1503" s="9">
        <v>0</v>
      </c>
      <c r="N1503" s="9">
        <v>0</v>
      </c>
      <c r="O1503" s="9">
        <v>0</v>
      </c>
      <c r="P1503" s="9">
        <v>0</v>
      </c>
      <c r="Q1503" s="9">
        <v>0</v>
      </c>
      <c r="R1503" s="9">
        <v>0</v>
      </c>
      <c r="S1503" s="9">
        <v>0</v>
      </c>
      <c r="T1503" s="9">
        <v>0</v>
      </c>
      <c r="U1503" s="9">
        <v>2</v>
      </c>
      <c r="V1503" s="9">
        <v>0</v>
      </c>
      <c r="W1503" s="9">
        <v>0</v>
      </c>
      <c r="X1503" s="9">
        <v>0</v>
      </c>
      <c r="Y1503" s="9">
        <v>0</v>
      </c>
      <c r="Z1503" s="9">
        <v>0</v>
      </c>
      <c r="AA1503" s="9">
        <v>0</v>
      </c>
      <c r="AB1503" s="9">
        <v>0</v>
      </c>
      <c r="AC1503" s="9">
        <v>0</v>
      </c>
      <c r="AD1503" s="53" t="e">
        <f>#REF!*D1503</f>
        <v>#REF!</v>
      </c>
      <c r="AE1503" s="53" t="e">
        <f>AD1503-#REF!</f>
        <v>#REF!</v>
      </c>
      <c r="AF1503" s="8"/>
      <c r="AG1503" s="33" t="e">
        <f>#REF!-D1503</f>
        <v>#REF!</v>
      </c>
    </row>
    <row r="1504" spans="1:33" s="17" customFormat="1" ht="20.399999999999999" outlineLevel="1" x14ac:dyDescent="0.2">
      <c r="A1504" s="62" t="s">
        <v>1883</v>
      </c>
      <c r="B1504" s="80" t="s">
        <v>1499</v>
      </c>
      <c r="C1504" s="8" t="s">
        <v>47</v>
      </c>
      <c r="D1504" s="25">
        <f t="shared" si="357"/>
        <v>4</v>
      </c>
      <c r="E1504" s="54"/>
      <c r="F1504" s="79"/>
      <c r="G1504" s="9">
        <v>0</v>
      </c>
      <c r="H1504" s="9">
        <v>4</v>
      </c>
      <c r="I1504" s="9">
        <v>0</v>
      </c>
      <c r="J1504" s="9">
        <v>0</v>
      </c>
      <c r="K1504" s="9">
        <v>0</v>
      </c>
      <c r="L1504" s="9">
        <v>0</v>
      </c>
      <c r="M1504" s="9">
        <v>0</v>
      </c>
      <c r="N1504" s="9">
        <v>0</v>
      </c>
      <c r="O1504" s="9">
        <v>0</v>
      </c>
      <c r="P1504" s="9">
        <v>0</v>
      </c>
      <c r="Q1504" s="9">
        <v>0</v>
      </c>
      <c r="R1504" s="9">
        <v>0</v>
      </c>
      <c r="S1504" s="9">
        <v>0</v>
      </c>
      <c r="T1504" s="9">
        <v>0</v>
      </c>
      <c r="U1504" s="9">
        <v>0</v>
      </c>
      <c r="V1504" s="9">
        <v>0</v>
      </c>
      <c r="W1504" s="9">
        <v>0</v>
      </c>
      <c r="X1504" s="9">
        <v>0</v>
      </c>
      <c r="Y1504" s="9">
        <v>0</v>
      </c>
      <c r="Z1504" s="9">
        <v>0</v>
      </c>
      <c r="AA1504" s="9">
        <v>0</v>
      </c>
      <c r="AB1504" s="9">
        <v>0</v>
      </c>
      <c r="AC1504" s="9">
        <v>0</v>
      </c>
      <c r="AD1504" s="53" t="e">
        <f>#REF!*D1504</f>
        <v>#REF!</v>
      </c>
      <c r="AE1504" s="53" t="e">
        <f>AD1504-#REF!</f>
        <v>#REF!</v>
      </c>
      <c r="AF1504" s="8"/>
      <c r="AG1504" s="33" t="e">
        <f>#REF!-D1504</f>
        <v>#REF!</v>
      </c>
    </row>
    <row r="1505" spans="1:37" s="19" customFormat="1" ht="20.399999999999999" outlineLevel="1" x14ac:dyDescent="0.25">
      <c r="A1505" s="62" t="s">
        <v>1884</v>
      </c>
      <c r="B1505" s="80" t="s">
        <v>1864</v>
      </c>
      <c r="C1505" s="8" t="s">
        <v>47</v>
      </c>
      <c r="D1505" s="25">
        <f t="shared" si="357"/>
        <v>1</v>
      </c>
      <c r="E1505" s="54"/>
      <c r="F1505" s="79"/>
      <c r="G1505" s="9">
        <v>0</v>
      </c>
      <c r="H1505" s="9">
        <v>1</v>
      </c>
      <c r="I1505" s="9">
        <v>0</v>
      </c>
      <c r="J1505" s="9">
        <v>0</v>
      </c>
      <c r="K1505" s="9">
        <v>0</v>
      </c>
      <c r="L1505" s="9">
        <v>0</v>
      </c>
      <c r="M1505" s="9">
        <v>0</v>
      </c>
      <c r="N1505" s="9">
        <v>0</v>
      </c>
      <c r="O1505" s="9">
        <v>0</v>
      </c>
      <c r="P1505" s="9">
        <v>0</v>
      </c>
      <c r="Q1505" s="9">
        <v>0</v>
      </c>
      <c r="R1505" s="9">
        <v>0</v>
      </c>
      <c r="S1505" s="9">
        <v>0</v>
      </c>
      <c r="T1505" s="9">
        <v>0</v>
      </c>
      <c r="U1505" s="9">
        <v>0</v>
      </c>
      <c r="V1505" s="9">
        <v>0</v>
      </c>
      <c r="W1505" s="9">
        <v>0</v>
      </c>
      <c r="X1505" s="9">
        <v>0</v>
      </c>
      <c r="Y1505" s="9">
        <v>0</v>
      </c>
      <c r="Z1505" s="9">
        <v>0</v>
      </c>
      <c r="AA1505" s="9">
        <v>0</v>
      </c>
      <c r="AB1505" s="9">
        <v>0</v>
      </c>
      <c r="AC1505" s="9">
        <v>0</v>
      </c>
      <c r="AD1505" s="53" t="e">
        <f>#REF!*D1505</f>
        <v>#REF!</v>
      </c>
      <c r="AE1505" s="53" t="e">
        <f>AD1505-#REF!</f>
        <v>#REF!</v>
      </c>
      <c r="AF1505" s="8"/>
      <c r="AG1505" s="33" t="e">
        <f>#REF!-D1505</f>
        <v>#REF!</v>
      </c>
    </row>
    <row r="1506" spans="1:37" s="17" customFormat="1" ht="20.399999999999999" outlineLevel="1" x14ac:dyDescent="0.2">
      <c r="A1506" s="62" t="s">
        <v>1885</v>
      </c>
      <c r="B1506" s="80" t="s">
        <v>1865</v>
      </c>
      <c r="C1506" s="8" t="s">
        <v>47</v>
      </c>
      <c r="D1506" s="25">
        <f t="shared" si="357"/>
        <v>1</v>
      </c>
      <c r="E1506" s="54"/>
      <c r="F1506" s="79"/>
      <c r="G1506" s="9">
        <v>0</v>
      </c>
      <c r="H1506" s="9">
        <v>1</v>
      </c>
      <c r="I1506" s="9">
        <v>0</v>
      </c>
      <c r="J1506" s="9">
        <v>0</v>
      </c>
      <c r="K1506" s="9">
        <v>0</v>
      </c>
      <c r="L1506" s="9">
        <v>0</v>
      </c>
      <c r="M1506" s="9">
        <v>0</v>
      </c>
      <c r="N1506" s="9">
        <v>0</v>
      </c>
      <c r="O1506" s="9">
        <v>0</v>
      </c>
      <c r="P1506" s="9">
        <v>0</v>
      </c>
      <c r="Q1506" s="9">
        <v>0</v>
      </c>
      <c r="R1506" s="9">
        <v>0</v>
      </c>
      <c r="S1506" s="9">
        <v>0</v>
      </c>
      <c r="T1506" s="9">
        <v>0</v>
      </c>
      <c r="U1506" s="9">
        <v>0</v>
      </c>
      <c r="V1506" s="9">
        <v>0</v>
      </c>
      <c r="W1506" s="9">
        <v>0</v>
      </c>
      <c r="X1506" s="9">
        <v>0</v>
      </c>
      <c r="Y1506" s="9">
        <v>0</v>
      </c>
      <c r="Z1506" s="9">
        <v>0</v>
      </c>
      <c r="AA1506" s="9">
        <v>0</v>
      </c>
      <c r="AB1506" s="9">
        <v>0</v>
      </c>
      <c r="AC1506" s="9">
        <v>0</v>
      </c>
      <c r="AD1506" s="53" t="e">
        <f>#REF!*D1506</f>
        <v>#REF!</v>
      </c>
      <c r="AE1506" s="53" t="e">
        <f>AD1506-#REF!</f>
        <v>#REF!</v>
      </c>
      <c r="AF1506" s="8"/>
      <c r="AG1506" s="33" t="e">
        <f>#REF!-D1506</f>
        <v>#REF!</v>
      </c>
    </row>
    <row r="1507" spans="1:37" s="16" customFormat="1" ht="20.399999999999999" outlineLevel="1" x14ac:dyDescent="0.2">
      <c r="A1507" s="62" t="s">
        <v>1886</v>
      </c>
      <c r="B1507" s="63" t="s">
        <v>204</v>
      </c>
      <c r="C1507" s="8" t="s">
        <v>48</v>
      </c>
      <c r="D1507" s="25">
        <f>SUM(G1507:AC1507)*6</f>
        <v>42</v>
      </c>
      <c r="E1507" s="54"/>
      <c r="F1507" s="9"/>
      <c r="G1507" s="9">
        <v>7</v>
      </c>
      <c r="H1507" s="9">
        <v>0</v>
      </c>
      <c r="I1507" s="9">
        <v>0</v>
      </c>
      <c r="J1507" s="9">
        <v>0</v>
      </c>
      <c r="K1507" s="9">
        <v>0</v>
      </c>
      <c r="L1507" s="9">
        <v>0</v>
      </c>
      <c r="M1507" s="9">
        <v>0</v>
      </c>
      <c r="N1507" s="9">
        <v>0</v>
      </c>
      <c r="O1507" s="9">
        <v>0</v>
      </c>
      <c r="P1507" s="9">
        <v>0</v>
      </c>
      <c r="Q1507" s="9">
        <v>0</v>
      </c>
      <c r="R1507" s="9">
        <v>0</v>
      </c>
      <c r="S1507" s="9">
        <v>0</v>
      </c>
      <c r="T1507" s="9">
        <v>0</v>
      </c>
      <c r="U1507" s="9">
        <v>0</v>
      </c>
      <c r="V1507" s="9">
        <v>0</v>
      </c>
      <c r="W1507" s="9">
        <v>0</v>
      </c>
      <c r="X1507" s="9">
        <v>0</v>
      </c>
      <c r="Y1507" s="9">
        <v>0</v>
      </c>
      <c r="Z1507" s="9">
        <v>0</v>
      </c>
      <c r="AA1507" s="9">
        <v>0</v>
      </c>
      <c r="AB1507" s="9">
        <v>0</v>
      </c>
      <c r="AC1507" s="9">
        <v>0</v>
      </c>
      <c r="AD1507" s="53" t="e">
        <f>#REF!*D1507</f>
        <v>#REF!</v>
      </c>
      <c r="AE1507" s="53" t="e">
        <f>AD1507-#REF!</f>
        <v>#REF!</v>
      </c>
      <c r="AF1507" s="9"/>
      <c r="AG1507" s="33" t="e">
        <f>#REF!-D1507</f>
        <v>#REF!</v>
      </c>
    </row>
    <row r="1508" spans="1:37" s="16" customFormat="1" ht="20.399999999999999" outlineLevel="1" x14ac:dyDescent="0.2">
      <c r="A1508" s="62" t="s">
        <v>1887</v>
      </c>
      <c r="B1508" s="14" t="s">
        <v>340</v>
      </c>
      <c r="C1508" s="9" t="s">
        <v>47</v>
      </c>
      <c r="D1508" s="25">
        <f t="shared" ref="D1508:D1521" si="358">SUM(G1508:AC1508)</f>
        <v>3</v>
      </c>
      <c r="E1508" s="54"/>
      <c r="F1508" s="9"/>
      <c r="G1508" s="49">
        <v>3</v>
      </c>
      <c r="H1508" s="49">
        <v>0</v>
      </c>
      <c r="I1508" s="49">
        <f t="shared" ref="I1508:T1508" si="359">I1497/2</f>
        <v>0</v>
      </c>
      <c r="J1508" s="49">
        <f t="shared" si="359"/>
        <v>0</v>
      </c>
      <c r="K1508" s="49">
        <f t="shared" si="359"/>
        <v>0</v>
      </c>
      <c r="L1508" s="49">
        <f t="shared" si="359"/>
        <v>0</v>
      </c>
      <c r="M1508" s="49">
        <f t="shared" si="359"/>
        <v>0</v>
      </c>
      <c r="N1508" s="49">
        <f t="shared" si="359"/>
        <v>0</v>
      </c>
      <c r="O1508" s="49">
        <f t="shared" si="359"/>
        <v>0</v>
      </c>
      <c r="P1508" s="49">
        <f t="shared" si="359"/>
        <v>0</v>
      </c>
      <c r="Q1508" s="49">
        <f t="shared" si="359"/>
        <v>0</v>
      </c>
      <c r="R1508" s="49">
        <f t="shared" si="359"/>
        <v>0</v>
      </c>
      <c r="S1508" s="49">
        <f t="shared" si="359"/>
        <v>0</v>
      </c>
      <c r="T1508" s="49">
        <f t="shared" si="359"/>
        <v>0</v>
      </c>
      <c r="U1508" s="49">
        <v>0</v>
      </c>
      <c r="V1508" s="49">
        <f t="shared" ref="V1508:AC1508" si="360">V1497/2</f>
        <v>0</v>
      </c>
      <c r="W1508" s="49">
        <f t="shared" si="360"/>
        <v>0</v>
      </c>
      <c r="X1508" s="49">
        <f t="shared" si="360"/>
        <v>0</v>
      </c>
      <c r="Y1508" s="49">
        <f t="shared" si="360"/>
        <v>0</v>
      </c>
      <c r="Z1508" s="49">
        <f t="shared" si="360"/>
        <v>0</v>
      </c>
      <c r="AA1508" s="49">
        <f t="shared" si="360"/>
        <v>0</v>
      </c>
      <c r="AB1508" s="49">
        <f t="shared" si="360"/>
        <v>0</v>
      </c>
      <c r="AC1508" s="49">
        <f t="shared" si="360"/>
        <v>0</v>
      </c>
      <c r="AD1508" s="53" t="e">
        <f>#REF!*D1508</f>
        <v>#REF!</v>
      </c>
      <c r="AE1508" s="53" t="e">
        <f>AD1508-#REF!</f>
        <v>#REF!</v>
      </c>
      <c r="AF1508" s="9"/>
      <c r="AG1508" s="33" t="e">
        <f>#REF!-D1508</f>
        <v>#REF!</v>
      </c>
    </row>
    <row r="1509" spans="1:37" s="16" customFormat="1" ht="21.6" outlineLevel="1" x14ac:dyDescent="0.2">
      <c r="A1509" s="62" t="s">
        <v>1888</v>
      </c>
      <c r="B1509" s="14" t="s">
        <v>205</v>
      </c>
      <c r="C1509" s="9" t="s">
        <v>47</v>
      </c>
      <c r="D1509" s="25">
        <f t="shared" si="358"/>
        <v>35</v>
      </c>
      <c r="E1509" s="54"/>
      <c r="F1509" s="9"/>
      <c r="G1509" s="9">
        <v>6</v>
      </c>
      <c r="H1509" s="9">
        <v>0</v>
      </c>
      <c r="I1509" s="9">
        <v>0</v>
      </c>
      <c r="J1509" s="9">
        <v>1</v>
      </c>
      <c r="K1509" s="9">
        <v>1</v>
      </c>
      <c r="L1509" s="9">
        <v>3</v>
      </c>
      <c r="M1509" s="9">
        <v>3</v>
      </c>
      <c r="N1509" s="9">
        <v>3</v>
      </c>
      <c r="O1509" s="9">
        <v>2</v>
      </c>
      <c r="P1509" s="9">
        <v>1</v>
      </c>
      <c r="Q1509" s="9">
        <v>0</v>
      </c>
      <c r="R1509" s="9">
        <v>3</v>
      </c>
      <c r="S1509" s="9">
        <v>0</v>
      </c>
      <c r="T1509" s="9">
        <v>12</v>
      </c>
      <c r="U1509" s="9">
        <v>0</v>
      </c>
      <c r="V1509" s="9">
        <v>0</v>
      </c>
      <c r="W1509" s="9">
        <v>0</v>
      </c>
      <c r="X1509" s="9">
        <v>0</v>
      </c>
      <c r="Y1509" s="9">
        <v>0</v>
      </c>
      <c r="Z1509" s="9">
        <v>0</v>
      </c>
      <c r="AA1509" s="9">
        <v>0</v>
      </c>
      <c r="AB1509" s="9">
        <v>0</v>
      </c>
      <c r="AC1509" s="9">
        <v>0</v>
      </c>
      <c r="AD1509" s="53" t="e">
        <f>#REF!*D1509</f>
        <v>#REF!</v>
      </c>
      <c r="AE1509" s="53" t="e">
        <f>AD1509-#REF!</f>
        <v>#REF!</v>
      </c>
      <c r="AF1509" s="9"/>
      <c r="AG1509" s="33" t="e">
        <f>#REF!-D1509</f>
        <v>#REF!</v>
      </c>
    </row>
    <row r="1510" spans="1:37" s="16" customFormat="1" ht="20.399999999999999" outlineLevel="1" x14ac:dyDescent="0.2">
      <c r="A1510" s="62" t="s">
        <v>1889</v>
      </c>
      <c r="B1510" s="14" t="s">
        <v>1466</v>
      </c>
      <c r="C1510" s="9" t="s">
        <v>47</v>
      </c>
      <c r="D1510" s="25">
        <f t="shared" si="358"/>
        <v>2</v>
      </c>
      <c r="E1510" s="54"/>
      <c r="F1510" s="9"/>
      <c r="G1510" s="49">
        <v>2</v>
      </c>
      <c r="H1510" s="49">
        <v>0</v>
      </c>
      <c r="I1510" s="49">
        <f t="shared" ref="I1510:T1510" si="361">I1512*2</f>
        <v>0</v>
      </c>
      <c r="J1510" s="49">
        <f t="shared" si="361"/>
        <v>0</v>
      </c>
      <c r="K1510" s="49">
        <f t="shared" si="361"/>
        <v>0</v>
      </c>
      <c r="L1510" s="49">
        <f t="shared" si="361"/>
        <v>0</v>
      </c>
      <c r="M1510" s="49">
        <f t="shared" si="361"/>
        <v>0</v>
      </c>
      <c r="N1510" s="49">
        <f t="shared" si="361"/>
        <v>0</v>
      </c>
      <c r="O1510" s="49">
        <f t="shared" si="361"/>
        <v>0</v>
      </c>
      <c r="P1510" s="49">
        <f t="shared" si="361"/>
        <v>0</v>
      </c>
      <c r="Q1510" s="49">
        <f t="shared" si="361"/>
        <v>0</v>
      </c>
      <c r="R1510" s="49">
        <f t="shared" si="361"/>
        <v>0</v>
      </c>
      <c r="S1510" s="49">
        <f t="shared" si="361"/>
        <v>0</v>
      </c>
      <c r="T1510" s="49">
        <f t="shared" si="361"/>
        <v>0</v>
      </c>
      <c r="U1510" s="49">
        <v>0</v>
      </c>
      <c r="V1510" s="49">
        <f t="shared" ref="V1510:AC1510" si="362">V1512*2</f>
        <v>0</v>
      </c>
      <c r="W1510" s="49">
        <f t="shared" si="362"/>
        <v>0</v>
      </c>
      <c r="X1510" s="49">
        <f t="shared" si="362"/>
        <v>0</v>
      </c>
      <c r="Y1510" s="49">
        <f t="shared" si="362"/>
        <v>0</v>
      </c>
      <c r="Z1510" s="49">
        <f t="shared" si="362"/>
        <v>0</v>
      </c>
      <c r="AA1510" s="49">
        <f t="shared" si="362"/>
        <v>0</v>
      </c>
      <c r="AB1510" s="49">
        <f t="shared" si="362"/>
        <v>0</v>
      </c>
      <c r="AC1510" s="49">
        <f t="shared" si="362"/>
        <v>0</v>
      </c>
      <c r="AD1510" s="53" t="e">
        <f>#REF!*D1510</f>
        <v>#REF!</v>
      </c>
      <c r="AE1510" s="53" t="e">
        <f>AD1510-#REF!</f>
        <v>#REF!</v>
      </c>
      <c r="AF1510" s="9"/>
      <c r="AG1510" s="33" t="e">
        <f>#REF!-D1510</f>
        <v>#REF!</v>
      </c>
    </row>
    <row r="1511" spans="1:37" s="10" customFormat="1" ht="21" outlineLevel="1" x14ac:dyDescent="0.25">
      <c r="A1511" s="62" t="s">
        <v>1890</v>
      </c>
      <c r="B1511" s="14" t="s">
        <v>207</v>
      </c>
      <c r="C1511" s="8" t="s">
        <v>47</v>
      </c>
      <c r="D1511" s="25">
        <f t="shared" si="358"/>
        <v>1</v>
      </c>
      <c r="E1511" s="54"/>
      <c r="F1511" s="9"/>
      <c r="G1511" s="49">
        <v>1</v>
      </c>
      <c r="H1511" s="49">
        <v>0</v>
      </c>
      <c r="I1511" s="49">
        <f t="shared" ref="I1511:T1511" si="363">I1512</f>
        <v>0</v>
      </c>
      <c r="J1511" s="49">
        <f t="shared" si="363"/>
        <v>0</v>
      </c>
      <c r="K1511" s="49">
        <f t="shared" si="363"/>
        <v>0</v>
      </c>
      <c r="L1511" s="49">
        <f t="shared" si="363"/>
        <v>0</v>
      </c>
      <c r="M1511" s="49">
        <f t="shared" si="363"/>
        <v>0</v>
      </c>
      <c r="N1511" s="49">
        <f t="shared" si="363"/>
        <v>0</v>
      </c>
      <c r="O1511" s="49">
        <f t="shared" si="363"/>
        <v>0</v>
      </c>
      <c r="P1511" s="49">
        <f t="shared" si="363"/>
        <v>0</v>
      </c>
      <c r="Q1511" s="49">
        <f t="shared" si="363"/>
        <v>0</v>
      </c>
      <c r="R1511" s="49">
        <f t="shared" si="363"/>
        <v>0</v>
      </c>
      <c r="S1511" s="49">
        <f t="shared" si="363"/>
        <v>0</v>
      </c>
      <c r="T1511" s="49">
        <f t="shared" si="363"/>
        <v>0</v>
      </c>
      <c r="U1511" s="49">
        <v>0</v>
      </c>
      <c r="V1511" s="49">
        <f t="shared" ref="V1511:AC1511" si="364">V1512</f>
        <v>0</v>
      </c>
      <c r="W1511" s="49">
        <f t="shared" si="364"/>
        <v>0</v>
      </c>
      <c r="X1511" s="49">
        <f t="shared" si="364"/>
        <v>0</v>
      </c>
      <c r="Y1511" s="49">
        <f t="shared" si="364"/>
        <v>0</v>
      </c>
      <c r="Z1511" s="49">
        <f t="shared" si="364"/>
        <v>0</v>
      </c>
      <c r="AA1511" s="49">
        <f t="shared" si="364"/>
        <v>0</v>
      </c>
      <c r="AB1511" s="49">
        <f t="shared" si="364"/>
        <v>0</v>
      </c>
      <c r="AC1511" s="49">
        <f t="shared" si="364"/>
        <v>0</v>
      </c>
      <c r="AD1511" s="53" t="e">
        <f>#REF!*D1511</f>
        <v>#REF!</v>
      </c>
      <c r="AE1511" s="53" t="e">
        <f>AD1511-#REF!</f>
        <v>#REF!</v>
      </c>
      <c r="AF1511" s="8"/>
      <c r="AG1511" s="33" t="e">
        <f>#REF!-D1511</f>
        <v>#REF!</v>
      </c>
      <c r="AH1511" s="8"/>
      <c r="AI1511" s="8"/>
      <c r="AJ1511" s="8"/>
      <c r="AK1511" s="8"/>
    </row>
    <row r="1512" spans="1:37" s="16" customFormat="1" ht="22.5" customHeight="1" outlineLevel="1" x14ac:dyDescent="0.2">
      <c r="A1512" s="62" t="s">
        <v>1891</v>
      </c>
      <c r="B1512" s="80" t="s">
        <v>113</v>
      </c>
      <c r="C1512" s="9" t="s">
        <v>47</v>
      </c>
      <c r="D1512" s="25">
        <f t="shared" si="358"/>
        <v>1</v>
      </c>
      <c r="E1512" s="54"/>
      <c r="F1512" s="9"/>
      <c r="G1512" s="9">
        <v>1</v>
      </c>
      <c r="H1512" s="9">
        <v>0</v>
      </c>
      <c r="I1512" s="9">
        <v>0</v>
      </c>
      <c r="J1512" s="9">
        <v>0</v>
      </c>
      <c r="K1512" s="9">
        <v>0</v>
      </c>
      <c r="L1512" s="9">
        <v>0</v>
      </c>
      <c r="M1512" s="9">
        <v>0</v>
      </c>
      <c r="N1512" s="9">
        <v>0</v>
      </c>
      <c r="O1512" s="9">
        <v>0</v>
      </c>
      <c r="P1512" s="9">
        <v>0</v>
      </c>
      <c r="Q1512" s="9">
        <v>0</v>
      </c>
      <c r="R1512" s="9">
        <v>0</v>
      </c>
      <c r="S1512" s="9">
        <v>0</v>
      </c>
      <c r="T1512" s="9">
        <v>0</v>
      </c>
      <c r="U1512" s="9">
        <v>0</v>
      </c>
      <c r="V1512" s="9">
        <v>0</v>
      </c>
      <c r="W1512" s="9">
        <v>0</v>
      </c>
      <c r="X1512" s="9">
        <v>0</v>
      </c>
      <c r="Y1512" s="9">
        <v>0</v>
      </c>
      <c r="Z1512" s="9">
        <v>0</v>
      </c>
      <c r="AA1512" s="9">
        <v>0</v>
      </c>
      <c r="AB1512" s="9">
        <v>0</v>
      </c>
      <c r="AC1512" s="9">
        <v>0</v>
      </c>
      <c r="AD1512" s="53" t="e">
        <f>#REF!*D1512</f>
        <v>#REF!</v>
      </c>
      <c r="AE1512" s="53" t="e">
        <f>AD1512-#REF!</f>
        <v>#REF!</v>
      </c>
      <c r="AF1512" s="9"/>
      <c r="AG1512" s="33" t="e">
        <f>#REF!-D1512</f>
        <v>#REF!</v>
      </c>
    </row>
    <row r="1513" spans="1:37" s="12" customFormat="1" ht="12" customHeight="1" outlineLevel="1" x14ac:dyDescent="0.2">
      <c r="A1513" s="62" t="s">
        <v>1892</v>
      </c>
      <c r="B1513" s="11" t="s">
        <v>103</v>
      </c>
      <c r="C1513" s="9" t="s">
        <v>0</v>
      </c>
      <c r="D1513" s="25">
        <f t="shared" si="358"/>
        <v>552</v>
      </c>
      <c r="E1513" s="54"/>
      <c r="F1513" s="9"/>
      <c r="G1513" s="49">
        <f t="shared" ref="G1513:AC1513" si="365">MROUND(SUM(G1425:G1477)*5/90,1)</f>
        <v>1</v>
      </c>
      <c r="H1513" s="49">
        <f t="shared" si="365"/>
        <v>47</v>
      </c>
      <c r="I1513" s="49">
        <f t="shared" si="365"/>
        <v>35</v>
      </c>
      <c r="J1513" s="49">
        <f t="shared" si="365"/>
        <v>48</v>
      </c>
      <c r="K1513" s="49">
        <f t="shared" si="365"/>
        <v>30</v>
      </c>
      <c r="L1513" s="49">
        <f t="shared" si="365"/>
        <v>43</v>
      </c>
      <c r="M1513" s="49">
        <f t="shared" si="365"/>
        <v>41</v>
      </c>
      <c r="N1513" s="49">
        <f t="shared" si="365"/>
        <v>41</v>
      </c>
      <c r="O1513" s="49">
        <f t="shared" si="365"/>
        <v>45</v>
      </c>
      <c r="P1513" s="49">
        <f t="shared" si="365"/>
        <v>44</v>
      </c>
      <c r="Q1513" s="49">
        <f t="shared" si="365"/>
        <v>19</v>
      </c>
      <c r="R1513" s="49">
        <f t="shared" si="365"/>
        <v>0</v>
      </c>
      <c r="S1513" s="49">
        <f t="shared" si="365"/>
        <v>0</v>
      </c>
      <c r="T1513" s="49">
        <f t="shared" si="365"/>
        <v>9</v>
      </c>
      <c r="U1513" s="49">
        <f t="shared" si="365"/>
        <v>19</v>
      </c>
      <c r="V1513" s="49">
        <f t="shared" si="365"/>
        <v>10</v>
      </c>
      <c r="W1513" s="49">
        <f t="shared" si="365"/>
        <v>17</v>
      </c>
      <c r="X1513" s="49">
        <f t="shared" si="365"/>
        <v>29</v>
      </c>
      <c r="Y1513" s="49">
        <f t="shared" si="365"/>
        <v>21</v>
      </c>
      <c r="Z1513" s="49">
        <f t="shared" si="365"/>
        <v>29</v>
      </c>
      <c r="AA1513" s="49">
        <f t="shared" si="365"/>
        <v>21</v>
      </c>
      <c r="AB1513" s="49">
        <f t="shared" si="365"/>
        <v>3</v>
      </c>
      <c r="AC1513" s="49">
        <f t="shared" si="365"/>
        <v>0</v>
      </c>
      <c r="AD1513" s="53" t="e">
        <f>#REF!*D1513</f>
        <v>#REF!</v>
      </c>
      <c r="AE1513" s="53" t="e">
        <f>AD1513-#REF!</f>
        <v>#REF!</v>
      </c>
      <c r="AF1513" s="9"/>
      <c r="AG1513" s="33" t="e">
        <f>#REF!-D1513</f>
        <v>#REF!</v>
      </c>
    </row>
    <row r="1514" spans="1:37" s="12" customFormat="1" ht="20.399999999999999" outlineLevel="1" x14ac:dyDescent="0.2">
      <c r="A1514" s="62" t="s">
        <v>1893</v>
      </c>
      <c r="B1514" s="14" t="s">
        <v>106</v>
      </c>
      <c r="C1514" s="8" t="s">
        <v>49</v>
      </c>
      <c r="D1514" s="25">
        <f t="shared" si="358"/>
        <v>41</v>
      </c>
      <c r="E1514" s="54"/>
      <c r="F1514" s="9"/>
      <c r="G1514" s="49">
        <f t="shared" ref="G1514:AC1514" si="366">MROUND(G1513*0.075,1)</f>
        <v>0</v>
      </c>
      <c r="H1514" s="49">
        <f t="shared" si="366"/>
        <v>4</v>
      </c>
      <c r="I1514" s="49">
        <f t="shared" si="366"/>
        <v>3</v>
      </c>
      <c r="J1514" s="49">
        <f t="shared" si="366"/>
        <v>4</v>
      </c>
      <c r="K1514" s="49">
        <f t="shared" si="366"/>
        <v>2</v>
      </c>
      <c r="L1514" s="49">
        <f t="shared" si="366"/>
        <v>3</v>
      </c>
      <c r="M1514" s="49">
        <f t="shared" si="366"/>
        <v>3</v>
      </c>
      <c r="N1514" s="49">
        <f t="shared" si="366"/>
        <v>3</v>
      </c>
      <c r="O1514" s="49">
        <f t="shared" si="366"/>
        <v>3</v>
      </c>
      <c r="P1514" s="49">
        <f t="shared" si="366"/>
        <v>3</v>
      </c>
      <c r="Q1514" s="49">
        <f t="shared" si="366"/>
        <v>1</v>
      </c>
      <c r="R1514" s="49">
        <f t="shared" si="366"/>
        <v>0</v>
      </c>
      <c r="S1514" s="49">
        <f t="shared" si="366"/>
        <v>0</v>
      </c>
      <c r="T1514" s="49">
        <f t="shared" si="366"/>
        <v>1</v>
      </c>
      <c r="U1514" s="49">
        <f t="shared" si="366"/>
        <v>1</v>
      </c>
      <c r="V1514" s="49">
        <f t="shared" si="366"/>
        <v>1</v>
      </c>
      <c r="W1514" s="49">
        <f t="shared" si="366"/>
        <v>1</v>
      </c>
      <c r="X1514" s="49">
        <f t="shared" si="366"/>
        <v>2</v>
      </c>
      <c r="Y1514" s="49">
        <f t="shared" si="366"/>
        <v>2</v>
      </c>
      <c r="Z1514" s="49">
        <f t="shared" si="366"/>
        <v>2</v>
      </c>
      <c r="AA1514" s="49">
        <f t="shared" si="366"/>
        <v>2</v>
      </c>
      <c r="AB1514" s="49">
        <f t="shared" si="366"/>
        <v>0</v>
      </c>
      <c r="AC1514" s="49">
        <f t="shared" si="366"/>
        <v>0</v>
      </c>
      <c r="AD1514" s="53" t="e">
        <f>#REF!*D1514</f>
        <v>#REF!</v>
      </c>
      <c r="AE1514" s="53" t="e">
        <f>AD1514-#REF!</f>
        <v>#REF!</v>
      </c>
      <c r="AF1514" s="8"/>
      <c r="AG1514" s="33" t="e">
        <f>#REF!-D1514</f>
        <v>#REF!</v>
      </c>
    </row>
    <row r="1515" spans="1:37" s="12" customFormat="1" ht="12" customHeight="1" outlineLevel="1" x14ac:dyDescent="0.2">
      <c r="A1515" s="62" t="s">
        <v>1894</v>
      </c>
      <c r="B1515" s="11" t="s">
        <v>108</v>
      </c>
      <c r="C1515" s="8" t="s">
        <v>47</v>
      </c>
      <c r="D1515" s="25">
        <f t="shared" si="358"/>
        <v>946</v>
      </c>
      <c r="E1515" s="54"/>
      <c r="F1515" s="9"/>
      <c r="G1515" s="49">
        <v>0</v>
      </c>
      <c r="H1515" s="49">
        <v>72</v>
      </c>
      <c r="I1515" s="49">
        <v>50</v>
      </c>
      <c r="J1515" s="49">
        <f>39*2</f>
        <v>78</v>
      </c>
      <c r="K1515" s="49">
        <f>22*2</f>
        <v>44</v>
      </c>
      <c r="L1515" s="49">
        <f>34*2</f>
        <v>68</v>
      </c>
      <c r="M1515" s="49">
        <f>23*2</f>
        <v>46</v>
      </c>
      <c r="N1515" s="49">
        <v>46</v>
      </c>
      <c r="O1515" s="49">
        <f>26*2</f>
        <v>52</v>
      </c>
      <c r="P1515" s="49">
        <f>33*2</f>
        <v>66</v>
      </c>
      <c r="Q1515" s="49">
        <v>0</v>
      </c>
      <c r="R1515" s="49">
        <v>0</v>
      </c>
      <c r="S1515" s="49">
        <f>S1513*0.5</f>
        <v>0</v>
      </c>
      <c r="T1515" s="49">
        <v>0</v>
      </c>
      <c r="U1515" s="49">
        <v>72</v>
      </c>
      <c r="V1515" s="49">
        <v>50</v>
      </c>
      <c r="W1515" s="49">
        <f>39*2</f>
        <v>78</v>
      </c>
      <c r="X1515" s="49">
        <f>22*2</f>
        <v>44</v>
      </c>
      <c r="Y1515" s="49">
        <f>34*2</f>
        <v>68</v>
      </c>
      <c r="Z1515" s="49">
        <f>22*2</f>
        <v>44</v>
      </c>
      <c r="AA1515" s="49">
        <f>34*2</f>
        <v>68</v>
      </c>
      <c r="AB1515" s="9">
        <v>0</v>
      </c>
      <c r="AC1515" s="9">
        <v>0</v>
      </c>
      <c r="AD1515" s="53" t="e">
        <f>#REF!*D1515</f>
        <v>#REF!</v>
      </c>
      <c r="AE1515" s="53" t="e">
        <f>AD1515-#REF!</f>
        <v>#REF!</v>
      </c>
      <c r="AF1515" s="8"/>
      <c r="AG1515" s="33" t="e">
        <f>#REF!-D1515</f>
        <v>#REF!</v>
      </c>
    </row>
    <row r="1516" spans="1:37" s="12" customFormat="1" ht="12" customHeight="1" outlineLevel="1" x14ac:dyDescent="0.2">
      <c r="A1516" s="62" t="s">
        <v>1899</v>
      </c>
      <c r="B1516" s="11" t="s">
        <v>107</v>
      </c>
      <c r="C1516" s="8" t="s">
        <v>47</v>
      </c>
      <c r="D1516" s="25">
        <f t="shared" si="358"/>
        <v>473</v>
      </c>
      <c r="E1516" s="54"/>
      <c r="F1516" s="9"/>
      <c r="G1516" s="49">
        <f t="shared" ref="G1516:AC1516" si="367">G1515/2</f>
        <v>0</v>
      </c>
      <c r="H1516" s="49">
        <f t="shared" si="367"/>
        <v>36</v>
      </c>
      <c r="I1516" s="49">
        <f t="shared" si="367"/>
        <v>25</v>
      </c>
      <c r="J1516" s="49">
        <f t="shared" si="367"/>
        <v>39</v>
      </c>
      <c r="K1516" s="49">
        <f t="shared" si="367"/>
        <v>22</v>
      </c>
      <c r="L1516" s="49">
        <f t="shared" si="367"/>
        <v>34</v>
      </c>
      <c r="M1516" s="49">
        <f t="shared" si="367"/>
        <v>23</v>
      </c>
      <c r="N1516" s="49">
        <f t="shared" si="367"/>
        <v>23</v>
      </c>
      <c r="O1516" s="49">
        <f t="shared" si="367"/>
        <v>26</v>
      </c>
      <c r="P1516" s="49">
        <f t="shared" si="367"/>
        <v>33</v>
      </c>
      <c r="Q1516" s="49">
        <f t="shared" si="367"/>
        <v>0</v>
      </c>
      <c r="R1516" s="49">
        <f t="shared" si="367"/>
        <v>0</v>
      </c>
      <c r="S1516" s="49">
        <f t="shared" si="367"/>
        <v>0</v>
      </c>
      <c r="T1516" s="49">
        <f t="shared" si="367"/>
        <v>0</v>
      </c>
      <c r="U1516" s="49">
        <f t="shared" si="367"/>
        <v>36</v>
      </c>
      <c r="V1516" s="49">
        <f t="shared" si="367"/>
        <v>25</v>
      </c>
      <c r="W1516" s="49">
        <f t="shared" si="367"/>
        <v>39</v>
      </c>
      <c r="X1516" s="49">
        <f t="shared" si="367"/>
        <v>22</v>
      </c>
      <c r="Y1516" s="49">
        <f t="shared" si="367"/>
        <v>34</v>
      </c>
      <c r="Z1516" s="49">
        <f t="shared" si="367"/>
        <v>22</v>
      </c>
      <c r="AA1516" s="49">
        <f t="shared" si="367"/>
        <v>34</v>
      </c>
      <c r="AB1516" s="49">
        <f t="shared" si="367"/>
        <v>0</v>
      </c>
      <c r="AC1516" s="49">
        <f t="shared" si="367"/>
        <v>0</v>
      </c>
      <c r="AD1516" s="53" t="e">
        <f>#REF!*D1516</f>
        <v>#REF!</v>
      </c>
      <c r="AE1516" s="53" t="e">
        <f>AD1516-#REF!</f>
        <v>#REF!</v>
      </c>
      <c r="AF1516" s="8"/>
      <c r="AG1516" s="33" t="e">
        <f>#REF!-D1516</f>
        <v>#REF!</v>
      </c>
    </row>
    <row r="1517" spans="1:37" s="12" customFormat="1" ht="12" customHeight="1" outlineLevel="1" x14ac:dyDescent="0.2">
      <c r="A1517" s="62" t="s">
        <v>1900</v>
      </c>
      <c r="B1517" s="11" t="s">
        <v>109</v>
      </c>
      <c r="C1517" s="8" t="s">
        <v>47</v>
      </c>
      <c r="D1517" s="25">
        <f t="shared" si="358"/>
        <v>240</v>
      </c>
      <c r="E1517" s="54"/>
      <c r="F1517" s="9"/>
      <c r="G1517" s="49">
        <f t="shared" ref="G1517:AC1517" si="368">MROUND(G1515/4,1)</f>
        <v>0</v>
      </c>
      <c r="H1517" s="49">
        <f t="shared" si="368"/>
        <v>18</v>
      </c>
      <c r="I1517" s="49">
        <f t="shared" si="368"/>
        <v>13</v>
      </c>
      <c r="J1517" s="49">
        <f t="shared" si="368"/>
        <v>20</v>
      </c>
      <c r="K1517" s="49">
        <f t="shared" si="368"/>
        <v>11</v>
      </c>
      <c r="L1517" s="49">
        <f t="shared" si="368"/>
        <v>17</v>
      </c>
      <c r="M1517" s="49">
        <f t="shared" si="368"/>
        <v>12</v>
      </c>
      <c r="N1517" s="49">
        <f t="shared" si="368"/>
        <v>12</v>
      </c>
      <c r="O1517" s="49">
        <f t="shared" si="368"/>
        <v>13</v>
      </c>
      <c r="P1517" s="49">
        <f t="shared" si="368"/>
        <v>17</v>
      </c>
      <c r="Q1517" s="49">
        <f t="shared" si="368"/>
        <v>0</v>
      </c>
      <c r="R1517" s="49">
        <f t="shared" si="368"/>
        <v>0</v>
      </c>
      <c r="S1517" s="49">
        <f t="shared" si="368"/>
        <v>0</v>
      </c>
      <c r="T1517" s="49">
        <f t="shared" si="368"/>
        <v>0</v>
      </c>
      <c r="U1517" s="49">
        <f t="shared" si="368"/>
        <v>18</v>
      </c>
      <c r="V1517" s="49">
        <f t="shared" si="368"/>
        <v>13</v>
      </c>
      <c r="W1517" s="49">
        <f t="shared" si="368"/>
        <v>20</v>
      </c>
      <c r="X1517" s="49">
        <f t="shared" si="368"/>
        <v>11</v>
      </c>
      <c r="Y1517" s="49">
        <f t="shared" si="368"/>
        <v>17</v>
      </c>
      <c r="Z1517" s="49">
        <f t="shared" si="368"/>
        <v>11</v>
      </c>
      <c r="AA1517" s="49">
        <f t="shared" si="368"/>
        <v>17</v>
      </c>
      <c r="AB1517" s="49">
        <f t="shared" si="368"/>
        <v>0</v>
      </c>
      <c r="AC1517" s="49">
        <f t="shared" si="368"/>
        <v>0</v>
      </c>
      <c r="AD1517" s="53" t="e">
        <f>#REF!*D1517</f>
        <v>#REF!</v>
      </c>
      <c r="AE1517" s="53" t="e">
        <f>AD1517-#REF!</f>
        <v>#REF!</v>
      </c>
      <c r="AF1517" s="8"/>
      <c r="AG1517" s="33" t="e">
        <f>#REF!-D1517</f>
        <v>#REF!</v>
      </c>
    </row>
    <row r="1518" spans="1:37" s="12" customFormat="1" ht="20.399999999999999" outlineLevel="1" x14ac:dyDescent="0.2">
      <c r="A1518" s="62" t="s">
        <v>1901</v>
      </c>
      <c r="B1518" s="14" t="s">
        <v>69</v>
      </c>
      <c r="C1518" s="9" t="s">
        <v>47</v>
      </c>
      <c r="D1518" s="25">
        <f t="shared" si="358"/>
        <v>2650</v>
      </c>
      <c r="E1518" s="54"/>
      <c r="F1518" s="9"/>
      <c r="G1518" s="9">
        <v>0</v>
      </c>
      <c r="H1518" s="9">
        <v>0</v>
      </c>
      <c r="I1518" s="9">
        <f>195-45</f>
        <v>150</v>
      </c>
      <c r="J1518" s="9">
        <f>400-120</f>
        <v>280</v>
      </c>
      <c r="K1518" s="9">
        <v>135</v>
      </c>
      <c r="L1518" s="9">
        <f>385-135</f>
        <v>250</v>
      </c>
      <c r="M1518" s="9">
        <f>200+50</f>
        <v>250</v>
      </c>
      <c r="N1518" s="9">
        <f>200+50</f>
        <v>250</v>
      </c>
      <c r="O1518" s="9">
        <f>215+55</f>
        <v>270</v>
      </c>
      <c r="P1518" s="9">
        <f>210+60</f>
        <v>270</v>
      </c>
      <c r="Q1518" s="9">
        <v>90</v>
      </c>
      <c r="R1518" s="9">
        <v>0</v>
      </c>
      <c r="S1518" s="9">
        <v>0</v>
      </c>
      <c r="T1518" s="9">
        <v>0</v>
      </c>
      <c r="U1518" s="9">
        <v>0</v>
      </c>
      <c r="V1518" s="9">
        <v>45</v>
      </c>
      <c r="W1518" s="9">
        <v>120</v>
      </c>
      <c r="X1518" s="9">
        <v>135</v>
      </c>
      <c r="Y1518" s="9">
        <v>135</v>
      </c>
      <c r="Z1518" s="9">
        <v>135</v>
      </c>
      <c r="AA1518" s="9">
        <v>135</v>
      </c>
      <c r="AB1518" s="9">
        <v>0</v>
      </c>
      <c r="AC1518" s="9">
        <v>0</v>
      </c>
      <c r="AD1518" s="53" t="e">
        <f>#REF!*D1518</f>
        <v>#REF!</v>
      </c>
      <c r="AE1518" s="53" t="e">
        <f>AD1518-#REF!</f>
        <v>#REF!</v>
      </c>
      <c r="AF1518" s="9"/>
      <c r="AG1518" s="33" t="e">
        <f>#REF!-D1518</f>
        <v>#REF!</v>
      </c>
    </row>
    <row r="1519" spans="1:37" s="12" customFormat="1" ht="20.399999999999999" outlineLevel="1" x14ac:dyDescent="0.2">
      <c r="A1519" s="62" t="s">
        <v>1902</v>
      </c>
      <c r="B1519" s="14" t="s">
        <v>110</v>
      </c>
      <c r="C1519" s="9" t="s">
        <v>48</v>
      </c>
      <c r="D1519" s="25">
        <f t="shared" si="358"/>
        <v>666</v>
      </c>
      <c r="E1519" s="54"/>
      <c r="F1519" s="9"/>
      <c r="G1519" s="49">
        <f t="shared" ref="G1519:AC1519" si="369">MROUND(G1518*0.25,3)</f>
        <v>0</v>
      </c>
      <c r="H1519" s="49">
        <f t="shared" si="369"/>
        <v>0</v>
      </c>
      <c r="I1519" s="49">
        <f t="shared" si="369"/>
        <v>39</v>
      </c>
      <c r="J1519" s="49">
        <f t="shared" si="369"/>
        <v>69</v>
      </c>
      <c r="K1519" s="49">
        <f t="shared" si="369"/>
        <v>33</v>
      </c>
      <c r="L1519" s="49">
        <f t="shared" si="369"/>
        <v>63</v>
      </c>
      <c r="M1519" s="49">
        <f t="shared" si="369"/>
        <v>63</v>
      </c>
      <c r="N1519" s="49">
        <f t="shared" si="369"/>
        <v>63</v>
      </c>
      <c r="O1519" s="49">
        <f t="shared" si="369"/>
        <v>69</v>
      </c>
      <c r="P1519" s="49">
        <f t="shared" si="369"/>
        <v>69</v>
      </c>
      <c r="Q1519" s="49">
        <f t="shared" si="369"/>
        <v>24</v>
      </c>
      <c r="R1519" s="49">
        <f t="shared" si="369"/>
        <v>0</v>
      </c>
      <c r="S1519" s="49">
        <f t="shared" si="369"/>
        <v>0</v>
      </c>
      <c r="T1519" s="49">
        <f t="shared" si="369"/>
        <v>0</v>
      </c>
      <c r="U1519" s="49">
        <f t="shared" si="369"/>
        <v>0</v>
      </c>
      <c r="V1519" s="49">
        <f t="shared" si="369"/>
        <v>12</v>
      </c>
      <c r="W1519" s="49">
        <f t="shared" si="369"/>
        <v>30</v>
      </c>
      <c r="X1519" s="49">
        <f t="shared" si="369"/>
        <v>33</v>
      </c>
      <c r="Y1519" s="49">
        <f t="shared" si="369"/>
        <v>33</v>
      </c>
      <c r="Z1519" s="49">
        <f t="shared" si="369"/>
        <v>33</v>
      </c>
      <c r="AA1519" s="49">
        <f t="shared" si="369"/>
        <v>33</v>
      </c>
      <c r="AB1519" s="49">
        <f t="shared" si="369"/>
        <v>0</v>
      </c>
      <c r="AC1519" s="49">
        <f t="shared" si="369"/>
        <v>0</v>
      </c>
      <c r="AD1519" s="53" t="e">
        <f>#REF!*D1519</f>
        <v>#REF!</v>
      </c>
      <c r="AE1519" s="53" t="e">
        <f>AD1519-#REF!</f>
        <v>#REF!</v>
      </c>
      <c r="AF1519" s="9"/>
      <c r="AG1519" s="33" t="e">
        <f>#REF!-D1519</f>
        <v>#REF!</v>
      </c>
    </row>
    <row r="1520" spans="1:37" s="12" customFormat="1" ht="20.399999999999999" outlineLevel="1" x14ac:dyDescent="0.2">
      <c r="A1520" s="62" t="s">
        <v>1903</v>
      </c>
      <c r="B1520" s="14" t="s">
        <v>112</v>
      </c>
      <c r="C1520" s="9" t="s">
        <v>47</v>
      </c>
      <c r="D1520" s="25">
        <f t="shared" si="358"/>
        <v>5300</v>
      </c>
      <c r="E1520" s="54"/>
      <c r="F1520" s="9"/>
      <c r="G1520" s="49">
        <f t="shared" ref="G1520:AC1520" si="370">G1518*2</f>
        <v>0</v>
      </c>
      <c r="H1520" s="49">
        <f t="shared" si="370"/>
        <v>0</v>
      </c>
      <c r="I1520" s="49">
        <f t="shared" si="370"/>
        <v>300</v>
      </c>
      <c r="J1520" s="49">
        <f t="shared" si="370"/>
        <v>560</v>
      </c>
      <c r="K1520" s="49">
        <f t="shared" si="370"/>
        <v>270</v>
      </c>
      <c r="L1520" s="49">
        <f t="shared" si="370"/>
        <v>500</v>
      </c>
      <c r="M1520" s="49">
        <f t="shared" si="370"/>
        <v>500</v>
      </c>
      <c r="N1520" s="49">
        <f t="shared" si="370"/>
        <v>500</v>
      </c>
      <c r="O1520" s="49">
        <f t="shared" si="370"/>
        <v>540</v>
      </c>
      <c r="P1520" s="49">
        <f t="shared" si="370"/>
        <v>540</v>
      </c>
      <c r="Q1520" s="49">
        <f t="shared" si="370"/>
        <v>180</v>
      </c>
      <c r="R1520" s="49">
        <f t="shared" si="370"/>
        <v>0</v>
      </c>
      <c r="S1520" s="49">
        <f t="shared" si="370"/>
        <v>0</v>
      </c>
      <c r="T1520" s="49">
        <f t="shared" si="370"/>
        <v>0</v>
      </c>
      <c r="U1520" s="49">
        <f t="shared" si="370"/>
        <v>0</v>
      </c>
      <c r="V1520" s="49">
        <f t="shared" si="370"/>
        <v>90</v>
      </c>
      <c r="W1520" s="49">
        <f t="shared" si="370"/>
        <v>240</v>
      </c>
      <c r="X1520" s="49">
        <f t="shared" si="370"/>
        <v>270</v>
      </c>
      <c r="Y1520" s="49">
        <f t="shared" si="370"/>
        <v>270</v>
      </c>
      <c r="Z1520" s="49">
        <f t="shared" si="370"/>
        <v>270</v>
      </c>
      <c r="AA1520" s="49">
        <f t="shared" si="370"/>
        <v>270</v>
      </c>
      <c r="AB1520" s="49">
        <f t="shared" si="370"/>
        <v>0</v>
      </c>
      <c r="AC1520" s="49">
        <f t="shared" si="370"/>
        <v>0</v>
      </c>
      <c r="AD1520" s="53" t="e">
        <f>#REF!*D1520</f>
        <v>#REF!</v>
      </c>
      <c r="AE1520" s="53" t="e">
        <f>AD1520-#REF!</f>
        <v>#REF!</v>
      </c>
      <c r="AF1520" s="9"/>
      <c r="AG1520" s="33" t="e">
        <f>#REF!-D1520</f>
        <v>#REF!</v>
      </c>
    </row>
    <row r="1521" spans="1:37" s="12" customFormat="1" ht="20.399999999999999" outlineLevel="1" x14ac:dyDescent="0.2">
      <c r="A1521" s="62" t="s">
        <v>1980</v>
      </c>
      <c r="B1521" s="14" t="s">
        <v>1032</v>
      </c>
      <c r="C1521" s="9" t="s">
        <v>47</v>
      </c>
      <c r="D1521" s="25">
        <f t="shared" si="358"/>
        <v>2650</v>
      </c>
      <c r="E1521" s="54"/>
      <c r="F1521" s="9"/>
      <c r="G1521" s="49">
        <f t="shared" ref="G1521:AC1521" si="371">G1518</f>
        <v>0</v>
      </c>
      <c r="H1521" s="49">
        <f t="shared" si="371"/>
        <v>0</v>
      </c>
      <c r="I1521" s="49">
        <f t="shared" si="371"/>
        <v>150</v>
      </c>
      <c r="J1521" s="49">
        <f t="shared" si="371"/>
        <v>280</v>
      </c>
      <c r="K1521" s="49">
        <f t="shared" si="371"/>
        <v>135</v>
      </c>
      <c r="L1521" s="49">
        <f t="shared" si="371"/>
        <v>250</v>
      </c>
      <c r="M1521" s="49">
        <f t="shared" si="371"/>
        <v>250</v>
      </c>
      <c r="N1521" s="49">
        <f t="shared" si="371"/>
        <v>250</v>
      </c>
      <c r="O1521" s="49">
        <f t="shared" si="371"/>
        <v>270</v>
      </c>
      <c r="P1521" s="49">
        <f t="shared" si="371"/>
        <v>270</v>
      </c>
      <c r="Q1521" s="49">
        <f t="shared" si="371"/>
        <v>90</v>
      </c>
      <c r="R1521" s="49">
        <f t="shared" si="371"/>
        <v>0</v>
      </c>
      <c r="S1521" s="49">
        <f t="shared" si="371"/>
        <v>0</v>
      </c>
      <c r="T1521" s="49">
        <f t="shared" si="371"/>
        <v>0</v>
      </c>
      <c r="U1521" s="49">
        <f t="shared" si="371"/>
        <v>0</v>
      </c>
      <c r="V1521" s="49">
        <f t="shared" si="371"/>
        <v>45</v>
      </c>
      <c r="W1521" s="49">
        <f t="shared" si="371"/>
        <v>120</v>
      </c>
      <c r="X1521" s="49">
        <f t="shared" si="371"/>
        <v>135</v>
      </c>
      <c r="Y1521" s="49">
        <f t="shared" si="371"/>
        <v>135</v>
      </c>
      <c r="Z1521" s="49">
        <f t="shared" si="371"/>
        <v>135</v>
      </c>
      <c r="AA1521" s="49">
        <f t="shared" si="371"/>
        <v>135</v>
      </c>
      <c r="AB1521" s="49">
        <f t="shared" si="371"/>
        <v>0</v>
      </c>
      <c r="AC1521" s="49">
        <f t="shared" si="371"/>
        <v>0</v>
      </c>
      <c r="AD1521" s="53" t="e">
        <f>#REF!*D1521</f>
        <v>#REF!</v>
      </c>
      <c r="AE1521" s="53" t="e">
        <f>AD1521-#REF!</f>
        <v>#REF!</v>
      </c>
      <c r="AF1521" s="9"/>
      <c r="AG1521" s="33" t="e">
        <f>#REF!-D1521</f>
        <v>#REF!</v>
      </c>
    </row>
    <row r="1522" spans="1:37" s="12" customFormat="1" ht="12" customHeight="1" outlineLevel="1" x14ac:dyDescent="0.2">
      <c r="A1522" s="8"/>
      <c r="B1522" s="11"/>
      <c r="C1522" s="8"/>
      <c r="D1522" s="25"/>
      <c r="E1522" s="54"/>
      <c r="F1522" s="9"/>
      <c r="G1522" s="9"/>
      <c r="H1522" s="9"/>
      <c r="I1522" s="9"/>
      <c r="J1522" s="9"/>
      <c r="K1522" s="9"/>
      <c r="L1522" s="9"/>
      <c r="M1522" s="9"/>
      <c r="N1522" s="9"/>
      <c r="O1522" s="9"/>
      <c r="P1522" s="9"/>
      <c r="Q1522" s="9"/>
      <c r="R1522" s="9"/>
      <c r="S1522" s="9"/>
      <c r="T1522" s="9"/>
      <c r="U1522" s="9"/>
      <c r="V1522" s="9"/>
      <c r="W1522" s="9"/>
      <c r="X1522" s="9"/>
      <c r="Y1522" s="9"/>
      <c r="Z1522" s="9"/>
      <c r="AA1522" s="9"/>
      <c r="AB1522" s="9"/>
      <c r="AC1522" s="9"/>
      <c r="AD1522" s="53" t="e">
        <f>#REF!*D1522</f>
        <v>#REF!</v>
      </c>
      <c r="AE1522" s="53" t="e">
        <f>AD1522-#REF!</f>
        <v>#REF!</v>
      </c>
      <c r="AF1522" s="8"/>
      <c r="AG1522" s="33" t="e">
        <f>#REF!-D1522</f>
        <v>#REF!</v>
      </c>
    </row>
    <row r="1523" spans="1:37" x14ac:dyDescent="0.25">
      <c r="A1523" s="18" t="s">
        <v>509</v>
      </c>
      <c r="B1523" s="35" t="s">
        <v>1635</v>
      </c>
      <c r="C1523" s="18" t="s">
        <v>41</v>
      </c>
      <c r="D1523" s="52" t="e">
        <f>#REF!/#REF!*100</f>
        <v>#REF!</v>
      </c>
      <c r="E1523" s="54"/>
      <c r="G1523" s="9"/>
      <c r="H1523" s="81"/>
      <c r="I1523" s="81"/>
      <c r="J1523" s="76"/>
      <c r="K1523" s="76"/>
      <c r="L1523" s="76"/>
      <c r="M1523" s="9"/>
      <c r="N1523" s="81"/>
      <c r="O1523" s="76"/>
      <c r="P1523" s="76"/>
      <c r="Q1523" s="76"/>
      <c r="R1523" s="9"/>
      <c r="S1523" s="9"/>
      <c r="T1523" s="9"/>
      <c r="U1523" s="81"/>
      <c r="V1523" s="81"/>
      <c r="W1523" s="76"/>
      <c r="X1523" s="76"/>
      <c r="Y1523" s="76"/>
      <c r="Z1523" s="9"/>
      <c r="AA1523" s="81"/>
      <c r="AB1523" s="9"/>
      <c r="AC1523" s="9"/>
      <c r="AD1523" s="53" t="e">
        <f>#REF!*D1523</f>
        <v>#REF!</v>
      </c>
      <c r="AE1523" s="53" t="e">
        <f>AD1523-#REF!</f>
        <v>#REF!</v>
      </c>
      <c r="AG1523" s="33" t="e">
        <f>#REF!-D1523</f>
        <v>#REF!</v>
      </c>
      <c r="AH1523" s="2"/>
      <c r="AI1523" s="2"/>
      <c r="AJ1523" s="2"/>
      <c r="AK1523" s="2"/>
    </row>
    <row r="1524" spans="1:37" s="12" customFormat="1" ht="20.399999999999999" outlineLevel="1" x14ac:dyDescent="0.2">
      <c r="A1524" s="62" t="s">
        <v>1719</v>
      </c>
      <c r="B1524" s="47" t="s">
        <v>78</v>
      </c>
      <c r="C1524" s="8" t="s">
        <v>48</v>
      </c>
      <c r="D1524" s="25">
        <f>SUM(G1524:AC1524)*6</f>
        <v>663</v>
      </c>
      <c r="E1524" s="54"/>
      <c r="F1524" s="78"/>
      <c r="G1524" s="9">
        <v>0</v>
      </c>
      <c r="H1524" s="9">
        <v>9</v>
      </c>
      <c r="I1524" s="9">
        <v>14</v>
      </c>
      <c r="J1524" s="9">
        <v>13</v>
      </c>
      <c r="K1524" s="9">
        <v>1.5</v>
      </c>
      <c r="L1524" s="9">
        <v>8</v>
      </c>
      <c r="M1524" s="9">
        <v>7</v>
      </c>
      <c r="N1524" s="9">
        <v>7</v>
      </c>
      <c r="O1524" s="9">
        <v>7</v>
      </c>
      <c r="P1524" s="9">
        <v>11</v>
      </c>
      <c r="Q1524" s="9">
        <v>7</v>
      </c>
      <c r="R1524" s="9">
        <v>0</v>
      </c>
      <c r="S1524" s="9">
        <v>0</v>
      </c>
      <c r="T1524" s="9">
        <v>0</v>
      </c>
      <c r="U1524" s="9">
        <v>4</v>
      </c>
      <c r="V1524" s="9">
        <v>4</v>
      </c>
      <c r="W1524" s="9">
        <v>5</v>
      </c>
      <c r="X1524" s="9">
        <v>1.5</v>
      </c>
      <c r="Y1524" s="9">
        <v>4</v>
      </c>
      <c r="Z1524" s="9">
        <v>5</v>
      </c>
      <c r="AA1524" s="9">
        <v>1.5</v>
      </c>
      <c r="AB1524" s="9">
        <v>1</v>
      </c>
      <c r="AC1524" s="9">
        <v>0</v>
      </c>
      <c r="AD1524" s="53" t="e">
        <f>#REF!*D1524</f>
        <v>#REF!</v>
      </c>
      <c r="AE1524" s="53" t="e">
        <f>AD1524-#REF!</f>
        <v>#REF!</v>
      </c>
      <c r="AF1524" s="8"/>
      <c r="AG1524" s="33" t="e">
        <f>#REF!-D1524</f>
        <v>#REF!</v>
      </c>
    </row>
    <row r="1525" spans="1:37" s="12" customFormat="1" ht="20.399999999999999" outlineLevel="1" x14ac:dyDescent="0.2">
      <c r="A1525" s="62" t="s">
        <v>1720</v>
      </c>
      <c r="B1525" s="47" t="s">
        <v>79</v>
      </c>
      <c r="C1525" s="8" t="s">
        <v>48</v>
      </c>
      <c r="D1525" s="25">
        <f>SUM(G1525:AC1525)*6</f>
        <v>942</v>
      </c>
      <c r="E1525" s="54"/>
      <c r="F1525" s="78"/>
      <c r="G1525" s="9">
        <v>0</v>
      </c>
      <c r="H1525" s="9">
        <f>25-7</f>
        <v>18</v>
      </c>
      <c r="I1525" s="9">
        <v>12</v>
      </c>
      <c r="J1525" s="9">
        <v>12</v>
      </c>
      <c r="K1525" s="9">
        <v>6</v>
      </c>
      <c r="L1525" s="9">
        <v>14</v>
      </c>
      <c r="M1525" s="9">
        <v>12</v>
      </c>
      <c r="N1525" s="9">
        <v>12</v>
      </c>
      <c r="O1525" s="9">
        <v>13</v>
      </c>
      <c r="P1525" s="9">
        <v>11</v>
      </c>
      <c r="Q1525" s="9">
        <v>7</v>
      </c>
      <c r="R1525" s="9">
        <v>0</v>
      </c>
      <c r="S1525" s="9">
        <v>0</v>
      </c>
      <c r="T1525" s="9">
        <v>0</v>
      </c>
      <c r="U1525" s="9">
        <v>7</v>
      </c>
      <c r="V1525" s="9">
        <v>3</v>
      </c>
      <c r="W1525" s="9">
        <v>5</v>
      </c>
      <c r="X1525" s="9">
        <v>6</v>
      </c>
      <c r="Y1525" s="9">
        <v>7</v>
      </c>
      <c r="Z1525" s="9">
        <v>5</v>
      </c>
      <c r="AA1525" s="9">
        <v>6</v>
      </c>
      <c r="AB1525" s="9">
        <v>1</v>
      </c>
      <c r="AC1525" s="9">
        <v>0</v>
      </c>
      <c r="AD1525" s="53" t="e">
        <f>#REF!*D1525</f>
        <v>#REF!</v>
      </c>
      <c r="AE1525" s="53" t="e">
        <f>AD1525-#REF!</f>
        <v>#REF!</v>
      </c>
      <c r="AF1525" s="8"/>
      <c r="AG1525" s="33" t="e">
        <f>#REF!-D1525</f>
        <v>#REF!</v>
      </c>
    </row>
    <row r="1526" spans="1:37" s="12" customFormat="1" ht="20.399999999999999" outlineLevel="1" x14ac:dyDescent="0.2">
      <c r="A1526" s="62" t="s">
        <v>1721</v>
      </c>
      <c r="B1526" s="47" t="s">
        <v>80</v>
      </c>
      <c r="C1526" s="8" t="s">
        <v>48</v>
      </c>
      <c r="D1526" s="25">
        <f>SUM(G1526:AC1526)*6</f>
        <v>132</v>
      </c>
      <c r="E1526" s="54"/>
      <c r="F1526" s="78"/>
      <c r="G1526" s="9">
        <v>0</v>
      </c>
      <c r="H1526" s="9">
        <v>1</v>
      </c>
      <c r="I1526" s="9">
        <v>1</v>
      </c>
      <c r="J1526" s="9">
        <v>1</v>
      </c>
      <c r="K1526" s="9">
        <v>1</v>
      </c>
      <c r="L1526" s="9">
        <v>1</v>
      </c>
      <c r="M1526" s="9">
        <v>2</v>
      </c>
      <c r="N1526" s="9">
        <v>2</v>
      </c>
      <c r="O1526" s="9">
        <v>2</v>
      </c>
      <c r="P1526" s="9">
        <v>2</v>
      </c>
      <c r="Q1526" s="9">
        <v>2</v>
      </c>
      <c r="R1526" s="9">
        <v>0</v>
      </c>
      <c r="S1526" s="9">
        <v>0</v>
      </c>
      <c r="T1526" s="9">
        <v>0</v>
      </c>
      <c r="U1526" s="9">
        <v>1</v>
      </c>
      <c r="V1526" s="9">
        <v>0</v>
      </c>
      <c r="W1526" s="9">
        <v>1</v>
      </c>
      <c r="X1526" s="9">
        <v>1</v>
      </c>
      <c r="Y1526" s="9">
        <v>1</v>
      </c>
      <c r="Z1526" s="9">
        <v>1</v>
      </c>
      <c r="AA1526" s="9">
        <v>1</v>
      </c>
      <c r="AB1526" s="9">
        <v>1</v>
      </c>
      <c r="AC1526" s="9">
        <v>0</v>
      </c>
      <c r="AD1526" s="53" t="e">
        <f>#REF!*D1526</f>
        <v>#REF!</v>
      </c>
      <c r="AE1526" s="53" t="e">
        <f>AD1526-#REF!</f>
        <v>#REF!</v>
      </c>
      <c r="AF1526" s="8"/>
      <c r="AG1526" s="33" t="e">
        <f>#REF!-D1526</f>
        <v>#REF!</v>
      </c>
    </row>
    <row r="1527" spans="1:37" s="12" customFormat="1" ht="12" customHeight="1" outlineLevel="1" x14ac:dyDescent="0.2">
      <c r="A1527" s="62" t="s">
        <v>1722</v>
      </c>
      <c r="B1527" s="11" t="s">
        <v>119</v>
      </c>
      <c r="C1527" s="8" t="s">
        <v>47</v>
      </c>
      <c r="D1527" s="25">
        <f t="shared" ref="D1527:D1550" si="372">SUM(G1527:AC1527)</f>
        <v>525.5</v>
      </c>
      <c r="E1527" s="54"/>
      <c r="F1527" s="9"/>
      <c r="G1527" s="49">
        <f t="shared" ref="G1527:AC1527" si="373">G1524+G1530+G1533+G1536+G1538</f>
        <v>0</v>
      </c>
      <c r="H1527" s="49">
        <f t="shared" si="373"/>
        <v>37</v>
      </c>
      <c r="I1527" s="49">
        <f t="shared" si="373"/>
        <v>48</v>
      </c>
      <c r="J1527" s="49">
        <f t="shared" si="373"/>
        <v>46</v>
      </c>
      <c r="K1527" s="49">
        <f t="shared" si="373"/>
        <v>15.5</v>
      </c>
      <c r="L1527" s="49">
        <f t="shared" si="373"/>
        <v>41</v>
      </c>
      <c r="M1527" s="49">
        <f t="shared" si="373"/>
        <v>38</v>
      </c>
      <c r="N1527" s="49">
        <f t="shared" si="373"/>
        <v>38</v>
      </c>
      <c r="O1527" s="49">
        <f t="shared" si="373"/>
        <v>55</v>
      </c>
      <c r="P1527" s="49">
        <f t="shared" si="373"/>
        <v>56</v>
      </c>
      <c r="Q1527" s="49">
        <f t="shared" si="373"/>
        <v>31</v>
      </c>
      <c r="R1527" s="49">
        <f t="shared" si="373"/>
        <v>0</v>
      </c>
      <c r="S1527" s="49">
        <f t="shared" si="373"/>
        <v>0</v>
      </c>
      <c r="T1527" s="49">
        <f t="shared" si="373"/>
        <v>0</v>
      </c>
      <c r="U1527" s="49">
        <f t="shared" si="373"/>
        <v>14</v>
      </c>
      <c r="V1527" s="49">
        <f t="shared" si="373"/>
        <v>14</v>
      </c>
      <c r="W1527" s="49">
        <f t="shared" si="373"/>
        <v>20</v>
      </c>
      <c r="X1527" s="49">
        <f t="shared" si="373"/>
        <v>14.5</v>
      </c>
      <c r="Y1527" s="49">
        <f t="shared" si="373"/>
        <v>22</v>
      </c>
      <c r="Z1527" s="49">
        <f t="shared" si="373"/>
        <v>20</v>
      </c>
      <c r="AA1527" s="49">
        <f t="shared" si="373"/>
        <v>14.5</v>
      </c>
      <c r="AB1527" s="49">
        <f t="shared" si="373"/>
        <v>1</v>
      </c>
      <c r="AC1527" s="49">
        <f t="shared" si="373"/>
        <v>0</v>
      </c>
      <c r="AD1527" s="53" t="e">
        <f>#REF!*D1527</f>
        <v>#REF!</v>
      </c>
      <c r="AE1527" s="53" t="e">
        <f>AD1527-#REF!</f>
        <v>#REF!</v>
      </c>
      <c r="AF1527" s="8"/>
      <c r="AG1527" s="33" t="e">
        <f>#REF!-D1527</f>
        <v>#REF!</v>
      </c>
    </row>
    <row r="1528" spans="1:37" s="12" customFormat="1" ht="12" customHeight="1" outlineLevel="1" x14ac:dyDescent="0.2">
      <c r="A1528" s="62" t="s">
        <v>1723</v>
      </c>
      <c r="B1528" s="11" t="s">
        <v>120</v>
      </c>
      <c r="C1528" s="8" t="s">
        <v>47</v>
      </c>
      <c r="D1528" s="25">
        <f t="shared" si="372"/>
        <v>389.5</v>
      </c>
      <c r="E1528" s="54"/>
      <c r="F1528" s="9"/>
      <c r="G1528" s="49">
        <f t="shared" ref="G1528:AC1528" si="374">G1525+G1531+G1534+G1539+G1537+G1541</f>
        <v>0</v>
      </c>
      <c r="H1528" s="49">
        <f t="shared" si="374"/>
        <v>39</v>
      </c>
      <c r="I1528" s="49">
        <f t="shared" si="374"/>
        <v>26</v>
      </c>
      <c r="J1528" s="49">
        <f t="shared" si="374"/>
        <v>36</v>
      </c>
      <c r="K1528" s="49">
        <f t="shared" si="374"/>
        <v>15.5</v>
      </c>
      <c r="L1528" s="49">
        <f t="shared" si="374"/>
        <v>34</v>
      </c>
      <c r="M1528" s="49">
        <f t="shared" si="374"/>
        <v>36</v>
      </c>
      <c r="N1528" s="49">
        <f t="shared" si="374"/>
        <v>36</v>
      </c>
      <c r="O1528" s="49">
        <f t="shared" si="374"/>
        <v>33</v>
      </c>
      <c r="P1528" s="49">
        <f t="shared" si="374"/>
        <v>20</v>
      </c>
      <c r="Q1528" s="49">
        <f t="shared" si="374"/>
        <v>18</v>
      </c>
      <c r="R1528" s="49">
        <f t="shared" si="374"/>
        <v>0</v>
      </c>
      <c r="S1528" s="49">
        <f t="shared" si="374"/>
        <v>0</v>
      </c>
      <c r="T1528" s="49">
        <f t="shared" si="374"/>
        <v>0</v>
      </c>
      <c r="U1528" s="49">
        <f t="shared" si="374"/>
        <v>13</v>
      </c>
      <c r="V1528" s="49">
        <f t="shared" si="374"/>
        <v>6</v>
      </c>
      <c r="W1528" s="49">
        <f t="shared" si="374"/>
        <v>14</v>
      </c>
      <c r="X1528" s="49">
        <f t="shared" si="374"/>
        <v>15.5</v>
      </c>
      <c r="Y1528" s="49">
        <f t="shared" si="374"/>
        <v>17</v>
      </c>
      <c r="Z1528" s="49">
        <f t="shared" si="374"/>
        <v>14</v>
      </c>
      <c r="AA1528" s="49">
        <f t="shared" si="374"/>
        <v>15.5</v>
      </c>
      <c r="AB1528" s="49">
        <f t="shared" si="374"/>
        <v>1</v>
      </c>
      <c r="AC1528" s="49">
        <f t="shared" si="374"/>
        <v>0</v>
      </c>
      <c r="AD1528" s="53" t="e">
        <f>#REF!*D1528</f>
        <v>#REF!</v>
      </c>
      <c r="AE1528" s="53" t="e">
        <f>AD1528-#REF!</f>
        <v>#REF!</v>
      </c>
      <c r="AF1528" s="8"/>
      <c r="AG1528" s="33" t="e">
        <f>#REF!-D1528</f>
        <v>#REF!</v>
      </c>
    </row>
    <row r="1529" spans="1:37" s="12" customFormat="1" ht="12" customHeight="1" outlineLevel="1" x14ac:dyDescent="0.2">
      <c r="A1529" s="62" t="s">
        <v>1724</v>
      </c>
      <c r="B1529" s="11" t="s">
        <v>121</v>
      </c>
      <c r="C1529" s="8" t="s">
        <v>47</v>
      </c>
      <c r="D1529" s="25">
        <f t="shared" si="372"/>
        <v>33</v>
      </c>
      <c r="E1529" s="54"/>
      <c r="F1529" s="9"/>
      <c r="G1529" s="49">
        <f t="shared" ref="G1529:AC1529" si="375">G1526+G1532+G1535</f>
        <v>0</v>
      </c>
      <c r="H1529" s="49">
        <f t="shared" si="375"/>
        <v>2</v>
      </c>
      <c r="I1529" s="49">
        <f t="shared" si="375"/>
        <v>2</v>
      </c>
      <c r="J1529" s="49">
        <f t="shared" si="375"/>
        <v>2</v>
      </c>
      <c r="K1529" s="49">
        <f t="shared" si="375"/>
        <v>3</v>
      </c>
      <c r="L1529" s="49">
        <f t="shared" si="375"/>
        <v>1</v>
      </c>
      <c r="M1529" s="49">
        <f t="shared" si="375"/>
        <v>2</v>
      </c>
      <c r="N1529" s="49">
        <f t="shared" si="375"/>
        <v>2</v>
      </c>
      <c r="O1529" s="49">
        <f t="shared" si="375"/>
        <v>2</v>
      </c>
      <c r="P1529" s="49">
        <f t="shared" si="375"/>
        <v>2</v>
      </c>
      <c r="Q1529" s="49">
        <f t="shared" si="375"/>
        <v>2</v>
      </c>
      <c r="R1529" s="49">
        <f t="shared" si="375"/>
        <v>0</v>
      </c>
      <c r="S1529" s="49">
        <f t="shared" si="375"/>
        <v>0</v>
      </c>
      <c r="T1529" s="49">
        <f t="shared" si="375"/>
        <v>0</v>
      </c>
      <c r="U1529" s="49">
        <f t="shared" si="375"/>
        <v>1</v>
      </c>
      <c r="V1529" s="49">
        <f t="shared" si="375"/>
        <v>0</v>
      </c>
      <c r="W1529" s="49">
        <f t="shared" si="375"/>
        <v>2</v>
      </c>
      <c r="X1529" s="49">
        <f t="shared" si="375"/>
        <v>3</v>
      </c>
      <c r="Y1529" s="49">
        <f t="shared" si="375"/>
        <v>1</v>
      </c>
      <c r="Z1529" s="49">
        <f t="shared" si="375"/>
        <v>2</v>
      </c>
      <c r="AA1529" s="49">
        <f t="shared" si="375"/>
        <v>3</v>
      </c>
      <c r="AB1529" s="49">
        <f t="shared" si="375"/>
        <v>1</v>
      </c>
      <c r="AC1529" s="49">
        <f t="shared" si="375"/>
        <v>0</v>
      </c>
      <c r="AD1529" s="53" t="e">
        <f>#REF!*D1529</f>
        <v>#REF!</v>
      </c>
      <c r="AE1529" s="53" t="e">
        <f>AD1529-#REF!</f>
        <v>#REF!</v>
      </c>
      <c r="AF1529" s="8"/>
      <c r="AG1529" s="33" t="e">
        <f>#REF!-D1529</f>
        <v>#REF!</v>
      </c>
    </row>
    <row r="1530" spans="1:37" s="12" customFormat="1" ht="12" customHeight="1" outlineLevel="1" x14ac:dyDescent="0.2">
      <c r="A1530" s="62" t="s">
        <v>1725</v>
      </c>
      <c r="B1530" s="47" t="s">
        <v>127</v>
      </c>
      <c r="C1530" s="8" t="s">
        <v>47</v>
      </c>
      <c r="D1530" s="25">
        <f t="shared" si="372"/>
        <v>278</v>
      </c>
      <c r="E1530" s="54"/>
      <c r="F1530" s="9"/>
      <c r="G1530" s="9">
        <v>0</v>
      </c>
      <c r="H1530" s="9">
        <f>25-7</f>
        <v>18</v>
      </c>
      <c r="I1530" s="9">
        <f>28-6</f>
        <v>22</v>
      </c>
      <c r="J1530" s="9">
        <v>21</v>
      </c>
      <c r="K1530" s="9">
        <v>8</v>
      </c>
      <c r="L1530" s="9">
        <f>34-12</f>
        <v>22</v>
      </c>
      <c r="M1530" s="9">
        <v>23</v>
      </c>
      <c r="N1530" s="9">
        <v>23</v>
      </c>
      <c r="O1530" s="9">
        <f>15+17+4</f>
        <v>36</v>
      </c>
      <c r="P1530" s="9">
        <v>31</v>
      </c>
      <c r="Q1530" s="9">
        <v>15</v>
      </c>
      <c r="R1530" s="9">
        <v>0</v>
      </c>
      <c r="S1530" s="9">
        <v>0</v>
      </c>
      <c r="T1530" s="9">
        <v>0</v>
      </c>
      <c r="U1530" s="9">
        <v>7</v>
      </c>
      <c r="V1530" s="9">
        <v>6</v>
      </c>
      <c r="W1530" s="9">
        <v>9</v>
      </c>
      <c r="X1530" s="9">
        <v>8</v>
      </c>
      <c r="Y1530" s="9">
        <v>12</v>
      </c>
      <c r="Z1530" s="9">
        <v>9</v>
      </c>
      <c r="AA1530" s="9">
        <v>8</v>
      </c>
      <c r="AB1530" s="9">
        <v>0</v>
      </c>
      <c r="AC1530" s="9">
        <v>0</v>
      </c>
      <c r="AD1530" s="53" t="e">
        <f>#REF!*D1530</f>
        <v>#REF!</v>
      </c>
      <c r="AE1530" s="53" t="e">
        <f>AD1530-#REF!</f>
        <v>#REF!</v>
      </c>
      <c r="AF1530" s="8"/>
      <c r="AG1530" s="33" t="e">
        <f>#REF!-D1530</f>
        <v>#REF!</v>
      </c>
    </row>
    <row r="1531" spans="1:37" s="12" customFormat="1" ht="12" customHeight="1" outlineLevel="1" x14ac:dyDescent="0.2">
      <c r="A1531" s="62" t="s">
        <v>1726</v>
      </c>
      <c r="B1531" s="47" t="s">
        <v>128</v>
      </c>
      <c r="C1531" s="8" t="s">
        <v>47</v>
      </c>
      <c r="D1531" s="25">
        <f t="shared" si="372"/>
        <v>50.5</v>
      </c>
      <c r="E1531" s="54"/>
      <c r="F1531" s="9"/>
      <c r="G1531" s="9">
        <v>0</v>
      </c>
      <c r="H1531" s="9">
        <v>7</v>
      </c>
      <c r="I1531" s="9">
        <v>5</v>
      </c>
      <c r="J1531" s="9">
        <v>7</v>
      </c>
      <c r="K1531" s="9">
        <v>2.5</v>
      </c>
      <c r="L1531" s="9">
        <v>4</v>
      </c>
      <c r="M1531" s="9">
        <v>2</v>
      </c>
      <c r="N1531" s="9">
        <v>2</v>
      </c>
      <c r="O1531" s="9">
        <v>2</v>
      </c>
      <c r="P1531" s="9">
        <v>0</v>
      </c>
      <c r="Q1531" s="9">
        <v>2</v>
      </c>
      <c r="R1531" s="9">
        <v>0</v>
      </c>
      <c r="S1531" s="9">
        <v>0</v>
      </c>
      <c r="T1531" s="9">
        <v>0</v>
      </c>
      <c r="U1531" s="9">
        <v>3</v>
      </c>
      <c r="V1531" s="9">
        <v>1</v>
      </c>
      <c r="W1531" s="9">
        <v>3</v>
      </c>
      <c r="X1531" s="9">
        <v>2.5</v>
      </c>
      <c r="Y1531" s="9">
        <v>2</v>
      </c>
      <c r="Z1531" s="9">
        <v>3</v>
      </c>
      <c r="AA1531" s="9">
        <v>2.5</v>
      </c>
      <c r="AB1531" s="9">
        <v>0</v>
      </c>
      <c r="AC1531" s="9">
        <v>0</v>
      </c>
      <c r="AD1531" s="53" t="e">
        <f>#REF!*D1531</f>
        <v>#REF!</v>
      </c>
      <c r="AE1531" s="53" t="e">
        <f>AD1531-#REF!</f>
        <v>#REF!</v>
      </c>
      <c r="AF1531" s="8"/>
      <c r="AG1531" s="33" t="e">
        <f>#REF!-D1531</f>
        <v>#REF!</v>
      </c>
    </row>
    <row r="1532" spans="1:37" s="12" customFormat="1" ht="12" customHeight="1" outlineLevel="1" x14ac:dyDescent="0.2">
      <c r="A1532" s="62" t="s">
        <v>1727</v>
      </c>
      <c r="B1532" s="47" t="s">
        <v>129</v>
      </c>
      <c r="C1532" s="8" t="s">
        <v>47</v>
      </c>
      <c r="D1532" s="25">
        <f t="shared" si="372"/>
        <v>2</v>
      </c>
      <c r="E1532" s="54"/>
      <c r="F1532" s="9"/>
      <c r="G1532" s="9">
        <v>0</v>
      </c>
      <c r="H1532" s="9">
        <v>1</v>
      </c>
      <c r="I1532" s="9">
        <v>1</v>
      </c>
      <c r="J1532" s="9">
        <v>0</v>
      </c>
      <c r="K1532" s="9">
        <v>0</v>
      </c>
      <c r="L1532" s="9">
        <v>0</v>
      </c>
      <c r="M1532" s="9">
        <v>0</v>
      </c>
      <c r="N1532" s="9">
        <v>0</v>
      </c>
      <c r="O1532" s="9">
        <v>0</v>
      </c>
      <c r="P1532" s="9">
        <v>0</v>
      </c>
      <c r="Q1532" s="9">
        <v>0</v>
      </c>
      <c r="R1532" s="9">
        <v>0</v>
      </c>
      <c r="S1532" s="9">
        <v>0</v>
      </c>
      <c r="T1532" s="9">
        <v>0</v>
      </c>
      <c r="U1532" s="9">
        <v>0</v>
      </c>
      <c r="V1532" s="9">
        <v>0</v>
      </c>
      <c r="W1532" s="9">
        <v>0</v>
      </c>
      <c r="X1532" s="9">
        <v>0</v>
      </c>
      <c r="Y1532" s="9">
        <v>0</v>
      </c>
      <c r="Z1532" s="9">
        <v>0</v>
      </c>
      <c r="AA1532" s="9">
        <v>0</v>
      </c>
      <c r="AB1532" s="9">
        <v>0</v>
      </c>
      <c r="AC1532" s="9">
        <v>0</v>
      </c>
      <c r="AD1532" s="53" t="e">
        <f>#REF!*D1532</f>
        <v>#REF!</v>
      </c>
      <c r="AE1532" s="53" t="e">
        <f>AD1532-#REF!</f>
        <v>#REF!</v>
      </c>
      <c r="AF1532" s="8"/>
      <c r="AG1532" s="33" t="e">
        <f>#REF!-D1532</f>
        <v>#REF!</v>
      </c>
    </row>
    <row r="1533" spans="1:37" s="12" customFormat="1" ht="12" customHeight="1" outlineLevel="1" x14ac:dyDescent="0.2">
      <c r="A1533" s="62" t="s">
        <v>1728</v>
      </c>
      <c r="B1533" s="47" t="s">
        <v>123</v>
      </c>
      <c r="C1533" s="8" t="s">
        <v>47</v>
      </c>
      <c r="D1533" s="25">
        <f t="shared" si="372"/>
        <v>30</v>
      </c>
      <c r="E1533" s="54"/>
      <c r="F1533" s="9"/>
      <c r="G1533" s="9">
        <v>0</v>
      </c>
      <c r="H1533" s="9">
        <v>1</v>
      </c>
      <c r="I1533" s="9">
        <v>3</v>
      </c>
      <c r="J1533" s="9">
        <v>1</v>
      </c>
      <c r="K1533" s="9">
        <v>2</v>
      </c>
      <c r="L1533" s="9">
        <v>5</v>
      </c>
      <c r="M1533" s="9">
        <v>1</v>
      </c>
      <c r="N1533" s="9">
        <v>1</v>
      </c>
      <c r="O1533" s="9">
        <v>3</v>
      </c>
      <c r="P1533" s="9">
        <v>1</v>
      </c>
      <c r="Q1533" s="9">
        <v>2</v>
      </c>
      <c r="R1533" s="9">
        <v>0</v>
      </c>
      <c r="S1533" s="9">
        <v>0</v>
      </c>
      <c r="T1533" s="9">
        <v>0</v>
      </c>
      <c r="U1533" s="9">
        <v>0</v>
      </c>
      <c r="V1533" s="9">
        <v>1</v>
      </c>
      <c r="W1533" s="9">
        <v>1</v>
      </c>
      <c r="X1533" s="9">
        <v>2</v>
      </c>
      <c r="Y1533" s="9">
        <v>3</v>
      </c>
      <c r="Z1533" s="9">
        <v>1</v>
      </c>
      <c r="AA1533" s="9">
        <v>2</v>
      </c>
      <c r="AB1533" s="9">
        <v>0</v>
      </c>
      <c r="AC1533" s="9">
        <v>0</v>
      </c>
      <c r="AD1533" s="53" t="e">
        <f>#REF!*D1533</f>
        <v>#REF!</v>
      </c>
      <c r="AE1533" s="53" t="e">
        <f>AD1533-#REF!</f>
        <v>#REF!</v>
      </c>
      <c r="AF1533" s="8"/>
      <c r="AG1533" s="33" t="e">
        <f>#REF!-D1533</f>
        <v>#REF!</v>
      </c>
    </row>
    <row r="1534" spans="1:37" s="12" customFormat="1" ht="12" customHeight="1" outlineLevel="1" x14ac:dyDescent="0.2">
      <c r="A1534" s="62" t="s">
        <v>1729</v>
      </c>
      <c r="B1534" s="47" t="s">
        <v>124</v>
      </c>
      <c r="C1534" s="8" t="s">
        <v>47</v>
      </c>
      <c r="D1534" s="25">
        <f t="shared" si="372"/>
        <v>21</v>
      </c>
      <c r="E1534" s="54"/>
      <c r="F1534" s="9"/>
      <c r="G1534" s="9">
        <v>0</v>
      </c>
      <c r="H1534" s="9">
        <v>1</v>
      </c>
      <c r="I1534" s="9">
        <v>0</v>
      </c>
      <c r="J1534" s="9">
        <v>4</v>
      </c>
      <c r="K1534" s="9">
        <v>1</v>
      </c>
      <c r="L1534" s="9">
        <v>2</v>
      </c>
      <c r="M1534" s="9">
        <v>2</v>
      </c>
      <c r="N1534" s="9">
        <v>2</v>
      </c>
      <c r="O1534" s="9">
        <v>0</v>
      </c>
      <c r="P1534" s="9">
        <v>1</v>
      </c>
      <c r="Q1534" s="9">
        <v>1</v>
      </c>
      <c r="R1534" s="9">
        <v>0</v>
      </c>
      <c r="S1534" s="9">
        <v>0</v>
      </c>
      <c r="T1534" s="9">
        <v>0</v>
      </c>
      <c r="U1534" s="9">
        <v>0</v>
      </c>
      <c r="V1534" s="9">
        <v>0</v>
      </c>
      <c r="W1534" s="9">
        <v>2</v>
      </c>
      <c r="X1534" s="9">
        <v>1</v>
      </c>
      <c r="Y1534" s="9">
        <v>1</v>
      </c>
      <c r="Z1534" s="9">
        <v>2</v>
      </c>
      <c r="AA1534" s="9">
        <v>1</v>
      </c>
      <c r="AB1534" s="9">
        <v>0</v>
      </c>
      <c r="AC1534" s="9">
        <v>0</v>
      </c>
      <c r="AD1534" s="53" t="e">
        <f>#REF!*D1534</f>
        <v>#REF!</v>
      </c>
      <c r="AE1534" s="53" t="e">
        <f>AD1534-#REF!</f>
        <v>#REF!</v>
      </c>
      <c r="AF1534" s="8"/>
      <c r="AG1534" s="33" t="e">
        <f>#REF!-D1534</f>
        <v>#REF!</v>
      </c>
    </row>
    <row r="1535" spans="1:37" s="12" customFormat="1" ht="12" customHeight="1" outlineLevel="1" x14ac:dyDescent="0.2">
      <c r="A1535" s="62" t="s">
        <v>1730</v>
      </c>
      <c r="B1535" s="47" t="s">
        <v>125</v>
      </c>
      <c r="C1535" s="8" t="s">
        <v>47</v>
      </c>
      <c r="D1535" s="25">
        <f t="shared" si="372"/>
        <v>9</v>
      </c>
      <c r="E1535" s="54"/>
      <c r="F1535" s="9"/>
      <c r="G1535" s="9">
        <v>0</v>
      </c>
      <c r="H1535" s="9">
        <v>0</v>
      </c>
      <c r="I1535" s="9">
        <v>0</v>
      </c>
      <c r="J1535" s="9">
        <v>1</v>
      </c>
      <c r="K1535" s="9">
        <v>2</v>
      </c>
      <c r="L1535" s="9">
        <v>0</v>
      </c>
      <c r="M1535" s="9">
        <v>0</v>
      </c>
      <c r="N1535" s="9">
        <v>0</v>
      </c>
      <c r="O1535" s="9">
        <v>0</v>
      </c>
      <c r="P1535" s="9">
        <v>0</v>
      </c>
      <c r="Q1535" s="9">
        <v>0</v>
      </c>
      <c r="R1535" s="9">
        <v>0</v>
      </c>
      <c r="S1535" s="9">
        <v>0</v>
      </c>
      <c r="T1535" s="9">
        <v>0</v>
      </c>
      <c r="U1535" s="9">
        <v>0</v>
      </c>
      <c r="V1535" s="9">
        <v>0</v>
      </c>
      <c r="W1535" s="9">
        <v>1</v>
      </c>
      <c r="X1535" s="9">
        <v>2</v>
      </c>
      <c r="Y1535" s="9">
        <v>0</v>
      </c>
      <c r="Z1535" s="9">
        <v>1</v>
      </c>
      <c r="AA1535" s="9">
        <v>2</v>
      </c>
      <c r="AB1535" s="9">
        <v>0</v>
      </c>
      <c r="AC1535" s="9">
        <v>0</v>
      </c>
      <c r="AD1535" s="53" t="e">
        <f>#REF!*D1535</f>
        <v>#REF!</v>
      </c>
      <c r="AE1535" s="53" t="e">
        <f>AD1535-#REF!</f>
        <v>#REF!</v>
      </c>
      <c r="AF1535" s="8"/>
      <c r="AG1535" s="33" t="e">
        <f>#REF!-D1535</f>
        <v>#REF!</v>
      </c>
    </row>
    <row r="1536" spans="1:37" s="12" customFormat="1" ht="21.6" outlineLevel="1" x14ac:dyDescent="0.2">
      <c r="A1536" s="62" t="s">
        <v>1731</v>
      </c>
      <c r="B1536" s="47" t="s">
        <v>132</v>
      </c>
      <c r="C1536" s="8" t="s">
        <v>47</v>
      </c>
      <c r="D1536" s="25">
        <f t="shared" si="372"/>
        <v>12</v>
      </c>
      <c r="E1536" s="54"/>
      <c r="F1536" s="9"/>
      <c r="G1536" s="9">
        <v>0</v>
      </c>
      <c r="H1536" s="9">
        <v>0</v>
      </c>
      <c r="I1536" s="9">
        <v>3</v>
      </c>
      <c r="J1536" s="9">
        <v>2</v>
      </c>
      <c r="K1536" s="9">
        <v>1</v>
      </c>
      <c r="L1536" s="9">
        <v>0</v>
      </c>
      <c r="M1536" s="9">
        <v>1</v>
      </c>
      <c r="N1536" s="9">
        <v>1</v>
      </c>
      <c r="O1536" s="9">
        <v>0</v>
      </c>
      <c r="P1536" s="9">
        <v>0</v>
      </c>
      <c r="Q1536" s="9">
        <v>1</v>
      </c>
      <c r="R1536" s="9">
        <v>0</v>
      </c>
      <c r="S1536" s="9">
        <v>0</v>
      </c>
      <c r="T1536" s="9">
        <v>0</v>
      </c>
      <c r="U1536" s="9">
        <v>0</v>
      </c>
      <c r="V1536" s="9">
        <v>1</v>
      </c>
      <c r="W1536" s="9">
        <v>1</v>
      </c>
      <c r="X1536" s="9">
        <v>0</v>
      </c>
      <c r="Y1536" s="9">
        <v>0</v>
      </c>
      <c r="Z1536" s="9">
        <v>1</v>
      </c>
      <c r="AA1536" s="9">
        <v>0</v>
      </c>
      <c r="AB1536" s="9">
        <v>0</v>
      </c>
      <c r="AC1536" s="9">
        <v>0</v>
      </c>
      <c r="AD1536" s="53" t="e">
        <f>#REF!*D1536</f>
        <v>#REF!</v>
      </c>
      <c r="AE1536" s="53" t="e">
        <f>AD1536-#REF!</f>
        <v>#REF!</v>
      </c>
      <c r="AF1536" s="8"/>
      <c r="AG1536" s="33" t="e">
        <f>#REF!-D1536</f>
        <v>#REF!</v>
      </c>
    </row>
    <row r="1537" spans="1:37" s="12" customFormat="1" ht="21.6" outlineLevel="1" x14ac:dyDescent="0.2">
      <c r="A1537" s="62" t="s">
        <v>1732</v>
      </c>
      <c r="B1537" s="47" t="s">
        <v>133</v>
      </c>
      <c r="C1537" s="8" t="s">
        <v>47</v>
      </c>
      <c r="D1537" s="25">
        <f t="shared" si="372"/>
        <v>11</v>
      </c>
      <c r="E1537" s="54"/>
      <c r="F1537" s="9"/>
      <c r="G1537" s="9">
        <v>0</v>
      </c>
      <c r="H1537" s="9">
        <v>0</v>
      </c>
      <c r="I1537" s="9">
        <v>2</v>
      </c>
      <c r="J1537" s="9">
        <v>1</v>
      </c>
      <c r="K1537" s="9">
        <v>1</v>
      </c>
      <c r="L1537" s="9">
        <v>0</v>
      </c>
      <c r="M1537" s="9">
        <v>0</v>
      </c>
      <c r="N1537" s="9">
        <v>0</v>
      </c>
      <c r="O1537" s="9">
        <v>0</v>
      </c>
      <c r="P1537" s="9">
        <v>3</v>
      </c>
      <c r="Q1537" s="9">
        <v>1</v>
      </c>
      <c r="R1537" s="9">
        <v>0</v>
      </c>
      <c r="S1537" s="9">
        <v>0</v>
      </c>
      <c r="T1537" s="9">
        <v>0</v>
      </c>
      <c r="U1537" s="9">
        <v>0</v>
      </c>
      <c r="V1537" s="9">
        <v>1</v>
      </c>
      <c r="W1537" s="9">
        <v>0</v>
      </c>
      <c r="X1537" s="9">
        <v>1</v>
      </c>
      <c r="Y1537" s="9">
        <v>0</v>
      </c>
      <c r="Z1537" s="9">
        <v>0</v>
      </c>
      <c r="AA1537" s="9">
        <v>1</v>
      </c>
      <c r="AB1537" s="9">
        <v>0</v>
      </c>
      <c r="AC1537" s="9">
        <v>0</v>
      </c>
      <c r="AD1537" s="53" t="e">
        <f>#REF!*D1537</f>
        <v>#REF!</v>
      </c>
      <c r="AE1537" s="53" t="e">
        <f>AD1537-#REF!</f>
        <v>#REF!</v>
      </c>
      <c r="AF1537" s="8"/>
      <c r="AG1537" s="33" t="e">
        <f>#REF!-D1537</f>
        <v>#REF!</v>
      </c>
    </row>
    <row r="1538" spans="1:37" s="12" customFormat="1" ht="12" customHeight="1" outlineLevel="1" x14ac:dyDescent="0.2">
      <c r="A1538" s="62" t="s">
        <v>1733</v>
      </c>
      <c r="B1538" s="47" t="s">
        <v>130</v>
      </c>
      <c r="C1538" s="8" t="s">
        <v>47</v>
      </c>
      <c r="D1538" s="25">
        <f t="shared" si="372"/>
        <v>95</v>
      </c>
      <c r="E1538" s="54"/>
      <c r="F1538" s="9"/>
      <c r="G1538" s="9">
        <v>0</v>
      </c>
      <c r="H1538" s="9">
        <v>9</v>
      </c>
      <c r="I1538" s="9">
        <v>6</v>
      </c>
      <c r="J1538" s="9">
        <v>9</v>
      </c>
      <c r="K1538" s="9">
        <v>3</v>
      </c>
      <c r="L1538" s="9">
        <v>6</v>
      </c>
      <c r="M1538" s="9">
        <v>6</v>
      </c>
      <c r="N1538" s="9">
        <v>6</v>
      </c>
      <c r="O1538" s="9">
        <v>9</v>
      </c>
      <c r="P1538" s="9">
        <v>13</v>
      </c>
      <c r="Q1538" s="9">
        <v>6</v>
      </c>
      <c r="R1538" s="9">
        <v>0</v>
      </c>
      <c r="S1538" s="9">
        <v>0</v>
      </c>
      <c r="T1538" s="9">
        <v>0</v>
      </c>
      <c r="U1538" s="9">
        <v>3</v>
      </c>
      <c r="V1538" s="9">
        <v>2</v>
      </c>
      <c r="W1538" s="9">
        <v>4</v>
      </c>
      <c r="X1538" s="9">
        <v>3</v>
      </c>
      <c r="Y1538" s="9">
        <v>3</v>
      </c>
      <c r="Z1538" s="9">
        <v>4</v>
      </c>
      <c r="AA1538" s="9">
        <v>3</v>
      </c>
      <c r="AB1538" s="9">
        <v>0</v>
      </c>
      <c r="AC1538" s="9">
        <v>0</v>
      </c>
      <c r="AD1538" s="53" t="e">
        <f>#REF!*D1538</f>
        <v>#REF!</v>
      </c>
      <c r="AE1538" s="53" t="e">
        <f>AD1538-#REF!</f>
        <v>#REF!</v>
      </c>
      <c r="AF1538" s="8"/>
      <c r="AG1538" s="33" t="e">
        <f>#REF!-D1538</f>
        <v>#REF!</v>
      </c>
    </row>
    <row r="1539" spans="1:37" s="12" customFormat="1" ht="12" customHeight="1" outlineLevel="1" x14ac:dyDescent="0.2">
      <c r="A1539" s="62" t="s">
        <v>1734</v>
      </c>
      <c r="B1539" s="47" t="s">
        <v>179</v>
      </c>
      <c r="C1539" s="8" t="s">
        <v>47</v>
      </c>
      <c r="D1539" s="25">
        <f t="shared" si="372"/>
        <v>10</v>
      </c>
      <c r="E1539" s="54"/>
      <c r="F1539" s="9"/>
      <c r="G1539" s="9">
        <v>0</v>
      </c>
      <c r="H1539" s="9">
        <v>4</v>
      </c>
      <c r="I1539" s="9">
        <v>1</v>
      </c>
      <c r="J1539" s="9">
        <v>1</v>
      </c>
      <c r="K1539" s="9">
        <v>0</v>
      </c>
      <c r="L1539" s="9">
        <v>0</v>
      </c>
      <c r="M1539" s="9">
        <v>1</v>
      </c>
      <c r="N1539" s="9">
        <v>1</v>
      </c>
      <c r="O1539" s="9">
        <v>0</v>
      </c>
      <c r="P1539" s="9">
        <v>1</v>
      </c>
      <c r="Q1539" s="9">
        <v>1</v>
      </c>
      <c r="R1539" s="9">
        <v>0</v>
      </c>
      <c r="S1539" s="9">
        <v>0</v>
      </c>
      <c r="T1539" s="9">
        <v>0</v>
      </c>
      <c r="U1539" s="9">
        <v>0</v>
      </c>
      <c r="V1539" s="9">
        <v>0</v>
      </c>
      <c r="W1539" s="9">
        <v>0</v>
      </c>
      <c r="X1539" s="9">
        <v>0</v>
      </c>
      <c r="Y1539" s="9">
        <v>0</v>
      </c>
      <c r="Z1539" s="9">
        <v>0</v>
      </c>
      <c r="AA1539" s="9">
        <v>0</v>
      </c>
      <c r="AB1539" s="9">
        <v>0</v>
      </c>
      <c r="AC1539" s="9">
        <v>0</v>
      </c>
      <c r="AD1539" s="53" t="e">
        <f>#REF!*D1539</f>
        <v>#REF!</v>
      </c>
      <c r="AE1539" s="53" t="e">
        <f>AD1539-#REF!</f>
        <v>#REF!</v>
      </c>
      <c r="AF1539" s="8"/>
      <c r="AG1539" s="33" t="e">
        <f>#REF!-D1539</f>
        <v>#REF!</v>
      </c>
    </row>
    <row r="1540" spans="1:37" s="12" customFormat="1" ht="12" customHeight="1" outlineLevel="1" x14ac:dyDescent="0.2">
      <c r="A1540" s="62" t="s">
        <v>1735</v>
      </c>
      <c r="B1540" s="47" t="s">
        <v>165</v>
      </c>
      <c r="C1540" s="8" t="s">
        <v>47</v>
      </c>
      <c r="D1540" s="25">
        <f t="shared" si="372"/>
        <v>4</v>
      </c>
      <c r="E1540" s="54"/>
      <c r="F1540" s="9"/>
      <c r="G1540" s="9">
        <v>0</v>
      </c>
      <c r="H1540" s="9">
        <v>0</v>
      </c>
      <c r="I1540" s="9">
        <v>0</v>
      </c>
      <c r="J1540" s="9">
        <v>0</v>
      </c>
      <c r="K1540" s="9">
        <v>0</v>
      </c>
      <c r="L1540" s="9">
        <v>0</v>
      </c>
      <c r="M1540" s="9">
        <v>0</v>
      </c>
      <c r="N1540" s="9">
        <v>0</v>
      </c>
      <c r="O1540" s="9">
        <v>0</v>
      </c>
      <c r="P1540" s="9">
        <v>4</v>
      </c>
      <c r="Q1540" s="9">
        <v>0</v>
      </c>
      <c r="R1540" s="9">
        <v>0</v>
      </c>
      <c r="S1540" s="9">
        <v>0</v>
      </c>
      <c r="T1540" s="9">
        <v>0</v>
      </c>
      <c r="U1540" s="9">
        <v>0</v>
      </c>
      <c r="V1540" s="9">
        <v>0</v>
      </c>
      <c r="W1540" s="9">
        <v>0</v>
      </c>
      <c r="X1540" s="9">
        <v>0</v>
      </c>
      <c r="Y1540" s="9">
        <v>0</v>
      </c>
      <c r="Z1540" s="9">
        <v>0</v>
      </c>
      <c r="AA1540" s="9">
        <v>0</v>
      </c>
      <c r="AB1540" s="9">
        <v>0</v>
      </c>
      <c r="AC1540" s="9">
        <v>0</v>
      </c>
      <c r="AD1540" s="53" t="e">
        <f>#REF!*D1540</f>
        <v>#REF!</v>
      </c>
      <c r="AE1540" s="53" t="e">
        <f>AD1540-#REF!</f>
        <v>#REF!</v>
      </c>
      <c r="AF1540" s="8"/>
      <c r="AG1540" s="33" t="e">
        <f>#REF!-D1540</f>
        <v>#REF!</v>
      </c>
    </row>
    <row r="1541" spans="1:37" s="12" customFormat="1" ht="21.6" outlineLevel="1" x14ac:dyDescent="0.2">
      <c r="A1541" s="62" t="s">
        <v>1736</v>
      </c>
      <c r="B1541" s="47" t="s">
        <v>180</v>
      </c>
      <c r="C1541" s="8" t="s">
        <v>47</v>
      </c>
      <c r="D1541" s="25">
        <f t="shared" si="372"/>
        <v>140</v>
      </c>
      <c r="E1541" s="54"/>
      <c r="F1541" s="9"/>
      <c r="G1541" s="9">
        <v>0</v>
      </c>
      <c r="H1541" s="9">
        <v>9</v>
      </c>
      <c r="I1541" s="9">
        <v>6</v>
      </c>
      <c r="J1541" s="9">
        <v>11</v>
      </c>
      <c r="K1541" s="9">
        <v>5</v>
      </c>
      <c r="L1541" s="9">
        <v>14</v>
      </c>
      <c r="M1541" s="9">
        <v>19</v>
      </c>
      <c r="N1541" s="9">
        <v>19</v>
      </c>
      <c r="O1541" s="9">
        <v>18</v>
      </c>
      <c r="P1541" s="9">
        <v>4</v>
      </c>
      <c r="Q1541" s="9">
        <v>6</v>
      </c>
      <c r="R1541" s="9">
        <v>0</v>
      </c>
      <c r="S1541" s="9">
        <v>0</v>
      </c>
      <c r="T1541" s="9">
        <v>0</v>
      </c>
      <c r="U1541" s="9">
        <v>3</v>
      </c>
      <c r="V1541" s="9">
        <v>1</v>
      </c>
      <c r="W1541" s="9">
        <v>4</v>
      </c>
      <c r="X1541" s="9">
        <v>5</v>
      </c>
      <c r="Y1541" s="9">
        <v>7</v>
      </c>
      <c r="Z1541" s="9">
        <v>4</v>
      </c>
      <c r="AA1541" s="9">
        <v>5</v>
      </c>
      <c r="AB1541" s="9">
        <v>0</v>
      </c>
      <c r="AC1541" s="9">
        <v>0</v>
      </c>
      <c r="AD1541" s="53" t="e">
        <f>#REF!*D1541</f>
        <v>#REF!</v>
      </c>
      <c r="AE1541" s="53" t="e">
        <f>AD1541-#REF!</f>
        <v>#REF!</v>
      </c>
      <c r="AF1541" s="8"/>
      <c r="AG1541" s="33" t="e">
        <f>#REF!-D1541</f>
        <v>#REF!</v>
      </c>
    </row>
    <row r="1542" spans="1:37" s="12" customFormat="1" ht="21.6" outlineLevel="1" x14ac:dyDescent="0.2">
      <c r="A1542" s="62" t="s">
        <v>1737</v>
      </c>
      <c r="B1542" s="47" t="s">
        <v>182</v>
      </c>
      <c r="C1542" s="8" t="s">
        <v>47</v>
      </c>
      <c r="D1542" s="25">
        <f t="shared" si="372"/>
        <v>24</v>
      </c>
      <c r="E1542" s="54"/>
      <c r="F1542" s="9"/>
      <c r="G1542" s="9">
        <v>0</v>
      </c>
      <c r="H1542" s="9">
        <v>0</v>
      </c>
      <c r="I1542" s="9">
        <v>0</v>
      </c>
      <c r="J1542" s="9">
        <v>2</v>
      </c>
      <c r="K1542" s="9">
        <v>2</v>
      </c>
      <c r="L1542" s="9">
        <v>2</v>
      </c>
      <c r="M1542" s="9">
        <v>3</v>
      </c>
      <c r="N1542" s="9">
        <v>3</v>
      </c>
      <c r="O1542" s="9">
        <v>3</v>
      </c>
      <c r="P1542" s="9">
        <v>2</v>
      </c>
      <c r="Q1542" s="9">
        <v>2</v>
      </c>
      <c r="R1542" s="9">
        <v>0</v>
      </c>
      <c r="S1542" s="9">
        <v>0</v>
      </c>
      <c r="T1542" s="9">
        <v>0</v>
      </c>
      <c r="U1542" s="9">
        <v>0</v>
      </c>
      <c r="V1542" s="9">
        <v>0</v>
      </c>
      <c r="W1542" s="9">
        <v>1</v>
      </c>
      <c r="X1542" s="9">
        <v>1</v>
      </c>
      <c r="Y1542" s="9">
        <v>1</v>
      </c>
      <c r="Z1542" s="9">
        <v>1</v>
      </c>
      <c r="AA1542" s="9">
        <v>1</v>
      </c>
      <c r="AB1542" s="9">
        <v>0</v>
      </c>
      <c r="AC1542" s="9">
        <v>0</v>
      </c>
      <c r="AD1542" s="53" t="e">
        <f>#REF!*D1542</f>
        <v>#REF!</v>
      </c>
      <c r="AE1542" s="53" t="e">
        <f>AD1542-#REF!</f>
        <v>#REF!</v>
      </c>
      <c r="AF1542" s="8"/>
      <c r="AG1542" s="33" t="e">
        <f>#REF!-D1542</f>
        <v>#REF!</v>
      </c>
    </row>
    <row r="1543" spans="1:37" s="12" customFormat="1" ht="20.399999999999999" outlineLevel="1" x14ac:dyDescent="0.2">
      <c r="A1543" s="62" t="s">
        <v>1738</v>
      </c>
      <c r="B1543" s="47" t="s">
        <v>345</v>
      </c>
      <c r="C1543" s="8" t="s">
        <v>47</v>
      </c>
      <c r="D1543" s="25">
        <f t="shared" si="372"/>
        <v>1</v>
      </c>
      <c r="E1543" s="54"/>
      <c r="F1543" s="9"/>
      <c r="G1543" s="9">
        <v>0</v>
      </c>
      <c r="H1543" s="9">
        <v>0</v>
      </c>
      <c r="I1543" s="9">
        <v>1</v>
      </c>
      <c r="J1543" s="9">
        <v>0</v>
      </c>
      <c r="K1543" s="9">
        <v>0</v>
      </c>
      <c r="L1543" s="9">
        <v>0</v>
      </c>
      <c r="M1543" s="9">
        <v>0</v>
      </c>
      <c r="N1543" s="9">
        <v>0</v>
      </c>
      <c r="O1543" s="9">
        <v>0</v>
      </c>
      <c r="P1543" s="9">
        <v>0</v>
      </c>
      <c r="Q1543" s="9">
        <v>0</v>
      </c>
      <c r="R1543" s="9">
        <v>0</v>
      </c>
      <c r="S1543" s="9">
        <v>0</v>
      </c>
      <c r="T1543" s="9">
        <v>0</v>
      </c>
      <c r="U1543" s="9">
        <v>0</v>
      </c>
      <c r="V1543" s="9">
        <v>0</v>
      </c>
      <c r="W1543" s="9">
        <v>0</v>
      </c>
      <c r="X1543" s="9">
        <v>0</v>
      </c>
      <c r="Y1543" s="9">
        <v>0</v>
      </c>
      <c r="Z1543" s="9">
        <v>0</v>
      </c>
      <c r="AA1543" s="9">
        <v>0</v>
      </c>
      <c r="AB1543" s="9">
        <v>0</v>
      </c>
      <c r="AC1543" s="9">
        <v>0</v>
      </c>
      <c r="AD1543" s="53" t="e">
        <f>#REF!*D1543</f>
        <v>#REF!</v>
      </c>
      <c r="AE1543" s="53" t="e">
        <f>AD1543-#REF!</f>
        <v>#REF!</v>
      </c>
      <c r="AF1543" s="8"/>
      <c r="AG1543" s="33" t="e">
        <f>#REF!-D1543</f>
        <v>#REF!</v>
      </c>
    </row>
    <row r="1544" spans="1:37" s="12" customFormat="1" ht="20.399999999999999" outlineLevel="1" x14ac:dyDescent="0.2">
      <c r="A1544" s="62" t="s">
        <v>1739</v>
      </c>
      <c r="B1544" s="47" t="s">
        <v>181</v>
      </c>
      <c r="C1544" s="8" t="s">
        <v>47</v>
      </c>
      <c r="D1544" s="25">
        <f t="shared" si="372"/>
        <v>10</v>
      </c>
      <c r="E1544" s="54"/>
      <c r="F1544" s="9"/>
      <c r="G1544" s="9">
        <v>0</v>
      </c>
      <c r="H1544" s="9">
        <v>0</v>
      </c>
      <c r="I1544" s="9">
        <v>0</v>
      </c>
      <c r="J1544" s="9">
        <v>0</v>
      </c>
      <c r="K1544" s="9">
        <v>0</v>
      </c>
      <c r="L1544" s="9">
        <v>1</v>
      </c>
      <c r="M1544" s="9">
        <v>1</v>
      </c>
      <c r="N1544" s="9">
        <v>1</v>
      </c>
      <c r="O1544" s="9">
        <v>2</v>
      </c>
      <c r="P1544" s="9">
        <v>3</v>
      </c>
      <c r="Q1544" s="9">
        <v>2</v>
      </c>
      <c r="R1544" s="9">
        <v>0</v>
      </c>
      <c r="S1544" s="9">
        <v>0</v>
      </c>
      <c r="T1544" s="9">
        <v>0</v>
      </c>
      <c r="U1544" s="9">
        <v>0</v>
      </c>
      <c r="V1544" s="9">
        <v>0</v>
      </c>
      <c r="W1544" s="9">
        <v>0</v>
      </c>
      <c r="X1544" s="9">
        <v>0</v>
      </c>
      <c r="Y1544" s="9">
        <v>0</v>
      </c>
      <c r="Z1544" s="9">
        <v>0</v>
      </c>
      <c r="AA1544" s="9">
        <v>0</v>
      </c>
      <c r="AB1544" s="9">
        <v>0</v>
      </c>
      <c r="AC1544" s="9">
        <v>0</v>
      </c>
      <c r="AD1544" s="53" t="e">
        <f>#REF!*D1544</f>
        <v>#REF!</v>
      </c>
      <c r="AE1544" s="53" t="e">
        <f>AD1544-#REF!</f>
        <v>#REF!</v>
      </c>
      <c r="AF1544" s="8"/>
      <c r="AG1544" s="33" t="e">
        <f>#REF!-D1544</f>
        <v>#REF!</v>
      </c>
    </row>
    <row r="1545" spans="1:37" s="12" customFormat="1" ht="20.399999999999999" outlineLevel="1" x14ac:dyDescent="0.2">
      <c r="A1545" s="62" t="s">
        <v>1740</v>
      </c>
      <c r="B1545" s="47" t="s">
        <v>208</v>
      </c>
      <c r="C1545" s="8" t="s">
        <v>47</v>
      </c>
      <c r="D1545" s="25">
        <f t="shared" si="372"/>
        <v>1</v>
      </c>
      <c r="E1545" s="54"/>
      <c r="F1545" s="9"/>
      <c r="G1545" s="9">
        <v>0</v>
      </c>
      <c r="H1545" s="9">
        <v>0</v>
      </c>
      <c r="I1545" s="9">
        <v>0</v>
      </c>
      <c r="J1545" s="9">
        <v>0</v>
      </c>
      <c r="K1545" s="9">
        <v>0</v>
      </c>
      <c r="L1545" s="9">
        <v>0</v>
      </c>
      <c r="M1545" s="9">
        <v>0</v>
      </c>
      <c r="N1545" s="9">
        <v>0</v>
      </c>
      <c r="O1545" s="9">
        <v>0</v>
      </c>
      <c r="P1545" s="9">
        <v>0</v>
      </c>
      <c r="Q1545" s="9">
        <v>0</v>
      </c>
      <c r="R1545" s="9">
        <v>0</v>
      </c>
      <c r="S1545" s="9">
        <v>0</v>
      </c>
      <c r="T1545" s="9">
        <v>1</v>
      </c>
      <c r="U1545" s="9">
        <v>0</v>
      </c>
      <c r="V1545" s="9">
        <v>0</v>
      </c>
      <c r="W1545" s="9">
        <v>0</v>
      </c>
      <c r="X1545" s="9">
        <v>0</v>
      </c>
      <c r="Y1545" s="9">
        <v>0</v>
      </c>
      <c r="Z1545" s="9">
        <v>0</v>
      </c>
      <c r="AA1545" s="9">
        <v>0</v>
      </c>
      <c r="AB1545" s="9">
        <v>0</v>
      </c>
      <c r="AC1545" s="9">
        <v>0</v>
      </c>
      <c r="AD1545" s="53" t="e">
        <f>#REF!*D1545</f>
        <v>#REF!</v>
      </c>
      <c r="AE1545" s="53" t="e">
        <f>AD1545-#REF!</f>
        <v>#REF!</v>
      </c>
      <c r="AF1545" s="8"/>
      <c r="AG1545" s="33" t="e">
        <f>#REF!-D1545</f>
        <v>#REF!</v>
      </c>
    </row>
    <row r="1546" spans="1:37" s="12" customFormat="1" ht="20.399999999999999" outlineLevel="1" x14ac:dyDescent="0.2">
      <c r="A1546" s="62" t="s">
        <v>1741</v>
      </c>
      <c r="B1546" s="47" t="s">
        <v>131</v>
      </c>
      <c r="C1546" s="8" t="s">
        <v>47</v>
      </c>
      <c r="D1546" s="25">
        <f t="shared" si="372"/>
        <v>12</v>
      </c>
      <c r="E1546" s="54"/>
      <c r="F1546" s="9"/>
      <c r="G1546" s="9">
        <v>0</v>
      </c>
      <c r="H1546" s="9">
        <v>0</v>
      </c>
      <c r="I1546" s="9">
        <v>0</v>
      </c>
      <c r="J1546" s="9">
        <v>0</v>
      </c>
      <c r="K1546" s="9">
        <v>0</v>
      </c>
      <c r="L1546" s="9">
        <v>0</v>
      </c>
      <c r="M1546" s="9">
        <v>0</v>
      </c>
      <c r="N1546" s="9">
        <v>0</v>
      </c>
      <c r="O1546" s="9">
        <v>0</v>
      </c>
      <c r="P1546" s="9">
        <v>0</v>
      </c>
      <c r="Q1546" s="9">
        <v>0</v>
      </c>
      <c r="R1546" s="9">
        <v>0</v>
      </c>
      <c r="S1546" s="9">
        <v>0</v>
      </c>
      <c r="T1546" s="9">
        <v>12</v>
      </c>
      <c r="U1546" s="9">
        <v>0</v>
      </c>
      <c r="V1546" s="9">
        <v>0</v>
      </c>
      <c r="W1546" s="9">
        <v>0</v>
      </c>
      <c r="X1546" s="9">
        <v>0</v>
      </c>
      <c r="Y1546" s="9">
        <v>0</v>
      </c>
      <c r="Z1546" s="9">
        <v>0</v>
      </c>
      <c r="AA1546" s="9">
        <v>0</v>
      </c>
      <c r="AB1546" s="9">
        <v>0</v>
      </c>
      <c r="AC1546" s="9">
        <v>0</v>
      </c>
      <c r="AD1546" s="53" t="e">
        <f>#REF!*D1546</f>
        <v>#REF!</v>
      </c>
      <c r="AE1546" s="53" t="e">
        <f>AD1546-#REF!</f>
        <v>#REF!</v>
      </c>
      <c r="AF1546" s="8"/>
      <c r="AG1546" s="33" t="e">
        <f>#REF!-D1546</f>
        <v>#REF!</v>
      </c>
    </row>
    <row r="1547" spans="1:37" s="12" customFormat="1" ht="20.399999999999999" outlineLevel="1" x14ac:dyDescent="0.2">
      <c r="A1547" s="62" t="s">
        <v>1742</v>
      </c>
      <c r="B1547" s="47" t="s">
        <v>2813</v>
      </c>
      <c r="C1547" s="8" t="s">
        <v>47</v>
      </c>
      <c r="D1547" s="25">
        <f t="shared" si="372"/>
        <v>42</v>
      </c>
      <c r="E1547" s="54"/>
      <c r="F1547" s="9"/>
      <c r="G1547" s="9">
        <v>0</v>
      </c>
      <c r="H1547" s="9">
        <v>0</v>
      </c>
      <c r="I1547" s="9">
        <v>0</v>
      </c>
      <c r="J1547" s="9">
        <v>0</v>
      </c>
      <c r="K1547" s="9">
        <v>0</v>
      </c>
      <c r="L1547" s="9">
        <v>0</v>
      </c>
      <c r="M1547" s="9">
        <v>0</v>
      </c>
      <c r="N1547" s="9">
        <v>0</v>
      </c>
      <c r="O1547" s="9">
        <v>0</v>
      </c>
      <c r="P1547" s="9">
        <v>0</v>
      </c>
      <c r="Q1547" s="9">
        <v>0</v>
      </c>
      <c r="R1547" s="9">
        <v>0</v>
      </c>
      <c r="S1547" s="9">
        <v>0</v>
      </c>
      <c r="T1547" s="9">
        <v>0</v>
      </c>
      <c r="U1547" s="9">
        <v>0</v>
      </c>
      <c r="V1547" s="9">
        <v>0</v>
      </c>
      <c r="W1547" s="9">
        <v>0</v>
      </c>
      <c r="X1547" s="9">
        <v>12</v>
      </c>
      <c r="Y1547" s="9">
        <v>8</v>
      </c>
      <c r="Z1547" s="9">
        <v>10</v>
      </c>
      <c r="AA1547" s="9">
        <v>12</v>
      </c>
      <c r="AB1547" s="9">
        <v>0</v>
      </c>
      <c r="AC1547" s="9">
        <v>0</v>
      </c>
      <c r="AD1547" s="53" t="e">
        <f>#REF!*D1547</f>
        <v>#REF!</v>
      </c>
      <c r="AE1547" s="53" t="e">
        <f>AD1547-#REF!</f>
        <v>#REF!</v>
      </c>
      <c r="AF1547" s="8"/>
      <c r="AG1547" s="33" t="e">
        <f>#REF!-D1547</f>
        <v>#REF!</v>
      </c>
    </row>
    <row r="1548" spans="1:37" s="12" customFormat="1" ht="20.399999999999999" outlineLevel="1" x14ac:dyDescent="0.2">
      <c r="A1548" s="62" t="s">
        <v>1743</v>
      </c>
      <c r="B1548" s="47" t="s">
        <v>2814</v>
      </c>
      <c r="C1548" s="8" t="s">
        <v>47</v>
      </c>
      <c r="D1548" s="25">
        <f t="shared" si="372"/>
        <v>42</v>
      </c>
      <c r="E1548" s="54"/>
      <c r="F1548" s="9"/>
      <c r="G1548" s="9">
        <v>0</v>
      </c>
      <c r="H1548" s="9">
        <v>0</v>
      </c>
      <c r="I1548" s="9">
        <v>0</v>
      </c>
      <c r="J1548" s="9">
        <v>0</v>
      </c>
      <c r="K1548" s="9">
        <v>0</v>
      </c>
      <c r="L1548" s="9">
        <v>0</v>
      </c>
      <c r="M1548" s="9">
        <v>0</v>
      </c>
      <c r="N1548" s="9">
        <v>0</v>
      </c>
      <c r="O1548" s="9">
        <v>0</v>
      </c>
      <c r="P1548" s="9">
        <v>0</v>
      </c>
      <c r="Q1548" s="9">
        <v>0</v>
      </c>
      <c r="R1548" s="9">
        <v>0</v>
      </c>
      <c r="S1548" s="9">
        <v>0</v>
      </c>
      <c r="T1548" s="9">
        <v>0</v>
      </c>
      <c r="U1548" s="9">
        <v>0</v>
      </c>
      <c r="V1548" s="9">
        <v>0</v>
      </c>
      <c r="W1548" s="9">
        <v>0</v>
      </c>
      <c r="X1548" s="49">
        <f>X1547</f>
        <v>12</v>
      </c>
      <c r="Y1548" s="49">
        <f>Y1547</f>
        <v>8</v>
      </c>
      <c r="Z1548" s="49">
        <f>Z1547</f>
        <v>10</v>
      </c>
      <c r="AA1548" s="49">
        <f>AA1547</f>
        <v>12</v>
      </c>
      <c r="AB1548" s="9">
        <v>0</v>
      </c>
      <c r="AC1548" s="9">
        <v>0</v>
      </c>
      <c r="AD1548" s="53" t="e">
        <f>#REF!*D1548</f>
        <v>#REF!</v>
      </c>
      <c r="AE1548" s="53" t="e">
        <f>AD1548-#REF!</f>
        <v>#REF!</v>
      </c>
      <c r="AF1548" s="8"/>
      <c r="AG1548" s="33" t="e">
        <f>#REF!-D1548</f>
        <v>#REF!</v>
      </c>
    </row>
    <row r="1549" spans="1:37" s="12" customFormat="1" ht="12" customHeight="1" outlineLevel="1" x14ac:dyDescent="0.2">
      <c r="A1549" s="62" t="s">
        <v>2811</v>
      </c>
      <c r="B1549" s="11" t="s">
        <v>103</v>
      </c>
      <c r="C1549" s="9" t="s">
        <v>0</v>
      </c>
      <c r="D1549" s="25">
        <f t="shared" si="372"/>
        <v>113</v>
      </c>
      <c r="E1549" s="54"/>
      <c r="F1549" s="9"/>
      <c r="G1549" s="49">
        <f t="shared" ref="G1549:AC1549" si="376">MROUND(SUM(G1524:G1548)*5/90,1)</f>
        <v>0</v>
      </c>
      <c r="H1549" s="49">
        <f t="shared" si="376"/>
        <v>9</v>
      </c>
      <c r="I1549" s="49">
        <f t="shared" si="376"/>
        <v>9</v>
      </c>
      <c r="J1549" s="49">
        <f t="shared" si="376"/>
        <v>9</v>
      </c>
      <c r="K1549" s="49">
        <f t="shared" si="376"/>
        <v>4</v>
      </c>
      <c r="L1549" s="49">
        <f t="shared" si="376"/>
        <v>9</v>
      </c>
      <c r="M1549" s="49">
        <f t="shared" si="376"/>
        <v>9</v>
      </c>
      <c r="N1549" s="49">
        <f t="shared" si="376"/>
        <v>9</v>
      </c>
      <c r="O1549" s="49">
        <f t="shared" si="376"/>
        <v>10</v>
      </c>
      <c r="P1549" s="49">
        <f t="shared" si="376"/>
        <v>9</v>
      </c>
      <c r="Q1549" s="49">
        <f t="shared" si="376"/>
        <v>6</v>
      </c>
      <c r="R1549" s="49">
        <f t="shared" si="376"/>
        <v>0</v>
      </c>
      <c r="S1549" s="49">
        <f t="shared" si="376"/>
        <v>0</v>
      </c>
      <c r="T1549" s="49">
        <f t="shared" si="376"/>
        <v>1</v>
      </c>
      <c r="U1549" s="49">
        <f t="shared" si="376"/>
        <v>3</v>
      </c>
      <c r="V1549" s="49">
        <f t="shared" si="376"/>
        <v>2</v>
      </c>
      <c r="W1549" s="49">
        <f t="shared" si="376"/>
        <v>4</v>
      </c>
      <c r="X1549" s="49">
        <f t="shared" si="376"/>
        <v>5</v>
      </c>
      <c r="Y1549" s="49">
        <f t="shared" si="376"/>
        <v>5</v>
      </c>
      <c r="Z1549" s="49">
        <f t="shared" si="376"/>
        <v>5</v>
      </c>
      <c r="AA1549" s="49">
        <f t="shared" si="376"/>
        <v>5</v>
      </c>
      <c r="AB1549" s="49">
        <f t="shared" si="376"/>
        <v>0</v>
      </c>
      <c r="AC1549" s="49">
        <f t="shared" si="376"/>
        <v>0</v>
      </c>
      <c r="AD1549" s="53" t="e">
        <f>#REF!*D1549</f>
        <v>#REF!</v>
      </c>
      <c r="AE1549" s="53" t="e">
        <f>AD1549-#REF!</f>
        <v>#REF!</v>
      </c>
      <c r="AF1549" s="9"/>
      <c r="AG1549" s="33" t="e">
        <f>#REF!-D1549</f>
        <v>#REF!</v>
      </c>
    </row>
    <row r="1550" spans="1:37" s="12" customFormat="1" ht="20.399999999999999" outlineLevel="1" x14ac:dyDescent="0.2">
      <c r="A1550" s="62" t="s">
        <v>2812</v>
      </c>
      <c r="B1550" s="14" t="s">
        <v>106</v>
      </c>
      <c r="C1550" s="8" t="s">
        <v>49</v>
      </c>
      <c r="D1550" s="25">
        <f t="shared" si="372"/>
        <v>15</v>
      </c>
      <c r="E1550" s="54"/>
      <c r="F1550" s="9"/>
      <c r="G1550" s="49">
        <f t="shared" ref="G1550:T1550" si="377">MROUND(G1549*0.075,1)</f>
        <v>0</v>
      </c>
      <c r="H1550" s="49">
        <f t="shared" si="377"/>
        <v>1</v>
      </c>
      <c r="I1550" s="49">
        <f t="shared" si="377"/>
        <v>1</v>
      </c>
      <c r="J1550" s="49">
        <f t="shared" si="377"/>
        <v>1</v>
      </c>
      <c r="K1550" s="49">
        <f t="shared" si="377"/>
        <v>0</v>
      </c>
      <c r="L1550" s="49">
        <f t="shared" si="377"/>
        <v>1</v>
      </c>
      <c r="M1550" s="49">
        <f t="shared" si="377"/>
        <v>1</v>
      </c>
      <c r="N1550" s="49">
        <f t="shared" si="377"/>
        <v>1</v>
      </c>
      <c r="O1550" s="49">
        <f t="shared" si="377"/>
        <v>1</v>
      </c>
      <c r="P1550" s="49">
        <f t="shared" si="377"/>
        <v>1</v>
      </c>
      <c r="Q1550" s="49">
        <f t="shared" si="377"/>
        <v>0</v>
      </c>
      <c r="R1550" s="49">
        <f t="shared" si="377"/>
        <v>0</v>
      </c>
      <c r="S1550" s="49">
        <f t="shared" si="377"/>
        <v>0</v>
      </c>
      <c r="T1550" s="49">
        <f t="shared" si="377"/>
        <v>0</v>
      </c>
      <c r="U1550" s="49">
        <v>1</v>
      </c>
      <c r="V1550" s="49">
        <v>1</v>
      </c>
      <c r="W1550" s="49">
        <v>1</v>
      </c>
      <c r="X1550" s="49">
        <v>1</v>
      </c>
      <c r="Y1550" s="49">
        <v>1</v>
      </c>
      <c r="Z1550" s="49">
        <v>1</v>
      </c>
      <c r="AA1550" s="49">
        <v>1</v>
      </c>
      <c r="AB1550" s="49">
        <f>MROUND(AB1549*0.075,1)</f>
        <v>0</v>
      </c>
      <c r="AC1550" s="49">
        <f>MROUND(AC1549*0.075,1)</f>
        <v>0</v>
      </c>
      <c r="AD1550" s="53" t="e">
        <f>#REF!*D1550</f>
        <v>#REF!</v>
      </c>
      <c r="AE1550" s="53" t="e">
        <f>AD1550-#REF!</f>
        <v>#REF!</v>
      </c>
      <c r="AF1550" s="8"/>
      <c r="AG1550" s="33" t="e">
        <f>#REF!-D1550</f>
        <v>#REF!</v>
      </c>
    </row>
    <row r="1551" spans="1:37" s="12" customFormat="1" ht="12" customHeight="1" outlineLevel="1" x14ac:dyDescent="0.2">
      <c r="A1551" s="8"/>
      <c r="B1551" s="11"/>
      <c r="C1551" s="8"/>
      <c r="D1551" s="25"/>
      <c r="E1551" s="54"/>
      <c r="F1551" s="9"/>
      <c r="G1551" s="9"/>
      <c r="H1551" s="9"/>
      <c r="I1551" s="9"/>
      <c r="J1551" s="9"/>
      <c r="K1551" s="9"/>
      <c r="L1551" s="9"/>
      <c r="M1551" s="9"/>
      <c r="N1551" s="9"/>
      <c r="O1551" s="9"/>
      <c r="P1551" s="9"/>
      <c r="Q1551" s="9"/>
      <c r="R1551" s="9"/>
      <c r="S1551" s="9"/>
      <c r="T1551" s="9"/>
      <c r="U1551" s="9"/>
      <c r="V1551" s="9"/>
      <c r="W1551" s="9"/>
      <c r="X1551" s="9"/>
      <c r="Y1551" s="9"/>
      <c r="Z1551" s="9"/>
      <c r="AA1551" s="9"/>
      <c r="AB1551" s="9"/>
      <c r="AC1551" s="9"/>
      <c r="AD1551" s="53" t="e">
        <f>#REF!*D1551</f>
        <v>#REF!</v>
      </c>
      <c r="AE1551" s="53" t="e">
        <f>AD1551-#REF!</f>
        <v>#REF!</v>
      </c>
      <c r="AF1551" s="8"/>
      <c r="AG1551" s="33" t="e">
        <f>#REF!-D1551</f>
        <v>#REF!</v>
      </c>
    </row>
    <row r="1552" spans="1:37" x14ac:dyDescent="0.25">
      <c r="A1552" s="18" t="s">
        <v>510</v>
      </c>
      <c r="B1552" s="35" t="s">
        <v>1637</v>
      </c>
      <c r="C1552" s="18" t="s">
        <v>41</v>
      </c>
      <c r="D1552" s="52" t="e">
        <f>#REF!/#REF!*100</f>
        <v>#REF!</v>
      </c>
      <c r="G1552" s="9"/>
      <c r="H1552" s="81"/>
      <c r="I1552" s="81"/>
      <c r="J1552" s="76"/>
      <c r="K1552" s="76"/>
      <c r="L1552" s="76"/>
      <c r="M1552" s="9"/>
      <c r="N1552" s="81"/>
      <c r="O1552" s="76"/>
      <c r="P1552" s="76"/>
      <c r="Q1552" s="76"/>
      <c r="R1552" s="9"/>
      <c r="S1552" s="9"/>
      <c r="T1552" s="9"/>
      <c r="U1552" s="81"/>
      <c r="V1552" s="81"/>
      <c r="W1552" s="81"/>
      <c r="X1552" s="81"/>
      <c r="Y1552" s="81"/>
      <c r="Z1552" s="81"/>
      <c r="AA1552" s="81"/>
      <c r="AB1552" s="9"/>
      <c r="AC1552" s="9"/>
      <c r="AD1552" s="53" t="e">
        <f>#REF!*D1552</f>
        <v>#REF!</v>
      </c>
      <c r="AE1552" s="53" t="e">
        <f>AD1552-#REF!</f>
        <v>#REF!</v>
      </c>
      <c r="AG1552" s="33" t="e">
        <f>#REF!-D1552</f>
        <v>#REF!</v>
      </c>
      <c r="AH1552" s="2"/>
      <c r="AI1552" s="2"/>
      <c r="AJ1552" s="2"/>
      <c r="AK1552" s="2"/>
    </row>
    <row r="1553" spans="1:33" s="12" customFormat="1" ht="20.399999999999999" outlineLevel="1" x14ac:dyDescent="0.2">
      <c r="A1553" s="62" t="s">
        <v>1752</v>
      </c>
      <c r="B1553" s="47" t="s">
        <v>193</v>
      </c>
      <c r="C1553" s="8" t="s">
        <v>48</v>
      </c>
      <c r="D1553" s="25">
        <f>SUM(G1553:AC1553)*3</f>
        <v>69</v>
      </c>
      <c r="E1553" s="54"/>
      <c r="F1553" s="9"/>
      <c r="G1553" s="9">
        <v>0</v>
      </c>
      <c r="H1553" s="9">
        <v>2</v>
      </c>
      <c r="I1553" s="9">
        <v>9</v>
      </c>
      <c r="J1553" s="9">
        <v>6</v>
      </c>
      <c r="K1553" s="9">
        <v>0</v>
      </c>
      <c r="L1553" s="9">
        <v>0</v>
      </c>
      <c r="M1553" s="9">
        <v>0</v>
      </c>
      <c r="N1553" s="9">
        <v>0</v>
      </c>
      <c r="O1553" s="9">
        <v>0</v>
      </c>
      <c r="P1553" s="9">
        <v>0</v>
      </c>
      <c r="Q1553" s="9">
        <v>0</v>
      </c>
      <c r="R1553" s="9">
        <v>0</v>
      </c>
      <c r="S1553" s="9">
        <v>0</v>
      </c>
      <c r="T1553" s="9">
        <v>0</v>
      </c>
      <c r="U1553" s="9">
        <v>1</v>
      </c>
      <c r="V1553" s="9">
        <v>3</v>
      </c>
      <c r="W1553" s="9">
        <v>2</v>
      </c>
      <c r="X1553" s="9">
        <v>0</v>
      </c>
      <c r="Y1553" s="9">
        <v>0</v>
      </c>
      <c r="Z1553" s="9">
        <v>0</v>
      </c>
      <c r="AA1553" s="9">
        <v>0</v>
      </c>
      <c r="AB1553" s="9">
        <v>0</v>
      </c>
      <c r="AC1553" s="9">
        <v>0</v>
      </c>
      <c r="AD1553" s="53" t="e">
        <f>#REF!*D1553</f>
        <v>#REF!</v>
      </c>
      <c r="AE1553" s="53" t="e">
        <f>AD1553-#REF!</f>
        <v>#REF!</v>
      </c>
      <c r="AF1553" s="8"/>
      <c r="AG1553" s="33" t="e">
        <f>#REF!-D1553</f>
        <v>#REF!</v>
      </c>
    </row>
    <row r="1554" spans="1:33" s="12" customFormat="1" ht="20.399999999999999" outlineLevel="1" x14ac:dyDescent="0.2">
      <c r="A1554" s="62" t="s">
        <v>1753</v>
      </c>
      <c r="B1554" s="47" t="s">
        <v>166</v>
      </c>
      <c r="C1554" s="8" t="s">
        <v>48</v>
      </c>
      <c r="D1554" s="25">
        <f>SUM(G1554:AC1554)*3</f>
        <v>216</v>
      </c>
      <c r="E1554" s="54"/>
      <c r="F1554" s="9"/>
      <c r="G1554" s="9">
        <v>0</v>
      </c>
      <c r="H1554" s="9">
        <v>3</v>
      </c>
      <c r="I1554" s="9">
        <v>17</v>
      </c>
      <c r="J1554" s="9">
        <v>4</v>
      </c>
      <c r="K1554" s="9">
        <v>0</v>
      </c>
      <c r="L1554" s="9">
        <v>0</v>
      </c>
      <c r="M1554" s="9">
        <f>66/3</f>
        <v>22</v>
      </c>
      <c r="N1554" s="9">
        <f>15/3</f>
        <v>5</v>
      </c>
      <c r="O1554" s="9">
        <v>0</v>
      </c>
      <c r="P1554" s="9">
        <v>0</v>
      </c>
      <c r="Q1554" s="9">
        <v>0</v>
      </c>
      <c r="R1554" s="9">
        <v>0</v>
      </c>
      <c r="S1554" s="9">
        <f>36/3</f>
        <v>12</v>
      </c>
      <c r="T1554" s="9">
        <v>0</v>
      </c>
      <c r="U1554" s="9">
        <v>2</v>
      </c>
      <c r="V1554" s="9">
        <v>5</v>
      </c>
      <c r="W1554" s="9">
        <v>2</v>
      </c>
      <c r="X1554" s="9">
        <v>0</v>
      </c>
      <c r="Y1554" s="9">
        <v>0</v>
      </c>
      <c r="Z1554" s="9">
        <v>0</v>
      </c>
      <c r="AA1554" s="9">
        <v>0</v>
      </c>
      <c r="AB1554" s="9">
        <v>0</v>
      </c>
      <c r="AC1554" s="9">
        <v>0</v>
      </c>
      <c r="AD1554" s="53" t="e">
        <f>#REF!*D1554</f>
        <v>#REF!</v>
      </c>
      <c r="AE1554" s="53" t="e">
        <f>AD1554-#REF!</f>
        <v>#REF!</v>
      </c>
      <c r="AF1554" s="8"/>
      <c r="AG1554" s="33" t="e">
        <f>#REF!-D1554</f>
        <v>#REF!</v>
      </c>
    </row>
    <row r="1555" spans="1:33" s="12" customFormat="1" ht="20.399999999999999" outlineLevel="1" x14ac:dyDescent="0.2">
      <c r="A1555" s="62" t="s">
        <v>1754</v>
      </c>
      <c r="B1555" s="47" t="s">
        <v>167</v>
      </c>
      <c r="C1555" s="8" t="s">
        <v>48</v>
      </c>
      <c r="D1555" s="25">
        <f>SUM(G1555:AC1555)*3</f>
        <v>993</v>
      </c>
      <c r="E1555" s="54"/>
      <c r="F1555" s="78"/>
      <c r="G1555" s="9">
        <v>11</v>
      </c>
      <c r="H1555" s="9">
        <v>70</v>
      </c>
      <c r="I1555" s="9">
        <f>66-15</f>
        <v>51</v>
      </c>
      <c r="J1555" s="9">
        <f>23-6</f>
        <v>17</v>
      </c>
      <c r="K1555" s="9">
        <v>1</v>
      </c>
      <c r="L1555" s="9">
        <v>0</v>
      </c>
      <c r="M1555" s="9">
        <v>41</v>
      </c>
      <c r="N1555" s="9">
        <v>1</v>
      </c>
      <c r="O1555" s="9">
        <v>0</v>
      </c>
      <c r="P1555" s="9">
        <v>0</v>
      </c>
      <c r="Q1555" s="9">
        <v>0</v>
      </c>
      <c r="R1555" s="9">
        <v>0</v>
      </c>
      <c r="S1555" s="9">
        <f>51/3</f>
        <v>17</v>
      </c>
      <c r="T1555" s="9">
        <v>62</v>
      </c>
      <c r="U1555" s="9">
        <v>30</v>
      </c>
      <c r="V1555" s="9">
        <v>15</v>
      </c>
      <c r="W1555" s="9">
        <v>6</v>
      </c>
      <c r="X1555" s="9">
        <v>3</v>
      </c>
      <c r="Y1555" s="9">
        <v>2</v>
      </c>
      <c r="Z1555" s="9">
        <v>2</v>
      </c>
      <c r="AA1555" s="9">
        <v>2</v>
      </c>
      <c r="AB1555" s="9">
        <v>0</v>
      </c>
      <c r="AC1555" s="9">
        <v>0</v>
      </c>
      <c r="AD1555" s="53" t="e">
        <f>#REF!*D1555</f>
        <v>#REF!</v>
      </c>
      <c r="AE1555" s="53" t="e">
        <f>AD1555-#REF!</f>
        <v>#REF!</v>
      </c>
      <c r="AF1555" s="8"/>
      <c r="AG1555" s="33" t="e">
        <f>#REF!-D1555</f>
        <v>#REF!</v>
      </c>
    </row>
    <row r="1556" spans="1:33" s="12" customFormat="1" ht="30.6" outlineLevel="1" x14ac:dyDescent="0.2">
      <c r="A1556" s="62" t="s">
        <v>1755</v>
      </c>
      <c r="B1556" s="47" t="s">
        <v>1744</v>
      </c>
      <c r="C1556" s="8" t="s">
        <v>48</v>
      </c>
      <c r="D1556" s="25">
        <f>SUM(G1556:AC1556)*6</f>
        <v>48</v>
      </c>
      <c r="E1556" s="54"/>
      <c r="F1556" s="78"/>
      <c r="G1556" s="9">
        <v>8</v>
      </c>
      <c r="H1556" s="9">
        <v>0</v>
      </c>
      <c r="I1556" s="9">
        <v>0</v>
      </c>
      <c r="J1556" s="9">
        <v>0</v>
      </c>
      <c r="K1556" s="9">
        <v>0</v>
      </c>
      <c r="L1556" s="9">
        <v>0</v>
      </c>
      <c r="M1556" s="9">
        <v>0</v>
      </c>
      <c r="N1556" s="9">
        <v>0</v>
      </c>
      <c r="O1556" s="9">
        <v>0</v>
      </c>
      <c r="P1556" s="9">
        <v>0</v>
      </c>
      <c r="Q1556" s="9">
        <v>0</v>
      </c>
      <c r="R1556" s="9">
        <v>0</v>
      </c>
      <c r="S1556" s="9">
        <v>0</v>
      </c>
      <c r="T1556" s="9">
        <v>0</v>
      </c>
      <c r="U1556" s="9">
        <v>0</v>
      </c>
      <c r="V1556" s="9">
        <v>0</v>
      </c>
      <c r="W1556" s="9">
        <v>0</v>
      </c>
      <c r="X1556" s="9">
        <v>0</v>
      </c>
      <c r="Y1556" s="9">
        <v>0</v>
      </c>
      <c r="Z1556" s="9">
        <v>0</v>
      </c>
      <c r="AA1556" s="9">
        <v>0</v>
      </c>
      <c r="AB1556" s="9">
        <v>0</v>
      </c>
      <c r="AC1556" s="9">
        <v>0</v>
      </c>
      <c r="AD1556" s="53" t="e">
        <f>#REF!*D1556</f>
        <v>#REF!</v>
      </c>
      <c r="AE1556" s="53" t="e">
        <f>AD1556-#REF!</f>
        <v>#REF!</v>
      </c>
      <c r="AF1556" s="8"/>
      <c r="AG1556" s="33" t="e">
        <f>#REF!-D1556</f>
        <v>#REF!</v>
      </c>
    </row>
    <row r="1557" spans="1:33" s="12" customFormat="1" ht="20.399999999999999" outlineLevel="1" x14ac:dyDescent="0.2">
      <c r="A1557" s="62" t="s">
        <v>1756</v>
      </c>
      <c r="B1557" s="47" t="s">
        <v>173</v>
      </c>
      <c r="C1557" s="9" t="s">
        <v>47</v>
      </c>
      <c r="D1557" s="25">
        <f t="shared" ref="D1557:D1587" si="378">SUM(G1557:AC1557)</f>
        <v>5</v>
      </c>
      <c r="E1557" s="54"/>
      <c r="F1557" s="9"/>
      <c r="G1557" s="49">
        <f t="shared" ref="G1557:AC1557" si="379">G1559</f>
        <v>0</v>
      </c>
      <c r="H1557" s="49">
        <f t="shared" si="379"/>
        <v>0</v>
      </c>
      <c r="I1557" s="49">
        <f t="shared" si="379"/>
        <v>0</v>
      </c>
      <c r="J1557" s="49">
        <f t="shared" si="379"/>
        <v>0</v>
      </c>
      <c r="K1557" s="49">
        <f t="shared" si="379"/>
        <v>0</v>
      </c>
      <c r="L1557" s="49">
        <f t="shared" si="379"/>
        <v>0</v>
      </c>
      <c r="M1557" s="49">
        <f t="shared" si="379"/>
        <v>0</v>
      </c>
      <c r="N1557" s="49">
        <f t="shared" si="379"/>
        <v>3</v>
      </c>
      <c r="O1557" s="49">
        <f t="shared" si="379"/>
        <v>0</v>
      </c>
      <c r="P1557" s="49">
        <f t="shared" si="379"/>
        <v>0</v>
      </c>
      <c r="Q1557" s="49">
        <f t="shared" si="379"/>
        <v>0</v>
      </c>
      <c r="R1557" s="49">
        <f t="shared" si="379"/>
        <v>0</v>
      </c>
      <c r="S1557" s="49">
        <f t="shared" si="379"/>
        <v>2</v>
      </c>
      <c r="T1557" s="49">
        <f t="shared" si="379"/>
        <v>0</v>
      </c>
      <c r="U1557" s="49">
        <f t="shared" si="379"/>
        <v>0</v>
      </c>
      <c r="V1557" s="49">
        <f t="shared" si="379"/>
        <v>0</v>
      </c>
      <c r="W1557" s="49">
        <f t="shared" si="379"/>
        <v>0</v>
      </c>
      <c r="X1557" s="49">
        <f t="shared" si="379"/>
        <v>0</v>
      </c>
      <c r="Y1557" s="49">
        <f t="shared" si="379"/>
        <v>0</v>
      </c>
      <c r="Z1557" s="49">
        <f t="shared" si="379"/>
        <v>0</v>
      </c>
      <c r="AA1557" s="49">
        <f t="shared" si="379"/>
        <v>0</v>
      </c>
      <c r="AB1557" s="49">
        <f t="shared" si="379"/>
        <v>0</v>
      </c>
      <c r="AC1557" s="49">
        <f t="shared" si="379"/>
        <v>0</v>
      </c>
      <c r="AD1557" s="53" t="e">
        <f>#REF!*D1557</f>
        <v>#REF!</v>
      </c>
      <c r="AE1557" s="53" t="e">
        <f>AD1557-#REF!</f>
        <v>#REF!</v>
      </c>
      <c r="AF1557" s="8"/>
      <c r="AG1557" s="33" t="e">
        <f>#REF!-D1557</f>
        <v>#REF!</v>
      </c>
    </row>
    <row r="1558" spans="1:33" s="12" customFormat="1" ht="20.399999999999999" outlineLevel="1" x14ac:dyDescent="0.2">
      <c r="A1558" s="62" t="s">
        <v>1757</v>
      </c>
      <c r="B1558" s="47" t="s">
        <v>357</v>
      </c>
      <c r="C1558" s="9" t="s">
        <v>47</v>
      </c>
      <c r="D1558" s="25">
        <f t="shared" si="378"/>
        <v>17</v>
      </c>
      <c r="E1558" s="54"/>
      <c r="F1558" s="9"/>
      <c r="G1558" s="49">
        <f t="shared" ref="G1558:AC1558" si="380">G1560</f>
        <v>0</v>
      </c>
      <c r="H1558" s="49">
        <f t="shared" si="380"/>
        <v>0</v>
      </c>
      <c r="I1558" s="49">
        <f t="shared" si="380"/>
        <v>5</v>
      </c>
      <c r="J1558" s="49">
        <f t="shared" si="380"/>
        <v>1</v>
      </c>
      <c r="K1558" s="49">
        <f t="shared" si="380"/>
        <v>0</v>
      </c>
      <c r="L1558" s="49">
        <f t="shared" si="380"/>
        <v>0</v>
      </c>
      <c r="M1558" s="49">
        <f t="shared" si="380"/>
        <v>5</v>
      </c>
      <c r="N1558" s="49">
        <f t="shared" si="380"/>
        <v>0</v>
      </c>
      <c r="O1558" s="49">
        <f t="shared" si="380"/>
        <v>0</v>
      </c>
      <c r="P1558" s="49">
        <f t="shared" si="380"/>
        <v>0</v>
      </c>
      <c r="Q1558" s="49">
        <f t="shared" si="380"/>
        <v>0</v>
      </c>
      <c r="R1558" s="49">
        <f t="shared" si="380"/>
        <v>0</v>
      </c>
      <c r="S1558" s="49">
        <f t="shared" si="380"/>
        <v>5</v>
      </c>
      <c r="T1558" s="49">
        <f t="shared" si="380"/>
        <v>0</v>
      </c>
      <c r="U1558" s="49">
        <f t="shared" si="380"/>
        <v>0</v>
      </c>
      <c r="V1558" s="49">
        <f t="shared" si="380"/>
        <v>1</v>
      </c>
      <c r="W1558" s="49">
        <f t="shared" si="380"/>
        <v>0</v>
      </c>
      <c r="X1558" s="49">
        <f t="shared" si="380"/>
        <v>0</v>
      </c>
      <c r="Y1558" s="49">
        <f t="shared" si="380"/>
        <v>0</v>
      </c>
      <c r="Z1558" s="49">
        <f t="shared" si="380"/>
        <v>0</v>
      </c>
      <c r="AA1558" s="49">
        <f t="shared" si="380"/>
        <v>0</v>
      </c>
      <c r="AB1558" s="49">
        <f t="shared" si="380"/>
        <v>0</v>
      </c>
      <c r="AC1558" s="49">
        <f t="shared" si="380"/>
        <v>0</v>
      </c>
      <c r="AD1558" s="53" t="e">
        <f>#REF!*D1558</f>
        <v>#REF!</v>
      </c>
      <c r="AE1558" s="53" t="e">
        <f>AD1558-#REF!</f>
        <v>#REF!</v>
      </c>
      <c r="AF1558" s="8"/>
      <c r="AG1558" s="33" t="e">
        <f>#REF!-D1558</f>
        <v>#REF!</v>
      </c>
    </row>
    <row r="1559" spans="1:33" s="12" customFormat="1" ht="12" customHeight="1" outlineLevel="1" x14ac:dyDescent="0.2">
      <c r="A1559" s="62" t="s">
        <v>1758</v>
      </c>
      <c r="B1559" s="47" t="s">
        <v>349</v>
      </c>
      <c r="C1559" s="8" t="s">
        <v>47</v>
      </c>
      <c r="D1559" s="25">
        <f t="shared" si="378"/>
        <v>5</v>
      </c>
      <c r="E1559" s="54"/>
      <c r="F1559" s="9"/>
      <c r="G1559" s="9">
        <v>0</v>
      </c>
      <c r="H1559" s="9">
        <v>0</v>
      </c>
      <c r="I1559" s="9">
        <v>0</v>
      </c>
      <c r="J1559" s="9">
        <v>0</v>
      </c>
      <c r="K1559" s="9">
        <v>0</v>
      </c>
      <c r="L1559" s="9">
        <v>0</v>
      </c>
      <c r="M1559" s="9">
        <v>0</v>
      </c>
      <c r="N1559" s="9">
        <v>3</v>
      </c>
      <c r="O1559" s="9">
        <v>0</v>
      </c>
      <c r="P1559" s="9">
        <v>0</v>
      </c>
      <c r="Q1559" s="9">
        <v>0</v>
      </c>
      <c r="R1559" s="9">
        <v>0</v>
      </c>
      <c r="S1559" s="9">
        <v>2</v>
      </c>
      <c r="T1559" s="9">
        <v>0</v>
      </c>
      <c r="U1559" s="9">
        <v>0</v>
      </c>
      <c r="V1559" s="9">
        <v>0</v>
      </c>
      <c r="W1559" s="9">
        <v>0</v>
      </c>
      <c r="X1559" s="9">
        <v>0</v>
      </c>
      <c r="Y1559" s="9">
        <v>0</v>
      </c>
      <c r="Z1559" s="9">
        <v>0</v>
      </c>
      <c r="AA1559" s="9">
        <v>0</v>
      </c>
      <c r="AB1559" s="9">
        <v>0</v>
      </c>
      <c r="AC1559" s="9">
        <v>0</v>
      </c>
      <c r="AD1559" s="53" t="e">
        <f>#REF!*D1559</f>
        <v>#REF!</v>
      </c>
      <c r="AE1559" s="53" t="e">
        <f>AD1559-#REF!</f>
        <v>#REF!</v>
      </c>
      <c r="AF1559" s="8"/>
      <c r="AG1559" s="33" t="e">
        <f>#REF!-D1559</f>
        <v>#REF!</v>
      </c>
    </row>
    <row r="1560" spans="1:33" s="12" customFormat="1" ht="12" customHeight="1" outlineLevel="1" x14ac:dyDescent="0.2">
      <c r="A1560" s="62" t="s">
        <v>1759</v>
      </c>
      <c r="B1560" s="47" t="s">
        <v>1653</v>
      </c>
      <c r="C1560" s="8" t="s">
        <v>47</v>
      </c>
      <c r="D1560" s="25">
        <f t="shared" si="378"/>
        <v>17</v>
      </c>
      <c r="E1560" s="54"/>
      <c r="F1560" s="9"/>
      <c r="G1560" s="9">
        <v>0</v>
      </c>
      <c r="H1560" s="9">
        <v>0</v>
      </c>
      <c r="I1560" s="9">
        <v>5</v>
      </c>
      <c r="J1560" s="9">
        <v>1</v>
      </c>
      <c r="K1560" s="9">
        <v>0</v>
      </c>
      <c r="L1560" s="9">
        <v>0</v>
      </c>
      <c r="M1560" s="9">
        <v>5</v>
      </c>
      <c r="N1560" s="9">
        <v>0</v>
      </c>
      <c r="O1560" s="9">
        <v>0</v>
      </c>
      <c r="P1560" s="9">
        <v>0</v>
      </c>
      <c r="Q1560" s="9">
        <v>0</v>
      </c>
      <c r="R1560" s="9">
        <v>0</v>
      </c>
      <c r="S1560" s="9">
        <v>5</v>
      </c>
      <c r="T1560" s="9">
        <v>0</v>
      </c>
      <c r="U1560" s="9">
        <v>0</v>
      </c>
      <c r="V1560" s="9">
        <v>1</v>
      </c>
      <c r="W1560" s="9">
        <v>0</v>
      </c>
      <c r="X1560" s="9">
        <v>0</v>
      </c>
      <c r="Y1560" s="9">
        <v>0</v>
      </c>
      <c r="Z1560" s="9">
        <v>0</v>
      </c>
      <c r="AA1560" s="9">
        <v>0</v>
      </c>
      <c r="AB1560" s="9">
        <v>0</v>
      </c>
      <c r="AC1560" s="9">
        <v>0</v>
      </c>
      <c r="AD1560" s="53" t="e">
        <f>#REF!*D1560</f>
        <v>#REF!</v>
      </c>
      <c r="AE1560" s="53" t="e">
        <f>AD1560-#REF!</f>
        <v>#REF!</v>
      </c>
      <c r="AF1560" s="8"/>
      <c r="AG1560" s="33" t="e">
        <f>#REF!-D1560</f>
        <v>#REF!</v>
      </c>
    </row>
    <row r="1561" spans="1:33" s="12" customFormat="1" ht="20.399999999999999" outlineLevel="1" x14ac:dyDescent="0.2">
      <c r="A1561" s="62" t="s">
        <v>1760</v>
      </c>
      <c r="B1561" s="47" t="s">
        <v>195</v>
      </c>
      <c r="C1561" s="9" t="s">
        <v>47</v>
      </c>
      <c r="D1561" s="25">
        <f t="shared" si="378"/>
        <v>10</v>
      </c>
      <c r="E1561" s="54"/>
      <c r="F1561" s="9"/>
      <c r="G1561" s="49">
        <f t="shared" ref="G1561:AC1561" si="381">G1564+G1567</f>
        <v>0</v>
      </c>
      <c r="H1561" s="49">
        <f t="shared" si="381"/>
        <v>0</v>
      </c>
      <c r="I1561" s="49">
        <f t="shared" si="381"/>
        <v>1</v>
      </c>
      <c r="J1561" s="49">
        <f t="shared" si="381"/>
        <v>6</v>
      </c>
      <c r="K1561" s="49">
        <f t="shared" si="381"/>
        <v>0</v>
      </c>
      <c r="L1561" s="49">
        <f t="shared" si="381"/>
        <v>0</v>
      </c>
      <c r="M1561" s="49">
        <f t="shared" si="381"/>
        <v>0</v>
      </c>
      <c r="N1561" s="49">
        <f t="shared" si="381"/>
        <v>0</v>
      </c>
      <c r="O1561" s="49">
        <f t="shared" si="381"/>
        <v>0</v>
      </c>
      <c r="P1561" s="49">
        <f t="shared" si="381"/>
        <v>0</v>
      </c>
      <c r="Q1561" s="49">
        <f t="shared" si="381"/>
        <v>0</v>
      </c>
      <c r="R1561" s="49">
        <f t="shared" si="381"/>
        <v>0</v>
      </c>
      <c r="S1561" s="49">
        <f t="shared" si="381"/>
        <v>0</v>
      </c>
      <c r="T1561" s="49">
        <f t="shared" si="381"/>
        <v>0</v>
      </c>
      <c r="U1561" s="49">
        <f t="shared" si="381"/>
        <v>0</v>
      </c>
      <c r="V1561" s="49">
        <f t="shared" si="381"/>
        <v>1</v>
      </c>
      <c r="W1561" s="49">
        <f t="shared" si="381"/>
        <v>2</v>
      </c>
      <c r="X1561" s="49">
        <f t="shared" si="381"/>
        <v>0</v>
      </c>
      <c r="Y1561" s="49">
        <f t="shared" si="381"/>
        <v>0</v>
      </c>
      <c r="Z1561" s="49">
        <f t="shared" si="381"/>
        <v>0</v>
      </c>
      <c r="AA1561" s="49">
        <f t="shared" si="381"/>
        <v>0</v>
      </c>
      <c r="AB1561" s="49">
        <f t="shared" si="381"/>
        <v>0</v>
      </c>
      <c r="AC1561" s="49">
        <f t="shared" si="381"/>
        <v>0</v>
      </c>
      <c r="AD1561" s="53" t="e">
        <f>#REF!*D1561</f>
        <v>#REF!</v>
      </c>
      <c r="AE1561" s="53" t="e">
        <f>AD1561-#REF!</f>
        <v>#REF!</v>
      </c>
      <c r="AF1561" s="8"/>
      <c r="AG1561" s="33" t="e">
        <f>#REF!-D1561</f>
        <v>#REF!</v>
      </c>
    </row>
    <row r="1562" spans="1:33" s="12" customFormat="1" ht="20.399999999999999" outlineLevel="1" x14ac:dyDescent="0.2">
      <c r="A1562" s="62" t="s">
        <v>1761</v>
      </c>
      <c r="B1562" s="47" t="s">
        <v>168</v>
      </c>
      <c r="C1562" s="9" t="s">
        <v>47</v>
      </c>
      <c r="D1562" s="25">
        <f t="shared" si="378"/>
        <v>90</v>
      </c>
      <c r="E1562" s="54"/>
      <c r="F1562" s="9"/>
      <c r="G1562" s="49">
        <f t="shared" ref="G1562:AA1562" si="382">G1565+G1568+G1570</f>
        <v>0</v>
      </c>
      <c r="H1562" s="49">
        <f t="shared" si="382"/>
        <v>1</v>
      </c>
      <c r="I1562" s="49">
        <f t="shared" si="382"/>
        <v>18</v>
      </c>
      <c r="J1562" s="49">
        <f t="shared" si="382"/>
        <v>7</v>
      </c>
      <c r="K1562" s="49">
        <f t="shared" si="382"/>
        <v>0</v>
      </c>
      <c r="L1562" s="49">
        <f t="shared" si="382"/>
        <v>0</v>
      </c>
      <c r="M1562" s="49">
        <f t="shared" si="382"/>
        <v>22</v>
      </c>
      <c r="N1562" s="49">
        <f t="shared" si="382"/>
        <v>10</v>
      </c>
      <c r="O1562" s="49">
        <f t="shared" si="382"/>
        <v>0</v>
      </c>
      <c r="P1562" s="49">
        <f t="shared" si="382"/>
        <v>0</v>
      </c>
      <c r="Q1562" s="49">
        <f t="shared" si="382"/>
        <v>0</v>
      </c>
      <c r="R1562" s="49">
        <f t="shared" si="382"/>
        <v>0</v>
      </c>
      <c r="S1562" s="49">
        <f t="shared" si="382"/>
        <v>24</v>
      </c>
      <c r="T1562" s="49">
        <f t="shared" si="382"/>
        <v>0</v>
      </c>
      <c r="U1562" s="49">
        <f t="shared" si="382"/>
        <v>0</v>
      </c>
      <c r="V1562" s="49">
        <f t="shared" si="382"/>
        <v>4</v>
      </c>
      <c r="W1562" s="49">
        <f t="shared" si="382"/>
        <v>4</v>
      </c>
      <c r="X1562" s="49">
        <f t="shared" si="382"/>
        <v>0</v>
      </c>
      <c r="Y1562" s="49">
        <f t="shared" si="382"/>
        <v>0</v>
      </c>
      <c r="Z1562" s="49">
        <f t="shared" si="382"/>
        <v>0</v>
      </c>
      <c r="AA1562" s="49">
        <f t="shared" si="382"/>
        <v>0</v>
      </c>
      <c r="AB1562" s="9">
        <v>0</v>
      </c>
      <c r="AC1562" s="9">
        <v>0</v>
      </c>
      <c r="AD1562" s="53" t="e">
        <f>#REF!*D1562</f>
        <v>#REF!</v>
      </c>
      <c r="AE1562" s="53" t="e">
        <f>AD1562-#REF!</f>
        <v>#REF!</v>
      </c>
      <c r="AF1562" s="8"/>
      <c r="AG1562" s="33" t="e">
        <f>#REF!-D1562</f>
        <v>#REF!</v>
      </c>
    </row>
    <row r="1563" spans="1:33" s="12" customFormat="1" ht="20.399999999999999" outlineLevel="1" x14ac:dyDescent="0.2">
      <c r="A1563" s="62" t="s">
        <v>1762</v>
      </c>
      <c r="B1563" s="47" t="s">
        <v>169</v>
      </c>
      <c r="C1563" s="9" t="s">
        <v>47</v>
      </c>
      <c r="D1563" s="25">
        <f t="shared" si="378"/>
        <v>118</v>
      </c>
      <c r="E1563" s="54"/>
      <c r="F1563" s="9"/>
      <c r="G1563" s="49">
        <f t="shared" ref="G1563:AA1563" si="383">G1566+G1569+G1571+G1573</f>
        <v>0</v>
      </c>
      <c r="H1563" s="49">
        <f t="shared" si="383"/>
        <v>18</v>
      </c>
      <c r="I1563" s="49">
        <f t="shared" si="383"/>
        <v>34</v>
      </c>
      <c r="J1563" s="49">
        <f t="shared" si="383"/>
        <v>16</v>
      </c>
      <c r="K1563" s="49">
        <f t="shared" si="383"/>
        <v>1</v>
      </c>
      <c r="L1563" s="49">
        <f t="shared" si="383"/>
        <v>0</v>
      </c>
      <c r="M1563" s="49">
        <f t="shared" si="383"/>
        <v>7</v>
      </c>
      <c r="N1563" s="49">
        <f t="shared" si="383"/>
        <v>1</v>
      </c>
      <c r="O1563" s="49">
        <f t="shared" si="383"/>
        <v>0</v>
      </c>
      <c r="P1563" s="49">
        <f t="shared" si="383"/>
        <v>0</v>
      </c>
      <c r="Q1563" s="49">
        <f t="shared" si="383"/>
        <v>0</v>
      </c>
      <c r="R1563" s="49">
        <f t="shared" si="383"/>
        <v>0</v>
      </c>
      <c r="S1563" s="49">
        <f t="shared" si="383"/>
        <v>13</v>
      </c>
      <c r="T1563" s="49">
        <f t="shared" si="383"/>
        <v>0</v>
      </c>
      <c r="U1563" s="49">
        <f t="shared" si="383"/>
        <v>7</v>
      </c>
      <c r="V1563" s="49">
        <f t="shared" si="383"/>
        <v>8</v>
      </c>
      <c r="W1563" s="49">
        <f t="shared" si="383"/>
        <v>6</v>
      </c>
      <c r="X1563" s="49">
        <f t="shared" si="383"/>
        <v>5</v>
      </c>
      <c r="Y1563" s="49">
        <f t="shared" si="383"/>
        <v>2</v>
      </c>
      <c r="Z1563" s="49">
        <f t="shared" si="383"/>
        <v>0</v>
      </c>
      <c r="AA1563" s="49">
        <f t="shared" si="383"/>
        <v>0</v>
      </c>
      <c r="AB1563" s="9">
        <v>0</v>
      </c>
      <c r="AC1563" s="9">
        <v>0</v>
      </c>
      <c r="AD1563" s="53" t="e">
        <f>#REF!*D1563</f>
        <v>#REF!</v>
      </c>
      <c r="AE1563" s="53" t="e">
        <f>AD1563-#REF!</f>
        <v>#REF!</v>
      </c>
      <c r="AF1563" s="8"/>
      <c r="AG1563" s="33" t="e">
        <f>#REF!-D1563</f>
        <v>#REF!</v>
      </c>
    </row>
    <row r="1564" spans="1:33" s="12" customFormat="1" ht="21.6" outlineLevel="1" x14ac:dyDescent="0.2">
      <c r="A1564" s="62" t="s">
        <v>1763</v>
      </c>
      <c r="B1564" s="47" t="s">
        <v>209</v>
      </c>
      <c r="C1564" s="9" t="s">
        <v>47</v>
      </c>
      <c r="D1564" s="25">
        <f t="shared" si="378"/>
        <v>6</v>
      </c>
      <c r="E1564" s="54"/>
      <c r="F1564" s="9"/>
      <c r="G1564" s="9">
        <v>0</v>
      </c>
      <c r="H1564" s="9">
        <v>0</v>
      </c>
      <c r="I1564" s="9">
        <v>1</v>
      </c>
      <c r="J1564" s="9">
        <v>3</v>
      </c>
      <c r="K1564" s="9">
        <v>0</v>
      </c>
      <c r="L1564" s="9">
        <v>0</v>
      </c>
      <c r="M1564" s="9">
        <v>0</v>
      </c>
      <c r="N1564" s="9">
        <v>0</v>
      </c>
      <c r="O1564" s="9">
        <v>0</v>
      </c>
      <c r="P1564" s="9">
        <v>0</v>
      </c>
      <c r="Q1564" s="9">
        <v>0</v>
      </c>
      <c r="R1564" s="9">
        <v>0</v>
      </c>
      <c r="S1564" s="9">
        <v>0</v>
      </c>
      <c r="T1564" s="9">
        <v>0</v>
      </c>
      <c r="U1564" s="9">
        <v>0</v>
      </c>
      <c r="V1564" s="9">
        <v>1</v>
      </c>
      <c r="W1564" s="9">
        <v>1</v>
      </c>
      <c r="X1564" s="9">
        <v>0</v>
      </c>
      <c r="Y1564" s="9">
        <v>0</v>
      </c>
      <c r="Z1564" s="9">
        <v>0</v>
      </c>
      <c r="AA1564" s="9">
        <v>0</v>
      </c>
      <c r="AB1564" s="9">
        <v>0</v>
      </c>
      <c r="AC1564" s="9">
        <v>0</v>
      </c>
      <c r="AD1564" s="53" t="e">
        <f>#REF!*D1564</f>
        <v>#REF!</v>
      </c>
      <c r="AE1564" s="53" t="e">
        <f>AD1564-#REF!</f>
        <v>#REF!</v>
      </c>
      <c r="AF1564" s="9"/>
      <c r="AG1564" s="33" t="e">
        <f>#REF!-D1564</f>
        <v>#REF!</v>
      </c>
    </row>
    <row r="1565" spans="1:33" s="12" customFormat="1" ht="21.6" outlineLevel="1" x14ac:dyDescent="0.2">
      <c r="A1565" s="62" t="s">
        <v>1764</v>
      </c>
      <c r="B1565" s="47" t="s">
        <v>170</v>
      </c>
      <c r="C1565" s="9" t="s">
        <v>47</v>
      </c>
      <c r="D1565" s="25">
        <f t="shared" si="378"/>
        <v>50</v>
      </c>
      <c r="E1565" s="54"/>
      <c r="F1565" s="9"/>
      <c r="G1565" s="9">
        <v>0</v>
      </c>
      <c r="H1565" s="9">
        <v>0</v>
      </c>
      <c r="I1565" s="9">
        <v>10</v>
      </c>
      <c r="J1565" s="9">
        <v>4</v>
      </c>
      <c r="K1565" s="9">
        <v>0</v>
      </c>
      <c r="L1565" s="9">
        <v>0</v>
      </c>
      <c r="M1565" s="9">
        <v>16</v>
      </c>
      <c r="N1565" s="9">
        <v>2</v>
      </c>
      <c r="O1565" s="9">
        <v>0</v>
      </c>
      <c r="P1565" s="9">
        <v>0</v>
      </c>
      <c r="Q1565" s="9">
        <v>0</v>
      </c>
      <c r="R1565" s="9">
        <v>0</v>
      </c>
      <c r="S1565" s="9">
        <v>14</v>
      </c>
      <c r="T1565" s="9">
        <v>0</v>
      </c>
      <c r="U1565" s="9">
        <v>0</v>
      </c>
      <c r="V1565" s="9">
        <v>2</v>
      </c>
      <c r="W1565" s="9">
        <v>2</v>
      </c>
      <c r="X1565" s="9">
        <v>0</v>
      </c>
      <c r="Y1565" s="9">
        <v>0</v>
      </c>
      <c r="Z1565" s="9">
        <v>0</v>
      </c>
      <c r="AA1565" s="9">
        <v>0</v>
      </c>
      <c r="AB1565" s="9">
        <v>0</v>
      </c>
      <c r="AC1565" s="9">
        <v>0</v>
      </c>
      <c r="AD1565" s="53" t="e">
        <f>#REF!*D1565</f>
        <v>#REF!</v>
      </c>
      <c r="AE1565" s="53" t="e">
        <f>AD1565-#REF!</f>
        <v>#REF!</v>
      </c>
      <c r="AF1565" s="9"/>
      <c r="AG1565" s="33" t="e">
        <f>#REF!-D1565</f>
        <v>#REF!</v>
      </c>
    </row>
    <row r="1566" spans="1:33" s="12" customFormat="1" ht="21.6" outlineLevel="1" x14ac:dyDescent="0.2">
      <c r="A1566" s="62" t="s">
        <v>1765</v>
      </c>
      <c r="B1566" s="47" t="s">
        <v>352</v>
      </c>
      <c r="C1566" s="9" t="s">
        <v>47</v>
      </c>
      <c r="D1566" s="25">
        <f t="shared" si="378"/>
        <v>45</v>
      </c>
      <c r="E1566" s="54"/>
      <c r="F1566" s="9"/>
      <c r="G1566" s="9">
        <v>0</v>
      </c>
      <c r="H1566" s="9">
        <v>9</v>
      </c>
      <c r="I1566" s="9">
        <v>7</v>
      </c>
      <c r="J1566" s="9">
        <v>8</v>
      </c>
      <c r="K1566" s="9">
        <v>1</v>
      </c>
      <c r="L1566" s="9">
        <v>0</v>
      </c>
      <c r="M1566" s="9">
        <v>3</v>
      </c>
      <c r="N1566" s="9">
        <v>1</v>
      </c>
      <c r="O1566" s="9">
        <v>0</v>
      </c>
      <c r="P1566" s="9">
        <v>0</v>
      </c>
      <c r="Q1566" s="9">
        <v>0</v>
      </c>
      <c r="R1566" s="9">
        <v>0</v>
      </c>
      <c r="S1566" s="9">
        <v>3</v>
      </c>
      <c r="T1566" s="9">
        <v>0</v>
      </c>
      <c r="U1566" s="9">
        <v>4</v>
      </c>
      <c r="V1566" s="9">
        <v>2</v>
      </c>
      <c r="W1566" s="9">
        <v>3</v>
      </c>
      <c r="X1566" s="9">
        <v>2</v>
      </c>
      <c r="Y1566" s="9">
        <v>2</v>
      </c>
      <c r="Z1566" s="9">
        <v>0</v>
      </c>
      <c r="AA1566" s="9">
        <v>0</v>
      </c>
      <c r="AB1566" s="9">
        <v>0</v>
      </c>
      <c r="AC1566" s="9">
        <v>0</v>
      </c>
      <c r="AD1566" s="53" t="e">
        <f>#REF!*D1566</f>
        <v>#REF!</v>
      </c>
      <c r="AE1566" s="53" t="e">
        <f>AD1566-#REF!</f>
        <v>#REF!</v>
      </c>
      <c r="AF1566" s="9"/>
      <c r="AG1566" s="33" t="e">
        <f>#REF!-D1566</f>
        <v>#REF!</v>
      </c>
    </row>
    <row r="1567" spans="1:33" s="12" customFormat="1" ht="21.6" outlineLevel="1" x14ac:dyDescent="0.2">
      <c r="A1567" s="62" t="s">
        <v>1766</v>
      </c>
      <c r="B1567" s="47" t="s">
        <v>210</v>
      </c>
      <c r="C1567" s="9" t="s">
        <v>47</v>
      </c>
      <c r="D1567" s="25">
        <f t="shared" si="378"/>
        <v>4</v>
      </c>
      <c r="E1567" s="54"/>
      <c r="F1567" s="9"/>
      <c r="G1567" s="9">
        <v>0</v>
      </c>
      <c r="H1567" s="9">
        <v>0</v>
      </c>
      <c r="I1567" s="9">
        <v>0</v>
      </c>
      <c r="J1567" s="9">
        <v>3</v>
      </c>
      <c r="K1567" s="9">
        <v>0</v>
      </c>
      <c r="L1567" s="9">
        <v>0</v>
      </c>
      <c r="M1567" s="9">
        <v>0</v>
      </c>
      <c r="N1567" s="9">
        <v>0</v>
      </c>
      <c r="O1567" s="9">
        <v>0</v>
      </c>
      <c r="P1567" s="9">
        <v>0</v>
      </c>
      <c r="Q1567" s="9">
        <v>0</v>
      </c>
      <c r="R1567" s="9">
        <v>0</v>
      </c>
      <c r="S1567" s="9">
        <v>0</v>
      </c>
      <c r="T1567" s="9">
        <v>0</v>
      </c>
      <c r="U1567" s="9">
        <v>0</v>
      </c>
      <c r="V1567" s="9">
        <v>0</v>
      </c>
      <c r="W1567" s="9">
        <v>1</v>
      </c>
      <c r="X1567" s="9">
        <v>0</v>
      </c>
      <c r="Y1567" s="9">
        <v>0</v>
      </c>
      <c r="Z1567" s="9">
        <v>0</v>
      </c>
      <c r="AA1567" s="9">
        <v>0</v>
      </c>
      <c r="AB1567" s="9">
        <v>0</v>
      </c>
      <c r="AC1567" s="9">
        <v>0</v>
      </c>
      <c r="AD1567" s="53" t="e">
        <f>#REF!*D1567</f>
        <v>#REF!</v>
      </c>
      <c r="AE1567" s="53" t="e">
        <f>AD1567-#REF!</f>
        <v>#REF!</v>
      </c>
      <c r="AF1567" s="9"/>
      <c r="AG1567" s="33" t="e">
        <f>#REF!-D1567</f>
        <v>#REF!</v>
      </c>
    </row>
    <row r="1568" spans="1:33" s="12" customFormat="1" ht="21.6" outlineLevel="1" x14ac:dyDescent="0.2">
      <c r="A1568" s="62" t="s">
        <v>1767</v>
      </c>
      <c r="B1568" s="47" t="s">
        <v>171</v>
      </c>
      <c r="C1568" s="9" t="s">
        <v>47</v>
      </c>
      <c r="D1568" s="25">
        <f t="shared" si="378"/>
        <v>28</v>
      </c>
      <c r="E1568" s="54"/>
      <c r="F1568" s="9"/>
      <c r="G1568" s="9">
        <v>0</v>
      </c>
      <c r="H1568" s="9">
        <v>1</v>
      </c>
      <c r="I1568" s="9">
        <v>7</v>
      </c>
      <c r="J1568" s="9">
        <v>3</v>
      </c>
      <c r="K1568" s="9">
        <v>0</v>
      </c>
      <c r="L1568" s="9">
        <v>0</v>
      </c>
      <c r="M1568" s="9">
        <v>4</v>
      </c>
      <c r="N1568" s="9">
        <v>4</v>
      </c>
      <c r="O1568" s="9">
        <v>0</v>
      </c>
      <c r="P1568" s="9">
        <v>0</v>
      </c>
      <c r="Q1568" s="9">
        <v>0</v>
      </c>
      <c r="R1568" s="9">
        <v>0</v>
      </c>
      <c r="S1568" s="9">
        <v>5</v>
      </c>
      <c r="T1568" s="9">
        <v>0</v>
      </c>
      <c r="U1568" s="9">
        <v>0</v>
      </c>
      <c r="V1568" s="9">
        <v>2</v>
      </c>
      <c r="W1568" s="9">
        <v>2</v>
      </c>
      <c r="X1568" s="9">
        <v>0</v>
      </c>
      <c r="Y1568" s="9">
        <v>0</v>
      </c>
      <c r="Z1568" s="9">
        <v>0</v>
      </c>
      <c r="AA1568" s="9">
        <v>0</v>
      </c>
      <c r="AB1568" s="9">
        <v>0</v>
      </c>
      <c r="AC1568" s="9">
        <v>0</v>
      </c>
      <c r="AD1568" s="53" t="e">
        <f>#REF!*D1568</f>
        <v>#REF!</v>
      </c>
      <c r="AE1568" s="53" t="e">
        <f>AD1568-#REF!</f>
        <v>#REF!</v>
      </c>
      <c r="AF1568" s="8"/>
      <c r="AG1568" s="33" t="e">
        <f>#REF!-D1568</f>
        <v>#REF!</v>
      </c>
    </row>
    <row r="1569" spans="1:33" s="12" customFormat="1" ht="21.6" outlineLevel="1" x14ac:dyDescent="0.2">
      <c r="A1569" s="62" t="s">
        <v>1768</v>
      </c>
      <c r="B1569" s="47" t="s">
        <v>350</v>
      </c>
      <c r="C1569" s="9" t="s">
        <v>47</v>
      </c>
      <c r="D1569" s="25">
        <f t="shared" si="378"/>
        <v>50</v>
      </c>
      <c r="E1569" s="54"/>
      <c r="F1569" s="9"/>
      <c r="G1569" s="9">
        <v>0</v>
      </c>
      <c r="H1569" s="9">
        <v>9</v>
      </c>
      <c r="I1569" s="9">
        <v>15</v>
      </c>
      <c r="J1569" s="9">
        <v>6</v>
      </c>
      <c r="K1569" s="9">
        <v>0</v>
      </c>
      <c r="L1569" s="9">
        <v>0</v>
      </c>
      <c r="M1569" s="9">
        <v>4</v>
      </c>
      <c r="N1569" s="9">
        <v>0</v>
      </c>
      <c r="O1569" s="9">
        <v>0</v>
      </c>
      <c r="P1569" s="9">
        <v>0</v>
      </c>
      <c r="Q1569" s="9">
        <v>0</v>
      </c>
      <c r="R1569" s="9">
        <v>0</v>
      </c>
      <c r="S1569" s="9">
        <v>5</v>
      </c>
      <c r="T1569" s="9">
        <v>0</v>
      </c>
      <c r="U1569" s="9">
        <v>3</v>
      </c>
      <c r="V1569" s="9">
        <v>4</v>
      </c>
      <c r="W1569" s="9">
        <v>2</v>
      </c>
      <c r="X1569" s="9">
        <v>2</v>
      </c>
      <c r="Y1569" s="9">
        <v>0</v>
      </c>
      <c r="Z1569" s="9">
        <v>0</v>
      </c>
      <c r="AA1569" s="9">
        <v>0</v>
      </c>
      <c r="AB1569" s="9">
        <v>0</v>
      </c>
      <c r="AC1569" s="9">
        <v>0</v>
      </c>
      <c r="AD1569" s="53" t="e">
        <f>#REF!*D1569</f>
        <v>#REF!</v>
      </c>
      <c r="AE1569" s="53" t="e">
        <f>AD1569-#REF!</f>
        <v>#REF!</v>
      </c>
      <c r="AF1569" s="8"/>
      <c r="AG1569" s="33" t="e">
        <f>#REF!-D1569</f>
        <v>#REF!</v>
      </c>
    </row>
    <row r="1570" spans="1:33" s="12" customFormat="1" ht="21.6" outlineLevel="1" x14ac:dyDescent="0.2">
      <c r="A1570" s="62" t="s">
        <v>1769</v>
      </c>
      <c r="B1570" s="47" t="s">
        <v>172</v>
      </c>
      <c r="C1570" s="9" t="s">
        <v>47</v>
      </c>
      <c r="D1570" s="25">
        <f t="shared" si="378"/>
        <v>12</v>
      </c>
      <c r="E1570" s="54"/>
      <c r="F1570" s="9"/>
      <c r="G1570" s="9">
        <v>0</v>
      </c>
      <c r="H1570" s="9">
        <v>0</v>
      </c>
      <c r="I1570" s="9">
        <v>1</v>
      </c>
      <c r="J1570" s="9">
        <v>0</v>
      </c>
      <c r="K1570" s="9">
        <v>0</v>
      </c>
      <c r="L1570" s="9">
        <v>0</v>
      </c>
      <c r="M1570" s="9">
        <v>2</v>
      </c>
      <c r="N1570" s="9">
        <v>4</v>
      </c>
      <c r="O1570" s="9">
        <v>0</v>
      </c>
      <c r="P1570" s="9">
        <v>0</v>
      </c>
      <c r="Q1570" s="9">
        <v>0</v>
      </c>
      <c r="R1570" s="9">
        <v>0</v>
      </c>
      <c r="S1570" s="9">
        <v>5</v>
      </c>
      <c r="T1570" s="9">
        <v>0</v>
      </c>
      <c r="U1570" s="9">
        <v>0</v>
      </c>
      <c r="V1570" s="9">
        <v>0</v>
      </c>
      <c r="W1570" s="9">
        <v>0</v>
      </c>
      <c r="X1570" s="9">
        <v>0</v>
      </c>
      <c r="Y1570" s="9">
        <v>0</v>
      </c>
      <c r="Z1570" s="9">
        <v>0</v>
      </c>
      <c r="AA1570" s="9">
        <v>0</v>
      </c>
      <c r="AB1570" s="9">
        <v>0</v>
      </c>
      <c r="AC1570" s="9">
        <v>0</v>
      </c>
      <c r="AD1570" s="53" t="e">
        <f>#REF!*D1570</f>
        <v>#REF!</v>
      </c>
      <c r="AE1570" s="53" t="e">
        <f>AD1570-#REF!</f>
        <v>#REF!</v>
      </c>
      <c r="AF1570" s="8"/>
      <c r="AG1570" s="33" t="e">
        <f>#REF!-D1570</f>
        <v>#REF!</v>
      </c>
    </row>
    <row r="1571" spans="1:33" s="12" customFormat="1" ht="21.6" outlineLevel="1" x14ac:dyDescent="0.2">
      <c r="A1571" s="62" t="s">
        <v>1770</v>
      </c>
      <c r="B1571" s="47" t="s">
        <v>1642</v>
      </c>
      <c r="C1571" s="9" t="s">
        <v>47</v>
      </c>
      <c r="D1571" s="25">
        <f t="shared" si="378"/>
        <v>21</v>
      </c>
      <c r="E1571" s="54"/>
      <c r="F1571" s="9"/>
      <c r="G1571" s="9">
        <v>0</v>
      </c>
      <c r="H1571" s="9">
        <v>0</v>
      </c>
      <c r="I1571" s="9">
        <v>10</v>
      </c>
      <c r="J1571" s="9">
        <v>2</v>
      </c>
      <c r="K1571" s="9">
        <v>0</v>
      </c>
      <c r="L1571" s="9">
        <v>0</v>
      </c>
      <c r="M1571" s="9">
        <v>0</v>
      </c>
      <c r="N1571" s="9">
        <v>0</v>
      </c>
      <c r="O1571" s="9">
        <v>0</v>
      </c>
      <c r="P1571" s="9">
        <v>0</v>
      </c>
      <c r="Q1571" s="9">
        <v>0</v>
      </c>
      <c r="R1571" s="9">
        <v>0</v>
      </c>
      <c r="S1571" s="9">
        <v>5</v>
      </c>
      <c r="T1571" s="9">
        <v>0</v>
      </c>
      <c r="U1571" s="9">
        <v>0</v>
      </c>
      <c r="V1571" s="9">
        <v>2</v>
      </c>
      <c r="W1571" s="9">
        <v>1</v>
      </c>
      <c r="X1571" s="9">
        <v>1</v>
      </c>
      <c r="Y1571" s="9">
        <v>0</v>
      </c>
      <c r="Z1571" s="9">
        <v>0</v>
      </c>
      <c r="AA1571" s="9">
        <v>0</v>
      </c>
      <c r="AB1571" s="9">
        <v>0</v>
      </c>
      <c r="AC1571" s="9">
        <v>0</v>
      </c>
      <c r="AD1571" s="53" t="e">
        <f>#REF!*D1571</f>
        <v>#REF!</v>
      </c>
      <c r="AE1571" s="53" t="e">
        <f>AD1571-#REF!</f>
        <v>#REF!</v>
      </c>
      <c r="AF1571" s="8"/>
      <c r="AG1571" s="33" t="e">
        <f>#REF!-D1571</f>
        <v>#REF!</v>
      </c>
    </row>
    <row r="1572" spans="1:33" s="12" customFormat="1" ht="21.6" outlineLevel="1" x14ac:dyDescent="0.2">
      <c r="A1572" s="62" t="s">
        <v>1771</v>
      </c>
      <c r="B1572" s="47" t="s">
        <v>353</v>
      </c>
      <c r="C1572" s="9" t="s">
        <v>47</v>
      </c>
      <c r="D1572" s="25">
        <f t="shared" si="378"/>
        <v>3</v>
      </c>
      <c r="E1572" s="54"/>
      <c r="F1572" s="9"/>
      <c r="G1572" s="9">
        <v>0</v>
      </c>
      <c r="H1572" s="9">
        <v>0</v>
      </c>
      <c r="I1572" s="9">
        <v>0</v>
      </c>
      <c r="J1572" s="9">
        <v>0</v>
      </c>
      <c r="K1572" s="9">
        <v>0</v>
      </c>
      <c r="L1572" s="9">
        <v>0</v>
      </c>
      <c r="M1572" s="9">
        <v>3</v>
      </c>
      <c r="N1572" s="9">
        <v>0</v>
      </c>
      <c r="O1572" s="9">
        <v>0</v>
      </c>
      <c r="P1572" s="9">
        <v>0</v>
      </c>
      <c r="Q1572" s="9">
        <v>0</v>
      </c>
      <c r="R1572" s="9">
        <v>0</v>
      </c>
      <c r="S1572" s="9">
        <v>0</v>
      </c>
      <c r="T1572" s="9">
        <v>0</v>
      </c>
      <c r="U1572" s="9">
        <v>0</v>
      </c>
      <c r="V1572" s="9">
        <v>0</v>
      </c>
      <c r="W1572" s="9">
        <v>0</v>
      </c>
      <c r="X1572" s="9">
        <v>0</v>
      </c>
      <c r="Y1572" s="9">
        <v>0</v>
      </c>
      <c r="Z1572" s="9">
        <v>0</v>
      </c>
      <c r="AA1572" s="9">
        <v>0</v>
      </c>
      <c r="AB1572" s="9">
        <v>0</v>
      </c>
      <c r="AC1572" s="9">
        <v>0</v>
      </c>
      <c r="AD1572" s="53" t="e">
        <f>#REF!*D1572</f>
        <v>#REF!</v>
      </c>
      <c r="AE1572" s="53" t="e">
        <f>AD1572-#REF!</f>
        <v>#REF!</v>
      </c>
      <c r="AF1572" s="8"/>
      <c r="AG1572" s="33" t="e">
        <f>#REF!-D1572</f>
        <v>#REF!</v>
      </c>
    </row>
    <row r="1573" spans="1:33" s="12" customFormat="1" ht="21.6" outlineLevel="1" x14ac:dyDescent="0.2">
      <c r="A1573" s="62" t="s">
        <v>1772</v>
      </c>
      <c r="B1573" s="47" t="s">
        <v>1746</v>
      </c>
      <c r="C1573" s="9" t="s">
        <v>47</v>
      </c>
      <c r="D1573" s="25">
        <f t="shared" si="378"/>
        <v>2</v>
      </c>
      <c r="E1573" s="54"/>
      <c r="F1573" s="9"/>
      <c r="G1573" s="9">
        <v>0</v>
      </c>
      <c r="H1573" s="9">
        <v>0</v>
      </c>
      <c r="I1573" s="9">
        <v>2</v>
      </c>
      <c r="J1573" s="9">
        <v>0</v>
      </c>
      <c r="K1573" s="9">
        <v>0</v>
      </c>
      <c r="L1573" s="9">
        <v>0</v>
      </c>
      <c r="M1573" s="9">
        <v>0</v>
      </c>
      <c r="N1573" s="9">
        <v>0</v>
      </c>
      <c r="O1573" s="9">
        <v>0</v>
      </c>
      <c r="P1573" s="9">
        <v>0</v>
      </c>
      <c r="Q1573" s="9">
        <v>0</v>
      </c>
      <c r="R1573" s="9">
        <v>0</v>
      </c>
      <c r="S1573" s="9">
        <v>0</v>
      </c>
      <c r="T1573" s="9">
        <v>0</v>
      </c>
      <c r="U1573" s="9">
        <v>0</v>
      </c>
      <c r="V1573" s="9">
        <v>0</v>
      </c>
      <c r="W1573" s="9">
        <v>0</v>
      </c>
      <c r="X1573" s="9">
        <v>0</v>
      </c>
      <c r="Y1573" s="9">
        <v>0</v>
      </c>
      <c r="Z1573" s="9">
        <v>0</v>
      </c>
      <c r="AA1573" s="9">
        <v>0</v>
      </c>
      <c r="AB1573" s="9">
        <v>0</v>
      </c>
      <c r="AC1573" s="9">
        <v>0</v>
      </c>
      <c r="AD1573" s="53" t="e">
        <f>#REF!*D1573</f>
        <v>#REF!</v>
      </c>
      <c r="AE1573" s="53" t="e">
        <f>AD1573-#REF!</f>
        <v>#REF!</v>
      </c>
      <c r="AF1573" s="8"/>
      <c r="AG1573" s="33" t="e">
        <f>#REF!-D1573</f>
        <v>#REF!</v>
      </c>
    </row>
    <row r="1574" spans="1:33" s="12" customFormat="1" ht="21.6" outlineLevel="1" x14ac:dyDescent="0.2">
      <c r="A1574" s="62" t="s">
        <v>1773</v>
      </c>
      <c r="B1574" s="47" t="s">
        <v>354</v>
      </c>
      <c r="C1574" s="9" t="s">
        <v>47</v>
      </c>
      <c r="D1574" s="25">
        <f t="shared" si="378"/>
        <v>30</v>
      </c>
      <c r="E1574" s="54"/>
      <c r="F1574" s="9"/>
      <c r="G1574" s="9">
        <v>0</v>
      </c>
      <c r="H1574" s="9">
        <v>0</v>
      </c>
      <c r="I1574" s="9">
        <v>4</v>
      </c>
      <c r="J1574" s="9">
        <v>2</v>
      </c>
      <c r="K1574" s="9">
        <v>0</v>
      </c>
      <c r="L1574" s="9">
        <v>0</v>
      </c>
      <c r="M1574" s="9">
        <v>18</v>
      </c>
      <c r="N1574" s="9">
        <v>0</v>
      </c>
      <c r="O1574" s="9">
        <v>0</v>
      </c>
      <c r="P1574" s="9">
        <v>0</v>
      </c>
      <c r="Q1574" s="9">
        <v>0</v>
      </c>
      <c r="R1574" s="9">
        <v>0</v>
      </c>
      <c r="S1574" s="9">
        <v>5</v>
      </c>
      <c r="T1574" s="9">
        <v>0</v>
      </c>
      <c r="U1574" s="9">
        <v>0</v>
      </c>
      <c r="V1574" s="9">
        <v>1</v>
      </c>
      <c r="W1574" s="9">
        <v>0</v>
      </c>
      <c r="X1574" s="9">
        <v>0</v>
      </c>
      <c r="Y1574" s="9">
        <v>0</v>
      </c>
      <c r="Z1574" s="9">
        <v>0</v>
      </c>
      <c r="AA1574" s="9">
        <v>0</v>
      </c>
      <c r="AB1574" s="9">
        <v>0</v>
      </c>
      <c r="AC1574" s="9">
        <v>0</v>
      </c>
      <c r="AD1574" s="53" t="e">
        <f>#REF!*D1574</f>
        <v>#REF!</v>
      </c>
      <c r="AE1574" s="53" t="e">
        <f>AD1574-#REF!</f>
        <v>#REF!</v>
      </c>
      <c r="AF1574" s="8"/>
      <c r="AG1574" s="33" t="e">
        <f>#REF!-D1574</f>
        <v>#REF!</v>
      </c>
    </row>
    <row r="1575" spans="1:33" s="12" customFormat="1" ht="20.399999999999999" outlineLevel="1" x14ac:dyDescent="0.2">
      <c r="A1575" s="62" t="s">
        <v>1774</v>
      </c>
      <c r="B1575" s="47" t="s">
        <v>1745</v>
      </c>
      <c r="C1575" s="9" t="s">
        <v>47</v>
      </c>
      <c r="D1575" s="25">
        <f t="shared" si="378"/>
        <v>4</v>
      </c>
      <c r="E1575" s="54"/>
      <c r="F1575" s="9"/>
      <c r="G1575" s="9">
        <v>0</v>
      </c>
      <c r="H1575" s="9">
        <v>0</v>
      </c>
      <c r="I1575" s="9">
        <v>3</v>
      </c>
      <c r="J1575" s="9">
        <v>0</v>
      </c>
      <c r="K1575" s="9">
        <v>0</v>
      </c>
      <c r="L1575" s="9">
        <v>0</v>
      </c>
      <c r="M1575" s="9">
        <v>0</v>
      </c>
      <c r="N1575" s="9">
        <v>0</v>
      </c>
      <c r="O1575" s="9">
        <v>0</v>
      </c>
      <c r="P1575" s="9">
        <v>0</v>
      </c>
      <c r="Q1575" s="9">
        <v>0</v>
      </c>
      <c r="R1575" s="9">
        <v>0</v>
      </c>
      <c r="S1575" s="9">
        <v>0</v>
      </c>
      <c r="T1575" s="9">
        <v>0</v>
      </c>
      <c r="U1575" s="9">
        <v>0</v>
      </c>
      <c r="V1575" s="9">
        <v>1</v>
      </c>
      <c r="W1575" s="9">
        <v>0</v>
      </c>
      <c r="X1575" s="9">
        <v>0</v>
      </c>
      <c r="Y1575" s="9">
        <v>0</v>
      </c>
      <c r="Z1575" s="9">
        <v>0</v>
      </c>
      <c r="AA1575" s="9">
        <v>0</v>
      </c>
      <c r="AB1575" s="9">
        <v>0</v>
      </c>
      <c r="AC1575" s="9">
        <v>0</v>
      </c>
      <c r="AD1575" s="53" t="e">
        <f>#REF!*D1575</f>
        <v>#REF!</v>
      </c>
      <c r="AE1575" s="53" t="e">
        <f>AD1575-#REF!</f>
        <v>#REF!</v>
      </c>
      <c r="AF1575" s="9"/>
      <c r="AG1575" s="33" t="e">
        <f>#REF!-D1575</f>
        <v>#REF!</v>
      </c>
    </row>
    <row r="1576" spans="1:33" s="12" customFormat="1" ht="20.399999999999999" outlineLevel="1" x14ac:dyDescent="0.2">
      <c r="A1576" s="62" t="s">
        <v>1775</v>
      </c>
      <c r="B1576" s="47" t="s">
        <v>355</v>
      </c>
      <c r="C1576" s="8" t="s">
        <v>47</v>
      </c>
      <c r="D1576" s="25">
        <f t="shared" si="378"/>
        <v>2</v>
      </c>
      <c r="E1576" s="54"/>
      <c r="F1576" s="9"/>
      <c r="G1576" s="9">
        <v>0</v>
      </c>
      <c r="H1576" s="9">
        <v>0</v>
      </c>
      <c r="I1576" s="9">
        <v>0</v>
      </c>
      <c r="J1576" s="9">
        <v>2</v>
      </c>
      <c r="K1576" s="9">
        <v>0</v>
      </c>
      <c r="L1576" s="9">
        <v>0</v>
      </c>
      <c r="M1576" s="9">
        <v>0</v>
      </c>
      <c r="N1576" s="9">
        <v>0</v>
      </c>
      <c r="O1576" s="9">
        <v>0</v>
      </c>
      <c r="P1576" s="9">
        <v>0</v>
      </c>
      <c r="Q1576" s="9">
        <v>0</v>
      </c>
      <c r="R1576" s="9">
        <v>0</v>
      </c>
      <c r="S1576" s="9">
        <v>0</v>
      </c>
      <c r="T1576" s="9">
        <v>0</v>
      </c>
      <c r="U1576" s="9">
        <v>0</v>
      </c>
      <c r="V1576" s="9">
        <v>0</v>
      </c>
      <c r="W1576" s="9">
        <v>0</v>
      </c>
      <c r="X1576" s="9">
        <v>0</v>
      </c>
      <c r="Y1576" s="9">
        <v>0</v>
      </c>
      <c r="Z1576" s="9">
        <v>0</v>
      </c>
      <c r="AA1576" s="9">
        <v>0</v>
      </c>
      <c r="AB1576" s="9">
        <v>0</v>
      </c>
      <c r="AC1576" s="9">
        <v>0</v>
      </c>
      <c r="AD1576" s="53" t="e">
        <f>#REF!*D1576</f>
        <v>#REF!</v>
      </c>
      <c r="AE1576" s="53" t="e">
        <f>AD1576-#REF!</f>
        <v>#REF!</v>
      </c>
      <c r="AF1576" s="8"/>
      <c r="AG1576" s="33" t="e">
        <f>#REF!-D1576</f>
        <v>#REF!</v>
      </c>
    </row>
    <row r="1577" spans="1:33" s="12" customFormat="1" ht="20.399999999999999" outlineLevel="1" x14ac:dyDescent="0.2">
      <c r="A1577" s="62" t="s">
        <v>1776</v>
      </c>
      <c r="B1577" s="47" t="s">
        <v>1747</v>
      </c>
      <c r="C1577" s="8" t="s">
        <v>47</v>
      </c>
      <c r="D1577" s="25">
        <f t="shared" si="378"/>
        <v>2</v>
      </c>
      <c r="E1577" s="54"/>
      <c r="F1577" s="9"/>
      <c r="G1577" s="9">
        <v>0</v>
      </c>
      <c r="H1577" s="9">
        <v>0</v>
      </c>
      <c r="I1577" s="9">
        <v>0</v>
      </c>
      <c r="J1577" s="9">
        <v>0</v>
      </c>
      <c r="K1577" s="9">
        <v>0</v>
      </c>
      <c r="L1577" s="9">
        <v>0</v>
      </c>
      <c r="M1577" s="9">
        <v>1</v>
      </c>
      <c r="N1577" s="9">
        <v>0</v>
      </c>
      <c r="O1577" s="9">
        <v>0</v>
      </c>
      <c r="P1577" s="9">
        <v>0</v>
      </c>
      <c r="Q1577" s="9">
        <v>0</v>
      </c>
      <c r="R1577" s="9">
        <v>0</v>
      </c>
      <c r="S1577" s="9">
        <v>1</v>
      </c>
      <c r="T1577" s="9">
        <v>0</v>
      </c>
      <c r="U1577" s="9">
        <v>0</v>
      </c>
      <c r="V1577" s="9">
        <v>0</v>
      </c>
      <c r="W1577" s="9">
        <v>0</v>
      </c>
      <c r="X1577" s="9">
        <v>0</v>
      </c>
      <c r="Y1577" s="9">
        <v>0</v>
      </c>
      <c r="Z1577" s="9">
        <v>0</v>
      </c>
      <c r="AA1577" s="9">
        <v>0</v>
      </c>
      <c r="AB1577" s="9">
        <v>0</v>
      </c>
      <c r="AC1577" s="9">
        <v>0</v>
      </c>
      <c r="AD1577" s="53" t="e">
        <f>#REF!*D1577</f>
        <v>#REF!</v>
      </c>
      <c r="AE1577" s="53" t="e">
        <f>AD1577-#REF!</f>
        <v>#REF!</v>
      </c>
      <c r="AF1577" s="8"/>
      <c r="AG1577" s="33" t="e">
        <f>#REF!-D1577</f>
        <v>#REF!</v>
      </c>
    </row>
    <row r="1578" spans="1:33" s="12" customFormat="1" ht="20.399999999999999" outlineLevel="1" x14ac:dyDescent="0.2">
      <c r="A1578" s="62" t="s">
        <v>1777</v>
      </c>
      <c r="B1578" s="47" t="s">
        <v>1651</v>
      </c>
      <c r="C1578" s="8" t="s">
        <v>47</v>
      </c>
      <c r="D1578" s="25">
        <f t="shared" si="378"/>
        <v>30</v>
      </c>
      <c r="E1578" s="54"/>
      <c r="F1578" s="9"/>
      <c r="G1578" s="9">
        <v>0</v>
      </c>
      <c r="H1578" s="9">
        <v>0</v>
      </c>
      <c r="I1578" s="9">
        <v>11</v>
      </c>
      <c r="J1578" s="9">
        <v>0</v>
      </c>
      <c r="K1578" s="9">
        <v>0</v>
      </c>
      <c r="L1578" s="9">
        <v>0</v>
      </c>
      <c r="M1578" s="9">
        <v>5</v>
      </c>
      <c r="N1578" s="9">
        <v>0</v>
      </c>
      <c r="O1578" s="9">
        <v>0</v>
      </c>
      <c r="P1578" s="9">
        <v>0</v>
      </c>
      <c r="Q1578" s="9">
        <v>0</v>
      </c>
      <c r="R1578" s="9">
        <v>0</v>
      </c>
      <c r="S1578" s="9">
        <v>0</v>
      </c>
      <c r="T1578" s="9">
        <v>0</v>
      </c>
      <c r="U1578" s="9">
        <v>0</v>
      </c>
      <c r="V1578" s="9">
        <v>3</v>
      </c>
      <c r="W1578" s="9">
        <v>0</v>
      </c>
      <c r="X1578" s="9">
        <v>11</v>
      </c>
      <c r="Y1578" s="9">
        <v>0</v>
      </c>
      <c r="Z1578" s="9">
        <v>0</v>
      </c>
      <c r="AA1578" s="9">
        <v>0</v>
      </c>
      <c r="AB1578" s="9">
        <v>0</v>
      </c>
      <c r="AC1578" s="9">
        <v>0</v>
      </c>
      <c r="AD1578" s="53" t="e">
        <f>#REF!*D1578</f>
        <v>#REF!</v>
      </c>
      <c r="AE1578" s="53" t="e">
        <f>AD1578-#REF!</f>
        <v>#REF!</v>
      </c>
      <c r="AF1578" s="8"/>
      <c r="AG1578" s="33" t="e">
        <f>#REF!-D1578</f>
        <v>#REF!</v>
      </c>
    </row>
    <row r="1579" spans="1:33" s="12" customFormat="1" ht="20.399999999999999" outlineLevel="1" x14ac:dyDescent="0.2">
      <c r="A1579" s="62" t="s">
        <v>1778</v>
      </c>
      <c r="B1579" s="47" t="s">
        <v>176</v>
      </c>
      <c r="C1579" s="9" t="s">
        <v>47</v>
      </c>
      <c r="D1579" s="25">
        <f t="shared" si="378"/>
        <v>31</v>
      </c>
      <c r="E1579" s="54"/>
      <c r="F1579" s="9"/>
      <c r="G1579" s="9">
        <v>0</v>
      </c>
      <c r="H1579" s="9">
        <v>0</v>
      </c>
      <c r="I1579" s="9">
        <v>0</v>
      </c>
      <c r="J1579" s="9">
        <v>4</v>
      </c>
      <c r="K1579" s="9">
        <v>0</v>
      </c>
      <c r="L1579" s="9">
        <v>0</v>
      </c>
      <c r="M1579" s="9">
        <v>11</v>
      </c>
      <c r="N1579" s="9">
        <v>2</v>
      </c>
      <c r="O1579" s="9">
        <v>0</v>
      </c>
      <c r="P1579" s="9">
        <v>0</v>
      </c>
      <c r="Q1579" s="9">
        <v>0</v>
      </c>
      <c r="R1579" s="9">
        <v>0</v>
      </c>
      <c r="S1579" s="9">
        <v>12</v>
      </c>
      <c r="T1579" s="9">
        <v>0</v>
      </c>
      <c r="U1579" s="9">
        <v>0</v>
      </c>
      <c r="V1579" s="9">
        <v>0</v>
      </c>
      <c r="W1579" s="9">
        <v>2</v>
      </c>
      <c r="X1579" s="9">
        <v>0</v>
      </c>
      <c r="Y1579" s="9">
        <v>0</v>
      </c>
      <c r="Z1579" s="9">
        <v>0</v>
      </c>
      <c r="AA1579" s="9">
        <v>0</v>
      </c>
      <c r="AB1579" s="9">
        <v>0</v>
      </c>
      <c r="AC1579" s="9">
        <v>0</v>
      </c>
      <c r="AD1579" s="53" t="e">
        <f>#REF!*D1579</f>
        <v>#REF!</v>
      </c>
      <c r="AE1579" s="53" t="e">
        <f>AD1579-#REF!</f>
        <v>#REF!</v>
      </c>
      <c r="AF1579" s="9"/>
      <c r="AG1579" s="33" t="e">
        <f>#REF!-D1579</f>
        <v>#REF!</v>
      </c>
    </row>
    <row r="1580" spans="1:33" s="12" customFormat="1" ht="20.399999999999999" outlineLevel="1" x14ac:dyDescent="0.2">
      <c r="A1580" s="62" t="s">
        <v>1779</v>
      </c>
      <c r="B1580" s="47" t="s">
        <v>358</v>
      </c>
      <c r="C1580" s="9" t="s">
        <v>47</v>
      </c>
      <c r="D1580" s="25">
        <f t="shared" si="378"/>
        <v>13</v>
      </c>
      <c r="E1580" s="54"/>
      <c r="F1580" s="9"/>
      <c r="G1580" s="9">
        <v>0</v>
      </c>
      <c r="H1580" s="9">
        <v>0</v>
      </c>
      <c r="I1580" s="9">
        <v>0</v>
      </c>
      <c r="J1580" s="9">
        <v>6</v>
      </c>
      <c r="K1580" s="9">
        <v>1</v>
      </c>
      <c r="L1580" s="9">
        <v>0</v>
      </c>
      <c r="M1580" s="9">
        <v>0</v>
      </c>
      <c r="N1580" s="9">
        <v>0</v>
      </c>
      <c r="O1580" s="9">
        <v>0</v>
      </c>
      <c r="P1580" s="9">
        <v>0</v>
      </c>
      <c r="Q1580" s="9">
        <v>0</v>
      </c>
      <c r="R1580" s="9">
        <v>0</v>
      </c>
      <c r="S1580" s="9">
        <v>0</v>
      </c>
      <c r="T1580" s="9">
        <v>0</v>
      </c>
      <c r="U1580" s="9">
        <v>0</v>
      </c>
      <c r="V1580" s="9">
        <v>0</v>
      </c>
      <c r="W1580" s="9">
        <v>3</v>
      </c>
      <c r="X1580" s="9">
        <v>1</v>
      </c>
      <c r="Y1580" s="9">
        <v>0</v>
      </c>
      <c r="Z1580" s="9">
        <v>0</v>
      </c>
      <c r="AA1580" s="9">
        <v>2</v>
      </c>
      <c r="AB1580" s="9">
        <v>0</v>
      </c>
      <c r="AC1580" s="9">
        <v>0</v>
      </c>
      <c r="AD1580" s="53" t="e">
        <f>#REF!*D1580</f>
        <v>#REF!</v>
      </c>
      <c r="AE1580" s="53" t="e">
        <f>AD1580-#REF!</f>
        <v>#REF!</v>
      </c>
      <c r="AF1580" s="9"/>
      <c r="AG1580" s="33" t="e">
        <f>#REF!-D1580</f>
        <v>#REF!</v>
      </c>
    </row>
    <row r="1581" spans="1:33" s="12" customFormat="1" ht="12" customHeight="1" outlineLevel="1" x14ac:dyDescent="0.2">
      <c r="A1581" s="62" t="s">
        <v>1780</v>
      </c>
      <c r="B1581" s="11" t="s">
        <v>103</v>
      </c>
      <c r="C1581" s="9" t="s">
        <v>0</v>
      </c>
      <c r="D1581" s="25">
        <f t="shared" si="378"/>
        <v>53</v>
      </c>
      <c r="E1581" s="54"/>
      <c r="F1581" s="9"/>
      <c r="G1581" s="49">
        <f t="shared" ref="G1581:AC1581" si="384">MROUND(SUM(G1553:G1577)*5/90,1)</f>
        <v>1</v>
      </c>
      <c r="H1581" s="49">
        <f t="shared" si="384"/>
        <v>6</v>
      </c>
      <c r="I1581" s="49">
        <f t="shared" si="384"/>
        <v>11</v>
      </c>
      <c r="J1581" s="49">
        <f t="shared" si="384"/>
        <v>5</v>
      </c>
      <c r="K1581" s="49">
        <f t="shared" si="384"/>
        <v>0</v>
      </c>
      <c r="L1581" s="49">
        <f t="shared" si="384"/>
        <v>0</v>
      </c>
      <c r="M1581" s="49">
        <f t="shared" si="384"/>
        <v>9</v>
      </c>
      <c r="N1581" s="49">
        <f t="shared" si="384"/>
        <v>2</v>
      </c>
      <c r="O1581" s="49">
        <f t="shared" si="384"/>
        <v>0</v>
      </c>
      <c r="P1581" s="49">
        <f t="shared" si="384"/>
        <v>0</v>
      </c>
      <c r="Q1581" s="49">
        <f t="shared" si="384"/>
        <v>0</v>
      </c>
      <c r="R1581" s="49">
        <f t="shared" si="384"/>
        <v>0</v>
      </c>
      <c r="S1581" s="49">
        <f t="shared" si="384"/>
        <v>7</v>
      </c>
      <c r="T1581" s="49">
        <f t="shared" si="384"/>
        <v>3</v>
      </c>
      <c r="U1581" s="49">
        <f t="shared" si="384"/>
        <v>3</v>
      </c>
      <c r="V1581" s="49">
        <f t="shared" si="384"/>
        <v>3</v>
      </c>
      <c r="W1581" s="49">
        <f t="shared" si="384"/>
        <v>2</v>
      </c>
      <c r="X1581" s="49">
        <f t="shared" si="384"/>
        <v>1</v>
      </c>
      <c r="Y1581" s="49">
        <f t="shared" si="384"/>
        <v>0</v>
      </c>
      <c r="Z1581" s="49">
        <f t="shared" si="384"/>
        <v>0</v>
      </c>
      <c r="AA1581" s="49">
        <f t="shared" si="384"/>
        <v>0</v>
      </c>
      <c r="AB1581" s="49">
        <f t="shared" si="384"/>
        <v>0</v>
      </c>
      <c r="AC1581" s="49">
        <f t="shared" si="384"/>
        <v>0</v>
      </c>
      <c r="AD1581" s="53" t="e">
        <f>#REF!*D1581</f>
        <v>#REF!</v>
      </c>
      <c r="AE1581" s="53" t="e">
        <f>AD1581-#REF!</f>
        <v>#REF!</v>
      </c>
      <c r="AF1581" s="9"/>
      <c r="AG1581" s="33" t="e">
        <f>#REF!-D1581</f>
        <v>#REF!</v>
      </c>
    </row>
    <row r="1582" spans="1:33" s="12" customFormat="1" ht="20.399999999999999" outlineLevel="1" x14ac:dyDescent="0.2">
      <c r="A1582" s="62" t="s">
        <v>1781</v>
      </c>
      <c r="B1582" s="14" t="s">
        <v>106</v>
      </c>
      <c r="C1582" s="8" t="s">
        <v>49</v>
      </c>
      <c r="D1582" s="25">
        <f t="shared" si="378"/>
        <v>3</v>
      </c>
      <c r="E1582" s="54"/>
      <c r="F1582" s="9"/>
      <c r="G1582" s="49">
        <f t="shared" ref="G1582:AC1582" si="385">MROUND(G1581*0.075,1)</f>
        <v>0</v>
      </c>
      <c r="H1582" s="49">
        <f t="shared" si="385"/>
        <v>0</v>
      </c>
      <c r="I1582" s="49">
        <f t="shared" si="385"/>
        <v>1</v>
      </c>
      <c r="J1582" s="49">
        <f t="shared" si="385"/>
        <v>0</v>
      </c>
      <c r="K1582" s="49">
        <f t="shared" si="385"/>
        <v>0</v>
      </c>
      <c r="L1582" s="49">
        <f t="shared" si="385"/>
        <v>0</v>
      </c>
      <c r="M1582" s="49">
        <f t="shared" si="385"/>
        <v>1</v>
      </c>
      <c r="N1582" s="49">
        <f t="shared" si="385"/>
        <v>0</v>
      </c>
      <c r="O1582" s="49">
        <f t="shared" si="385"/>
        <v>0</v>
      </c>
      <c r="P1582" s="49">
        <f t="shared" si="385"/>
        <v>0</v>
      </c>
      <c r="Q1582" s="49">
        <f t="shared" si="385"/>
        <v>0</v>
      </c>
      <c r="R1582" s="49">
        <f t="shared" si="385"/>
        <v>0</v>
      </c>
      <c r="S1582" s="49">
        <f t="shared" si="385"/>
        <v>1</v>
      </c>
      <c r="T1582" s="49">
        <f t="shared" si="385"/>
        <v>0</v>
      </c>
      <c r="U1582" s="49">
        <f t="shared" si="385"/>
        <v>0</v>
      </c>
      <c r="V1582" s="49">
        <f t="shared" si="385"/>
        <v>0</v>
      </c>
      <c r="W1582" s="49">
        <f t="shared" si="385"/>
        <v>0</v>
      </c>
      <c r="X1582" s="49">
        <f t="shared" si="385"/>
        <v>0</v>
      </c>
      <c r="Y1582" s="49">
        <f t="shared" si="385"/>
        <v>0</v>
      </c>
      <c r="Z1582" s="49">
        <f t="shared" si="385"/>
        <v>0</v>
      </c>
      <c r="AA1582" s="49">
        <f t="shared" si="385"/>
        <v>0</v>
      </c>
      <c r="AB1582" s="49">
        <f t="shared" si="385"/>
        <v>0</v>
      </c>
      <c r="AC1582" s="49">
        <f t="shared" si="385"/>
        <v>0</v>
      </c>
      <c r="AD1582" s="53" t="e">
        <f>#REF!*D1582</f>
        <v>#REF!</v>
      </c>
      <c r="AE1582" s="53" t="e">
        <f>AD1582-#REF!</f>
        <v>#REF!</v>
      </c>
      <c r="AF1582" s="8"/>
      <c r="AG1582" s="33" t="e">
        <f>#REF!-D1582</f>
        <v>#REF!</v>
      </c>
    </row>
    <row r="1583" spans="1:33" s="12" customFormat="1" ht="20.399999999999999" outlineLevel="1" x14ac:dyDescent="0.2">
      <c r="A1583" s="62" t="s">
        <v>1782</v>
      </c>
      <c r="B1583" s="14" t="s">
        <v>69</v>
      </c>
      <c r="C1583" s="9" t="s">
        <v>47</v>
      </c>
      <c r="D1583" s="25">
        <f t="shared" si="378"/>
        <v>240</v>
      </c>
      <c r="E1583" s="54"/>
      <c r="F1583" s="9"/>
      <c r="G1583" s="9">
        <v>0</v>
      </c>
      <c r="H1583" s="9">
        <v>0</v>
      </c>
      <c r="I1583" s="9">
        <v>80</v>
      </c>
      <c r="J1583" s="9">
        <v>0</v>
      </c>
      <c r="K1583" s="9">
        <v>0</v>
      </c>
      <c r="L1583" s="9">
        <v>0</v>
      </c>
      <c r="M1583" s="9">
        <v>90</v>
      </c>
      <c r="N1583" s="9">
        <v>10</v>
      </c>
      <c r="O1583" s="9">
        <v>0</v>
      </c>
      <c r="P1583" s="9">
        <v>0</v>
      </c>
      <c r="Q1583" s="9">
        <v>0</v>
      </c>
      <c r="R1583" s="9">
        <v>0</v>
      </c>
      <c r="S1583" s="9">
        <v>40</v>
      </c>
      <c r="T1583" s="9">
        <v>0</v>
      </c>
      <c r="U1583" s="9">
        <v>0</v>
      </c>
      <c r="V1583" s="9">
        <v>20</v>
      </c>
      <c r="W1583" s="9">
        <v>0</v>
      </c>
      <c r="X1583" s="9">
        <v>0</v>
      </c>
      <c r="Y1583" s="9">
        <v>0</v>
      </c>
      <c r="Z1583" s="9">
        <v>0</v>
      </c>
      <c r="AA1583" s="9">
        <v>0</v>
      </c>
      <c r="AB1583" s="9">
        <v>0</v>
      </c>
      <c r="AC1583" s="9">
        <v>0</v>
      </c>
      <c r="AD1583" s="53" t="e">
        <f>#REF!*D1583</f>
        <v>#REF!</v>
      </c>
      <c r="AE1583" s="53" t="e">
        <f>AD1583-#REF!</f>
        <v>#REF!</v>
      </c>
      <c r="AF1583" s="9"/>
      <c r="AG1583" s="33" t="e">
        <f>#REF!-D1583</f>
        <v>#REF!</v>
      </c>
    </row>
    <row r="1584" spans="1:33" s="12" customFormat="1" ht="20.399999999999999" outlineLevel="1" x14ac:dyDescent="0.2">
      <c r="A1584" s="62" t="s">
        <v>1783</v>
      </c>
      <c r="B1584" s="14" t="s">
        <v>110</v>
      </c>
      <c r="C1584" s="9" t="s">
        <v>48</v>
      </c>
      <c r="D1584" s="25">
        <f t="shared" si="378"/>
        <v>63</v>
      </c>
      <c r="E1584" s="54"/>
      <c r="F1584" s="9"/>
      <c r="G1584" s="49">
        <f t="shared" ref="G1584:AC1584" si="386">MROUND(G1583*0.25,3)</f>
        <v>0</v>
      </c>
      <c r="H1584" s="49">
        <f t="shared" si="386"/>
        <v>0</v>
      </c>
      <c r="I1584" s="49">
        <f t="shared" si="386"/>
        <v>21</v>
      </c>
      <c r="J1584" s="49">
        <f t="shared" si="386"/>
        <v>0</v>
      </c>
      <c r="K1584" s="49">
        <f t="shared" si="386"/>
        <v>0</v>
      </c>
      <c r="L1584" s="49">
        <f t="shared" si="386"/>
        <v>0</v>
      </c>
      <c r="M1584" s="49">
        <f t="shared" si="386"/>
        <v>24</v>
      </c>
      <c r="N1584" s="49">
        <f t="shared" si="386"/>
        <v>3</v>
      </c>
      <c r="O1584" s="49">
        <f t="shared" si="386"/>
        <v>0</v>
      </c>
      <c r="P1584" s="49">
        <f t="shared" si="386"/>
        <v>0</v>
      </c>
      <c r="Q1584" s="49">
        <f t="shared" si="386"/>
        <v>0</v>
      </c>
      <c r="R1584" s="49">
        <f t="shared" si="386"/>
        <v>0</v>
      </c>
      <c r="S1584" s="49">
        <f t="shared" si="386"/>
        <v>9</v>
      </c>
      <c r="T1584" s="49">
        <f t="shared" si="386"/>
        <v>0</v>
      </c>
      <c r="U1584" s="49">
        <f t="shared" si="386"/>
        <v>0</v>
      </c>
      <c r="V1584" s="49">
        <f t="shared" si="386"/>
        <v>6</v>
      </c>
      <c r="W1584" s="49">
        <f t="shared" si="386"/>
        <v>0</v>
      </c>
      <c r="X1584" s="49">
        <f t="shared" si="386"/>
        <v>0</v>
      </c>
      <c r="Y1584" s="49">
        <f t="shared" si="386"/>
        <v>0</v>
      </c>
      <c r="Z1584" s="49">
        <f t="shared" si="386"/>
        <v>0</v>
      </c>
      <c r="AA1584" s="49">
        <f t="shared" si="386"/>
        <v>0</v>
      </c>
      <c r="AB1584" s="49">
        <f t="shared" si="386"/>
        <v>0</v>
      </c>
      <c r="AC1584" s="49">
        <f t="shared" si="386"/>
        <v>0</v>
      </c>
      <c r="AD1584" s="53" t="e">
        <f>#REF!*D1584</f>
        <v>#REF!</v>
      </c>
      <c r="AE1584" s="53" t="e">
        <f>AD1584-#REF!</f>
        <v>#REF!</v>
      </c>
      <c r="AF1584" s="9"/>
      <c r="AG1584" s="33" t="e">
        <f>#REF!-D1584</f>
        <v>#REF!</v>
      </c>
    </row>
    <row r="1585" spans="1:37" s="12" customFormat="1" ht="20.399999999999999" outlineLevel="1" x14ac:dyDescent="0.2">
      <c r="A1585" s="62" t="s">
        <v>1784</v>
      </c>
      <c r="B1585" s="14" t="s">
        <v>112</v>
      </c>
      <c r="C1585" s="9" t="s">
        <v>47</v>
      </c>
      <c r="D1585" s="25">
        <f t="shared" si="378"/>
        <v>480</v>
      </c>
      <c r="E1585" s="54"/>
      <c r="F1585" s="9"/>
      <c r="G1585" s="49">
        <f t="shared" ref="G1585:AC1585" si="387">G1583*2</f>
        <v>0</v>
      </c>
      <c r="H1585" s="49">
        <f t="shared" si="387"/>
        <v>0</v>
      </c>
      <c r="I1585" s="49">
        <f t="shared" si="387"/>
        <v>160</v>
      </c>
      <c r="J1585" s="49">
        <f t="shared" si="387"/>
        <v>0</v>
      </c>
      <c r="K1585" s="49">
        <f t="shared" si="387"/>
        <v>0</v>
      </c>
      <c r="L1585" s="49">
        <f t="shared" si="387"/>
        <v>0</v>
      </c>
      <c r="M1585" s="49">
        <f t="shared" si="387"/>
        <v>180</v>
      </c>
      <c r="N1585" s="49">
        <f t="shared" si="387"/>
        <v>20</v>
      </c>
      <c r="O1585" s="49">
        <f t="shared" si="387"/>
        <v>0</v>
      </c>
      <c r="P1585" s="49">
        <f t="shared" si="387"/>
        <v>0</v>
      </c>
      <c r="Q1585" s="49">
        <f t="shared" si="387"/>
        <v>0</v>
      </c>
      <c r="R1585" s="49">
        <f t="shared" si="387"/>
        <v>0</v>
      </c>
      <c r="S1585" s="49">
        <f t="shared" si="387"/>
        <v>80</v>
      </c>
      <c r="T1585" s="49">
        <f t="shared" si="387"/>
        <v>0</v>
      </c>
      <c r="U1585" s="49">
        <f t="shared" si="387"/>
        <v>0</v>
      </c>
      <c r="V1585" s="49">
        <f t="shared" si="387"/>
        <v>40</v>
      </c>
      <c r="W1585" s="49">
        <f t="shared" si="387"/>
        <v>0</v>
      </c>
      <c r="X1585" s="49">
        <f t="shared" si="387"/>
        <v>0</v>
      </c>
      <c r="Y1585" s="49">
        <f t="shared" si="387"/>
        <v>0</v>
      </c>
      <c r="Z1585" s="49">
        <f t="shared" si="387"/>
        <v>0</v>
      </c>
      <c r="AA1585" s="49">
        <f t="shared" si="387"/>
        <v>0</v>
      </c>
      <c r="AB1585" s="49">
        <f t="shared" si="387"/>
        <v>0</v>
      </c>
      <c r="AC1585" s="49">
        <f t="shared" si="387"/>
        <v>0</v>
      </c>
      <c r="AD1585" s="53" t="e">
        <f>#REF!*D1585</f>
        <v>#REF!</v>
      </c>
      <c r="AE1585" s="53" t="e">
        <f>AD1585-#REF!</f>
        <v>#REF!</v>
      </c>
      <c r="AF1585" s="9"/>
      <c r="AG1585" s="33" t="e">
        <f>#REF!-D1585</f>
        <v>#REF!</v>
      </c>
    </row>
    <row r="1586" spans="1:37" s="12" customFormat="1" ht="20.399999999999999" outlineLevel="1" x14ac:dyDescent="0.2">
      <c r="A1586" s="62" t="s">
        <v>1785</v>
      </c>
      <c r="B1586" s="14" t="s">
        <v>1032</v>
      </c>
      <c r="C1586" s="9" t="s">
        <v>47</v>
      </c>
      <c r="D1586" s="25">
        <f t="shared" si="378"/>
        <v>240</v>
      </c>
      <c r="E1586" s="54"/>
      <c r="F1586" s="9"/>
      <c r="G1586" s="49">
        <f t="shared" ref="G1586:AC1586" si="388">G1583</f>
        <v>0</v>
      </c>
      <c r="H1586" s="49">
        <f t="shared" si="388"/>
        <v>0</v>
      </c>
      <c r="I1586" s="49">
        <f t="shared" si="388"/>
        <v>80</v>
      </c>
      <c r="J1586" s="49">
        <f t="shared" si="388"/>
        <v>0</v>
      </c>
      <c r="K1586" s="49">
        <f t="shared" si="388"/>
        <v>0</v>
      </c>
      <c r="L1586" s="49">
        <f t="shared" si="388"/>
        <v>0</v>
      </c>
      <c r="M1586" s="49">
        <f t="shared" si="388"/>
        <v>90</v>
      </c>
      <c r="N1586" s="49">
        <f t="shared" si="388"/>
        <v>10</v>
      </c>
      <c r="O1586" s="49">
        <f t="shared" si="388"/>
        <v>0</v>
      </c>
      <c r="P1586" s="49">
        <f t="shared" si="388"/>
        <v>0</v>
      </c>
      <c r="Q1586" s="49">
        <f t="shared" si="388"/>
        <v>0</v>
      </c>
      <c r="R1586" s="49">
        <f t="shared" si="388"/>
        <v>0</v>
      </c>
      <c r="S1586" s="49">
        <f t="shared" si="388"/>
        <v>40</v>
      </c>
      <c r="T1586" s="49">
        <f t="shared" si="388"/>
        <v>0</v>
      </c>
      <c r="U1586" s="49">
        <f t="shared" si="388"/>
        <v>0</v>
      </c>
      <c r="V1586" s="49">
        <f t="shared" si="388"/>
        <v>20</v>
      </c>
      <c r="W1586" s="49">
        <f t="shared" si="388"/>
        <v>0</v>
      </c>
      <c r="X1586" s="49">
        <f t="shared" si="388"/>
        <v>0</v>
      </c>
      <c r="Y1586" s="49">
        <f t="shared" si="388"/>
        <v>0</v>
      </c>
      <c r="Z1586" s="49">
        <f t="shared" si="388"/>
        <v>0</v>
      </c>
      <c r="AA1586" s="49">
        <f t="shared" si="388"/>
        <v>0</v>
      </c>
      <c r="AB1586" s="49">
        <f t="shared" si="388"/>
        <v>0</v>
      </c>
      <c r="AC1586" s="49">
        <f t="shared" si="388"/>
        <v>0</v>
      </c>
      <c r="AD1586" s="53" t="e">
        <f>#REF!*D1586</f>
        <v>#REF!</v>
      </c>
      <c r="AE1586" s="53" t="e">
        <f>AD1586-#REF!</f>
        <v>#REF!</v>
      </c>
      <c r="AF1586" s="9"/>
      <c r="AG1586" s="33" t="e">
        <f>#REF!-D1586</f>
        <v>#REF!</v>
      </c>
    </row>
    <row r="1587" spans="1:37" s="12" customFormat="1" ht="20.399999999999999" outlineLevel="1" x14ac:dyDescent="0.2">
      <c r="A1587" s="62" t="s">
        <v>1786</v>
      </c>
      <c r="B1587" s="97" t="s">
        <v>1748</v>
      </c>
      <c r="C1587" s="9" t="s">
        <v>47</v>
      </c>
      <c r="D1587" s="25">
        <f t="shared" si="378"/>
        <v>1</v>
      </c>
      <c r="E1587" s="54"/>
      <c r="F1587" s="9"/>
      <c r="G1587" s="9">
        <v>0</v>
      </c>
      <c r="H1587" s="9">
        <v>1</v>
      </c>
      <c r="I1587" s="9">
        <v>0</v>
      </c>
      <c r="J1587" s="9">
        <v>0</v>
      </c>
      <c r="K1587" s="9">
        <v>0</v>
      </c>
      <c r="L1587" s="9">
        <v>0</v>
      </c>
      <c r="M1587" s="9">
        <v>0</v>
      </c>
      <c r="N1587" s="9">
        <v>0</v>
      </c>
      <c r="O1587" s="9">
        <v>0</v>
      </c>
      <c r="P1587" s="9">
        <v>0</v>
      </c>
      <c r="Q1587" s="9">
        <v>0</v>
      </c>
      <c r="R1587" s="9">
        <v>0</v>
      </c>
      <c r="S1587" s="9">
        <v>0</v>
      </c>
      <c r="T1587" s="9">
        <v>0</v>
      </c>
      <c r="U1587" s="9">
        <v>0</v>
      </c>
      <c r="V1587" s="9">
        <v>0</v>
      </c>
      <c r="W1587" s="9">
        <v>0</v>
      </c>
      <c r="X1587" s="9">
        <v>0</v>
      </c>
      <c r="Y1587" s="9">
        <v>0</v>
      </c>
      <c r="Z1587" s="9">
        <v>0</v>
      </c>
      <c r="AA1587" s="9">
        <v>0</v>
      </c>
      <c r="AB1587" s="9">
        <v>0</v>
      </c>
      <c r="AC1587" s="9">
        <v>0</v>
      </c>
      <c r="AD1587" s="53" t="e">
        <f>#REF!*D1587</f>
        <v>#REF!</v>
      </c>
      <c r="AE1587" s="53" t="e">
        <f>AD1587-#REF!</f>
        <v>#REF!</v>
      </c>
      <c r="AF1587" s="8"/>
      <c r="AG1587" s="33" t="e">
        <f>#REF!-D1587</f>
        <v>#REF!</v>
      </c>
    </row>
    <row r="1588" spans="1:37" s="12" customFormat="1" ht="12" customHeight="1" outlineLevel="1" x14ac:dyDescent="0.2">
      <c r="A1588" s="8"/>
      <c r="B1588" s="11"/>
      <c r="C1588" s="8"/>
      <c r="D1588" s="25"/>
      <c r="E1588" s="54"/>
      <c r="F1588" s="9"/>
      <c r="G1588" s="9"/>
      <c r="H1588" s="9"/>
      <c r="I1588" s="9"/>
      <c r="J1588" s="9"/>
      <c r="K1588" s="9"/>
      <c r="L1588" s="9"/>
      <c r="M1588" s="9"/>
      <c r="N1588" s="9"/>
      <c r="O1588" s="9"/>
      <c r="P1588" s="9"/>
      <c r="Q1588" s="9"/>
      <c r="R1588" s="9"/>
      <c r="S1588" s="9"/>
      <c r="T1588" s="9"/>
      <c r="U1588" s="9"/>
      <c r="V1588" s="9"/>
      <c r="W1588" s="9"/>
      <c r="X1588" s="9"/>
      <c r="Y1588" s="9"/>
      <c r="Z1588" s="9"/>
      <c r="AA1588" s="9"/>
      <c r="AB1588" s="9"/>
      <c r="AC1588" s="9"/>
      <c r="AD1588" s="53" t="e">
        <f>#REF!*D1588</f>
        <v>#REF!</v>
      </c>
      <c r="AE1588" s="53" t="e">
        <f>AD1588-#REF!</f>
        <v>#REF!</v>
      </c>
      <c r="AF1588" s="8"/>
      <c r="AG1588" s="33" t="e">
        <f>#REF!-D1588</f>
        <v>#REF!</v>
      </c>
    </row>
    <row r="1589" spans="1:37" x14ac:dyDescent="0.25">
      <c r="A1589" s="18" t="s">
        <v>511</v>
      </c>
      <c r="B1589" s="35" t="s">
        <v>389</v>
      </c>
      <c r="C1589" s="18" t="s">
        <v>41</v>
      </c>
      <c r="D1589" s="52" t="e">
        <f>#REF!/#REF!*100</f>
        <v>#REF!</v>
      </c>
      <c r="E1589" s="54"/>
      <c r="G1589" s="9"/>
      <c r="H1589" s="81"/>
      <c r="I1589" s="81"/>
      <c r="J1589" s="81"/>
      <c r="K1589" s="81"/>
      <c r="L1589" s="81"/>
      <c r="M1589" s="81"/>
      <c r="N1589" s="81"/>
      <c r="O1589" s="81"/>
      <c r="P1589" s="81"/>
      <c r="Q1589" s="81"/>
      <c r="R1589" s="81"/>
      <c r="S1589" s="9"/>
      <c r="T1589" s="9"/>
      <c r="U1589" s="81"/>
      <c r="V1589" s="81"/>
      <c r="W1589" s="81"/>
      <c r="X1589" s="81"/>
      <c r="Y1589" s="81"/>
      <c r="Z1589" s="81"/>
      <c r="AA1589" s="81"/>
      <c r="AB1589" s="9"/>
      <c r="AC1589" s="9"/>
      <c r="AD1589" s="53" t="e">
        <f>#REF!*D1589</f>
        <v>#REF!</v>
      </c>
      <c r="AE1589" s="53" t="e">
        <f>AD1589-#REF!</f>
        <v>#REF!</v>
      </c>
      <c r="AG1589" s="33" t="e">
        <f>#REF!-D1589</f>
        <v>#REF!</v>
      </c>
      <c r="AH1589" s="2"/>
      <c r="AI1589" s="2"/>
      <c r="AJ1589" s="2"/>
      <c r="AK1589" s="2"/>
    </row>
    <row r="1590" spans="1:37" s="12" customFormat="1" ht="20.399999999999999" outlineLevel="1" x14ac:dyDescent="0.2">
      <c r="A1590" s="62" t="s">
        <v>1811</v>
      </c>
      <c r="B1590" s="14" t="s">
        <v>73</v>
      </c>
      <c r="C1590" s="8" t="s">
        <v>48</v>
      </c>
      <c r="D1590" s="25">
        <f>SUM(G1590:AC1590)*6</f>
        <v>1674</v>
      </c>
      <c r="E1590" s="54"/>
      <c r="F1590" s="9"/>
      <c r="G1590" s="9">
        <v>0</v>
      </c>
      <c r="H1590" s="9">
        <f>48-14</f>
        <v>34</v>
      </c>
      <c r="I1590" s="9">
        <f>42-9</f>
        <v>33</v>
      </c>
      <c r="J1590" s="9">
        <f>26-7</f>
        <v>19</v>
      </c>
      <c r="K1590" s="9">
        <v>12</v>
      </c>
      <c r="L1590" s="9">
        <v>20</v>
      </c>
      <c r="M1590" s="9">
        <v>15</v>
      </c>
      <c r="N1590" s="9">
        <v>15</v>
      </c>
      <c r="O1590" s="9">
        <v>16</v>
      </c>
      <c r="P1590" s="9">
        <f>48/6</f>
        <v>8</v>
      </c>
      <c r="Q1590" s="9">
        <v>2</v>
      </c>
      <c r="R1590" s="9">
        <v>0</v>
      </c>
      <c r="S1590" s="9">
        <v>0</v>
      </c>
      <c r="T1590" s="9">
        <v>0</v>
      </c>
      <c r="U1590" s="9">
        <v>14</v>
      </c>
      <c r="V1590" s="9">
        <v>13</v>
      </c>
      <c r="W1590" s="9">
        <v>24</v>
      </c>
      <c r="X1590" s="9">
        <v>16</v>
      </c>
      <c r="Y1590" s="9">
        <v>9</v>
      </c>
      <c r="Z1590" s="9">
        <v>13</v>
      </c>
      <c r="AA1590" s="9">
        <v>16</v>
      </c>
      <c r="AB1590" s="9">
        <v>0</v>
      </c>
      <c r="AC1590" s="9">
        <v>0</v>
      </c>
      <c r="AD1590" s="53" t="e">
        <f>#REF!*D1590</f>
        <v>#REF!</v>
      </c>
      <c r="AE1590" s="53" t="e">
        <f>AD1590-#REF!</f>
        <v>#REF!</v>
      </c>
      <c r="AF1590" s="8"/>
      <c r="AG1590" s="33" t="e">
        <f>#REF!-D1590</f>
        <v>#REF!</v>
      </c>
      <c r="AH1590" s="8"/>
      <c r="AI1590" s="8"/>
      <c r="AJ1590" s="8"/>
      <c r="AK1590" s="8"/>
    </row>
    <row r="1591" spans="1:37" s="12" customFormat="1" ht="20.399999999999999" outlineLevel="1" x14ac:dyDescent="0.2">
      <c r="A1591" s="62" t="s">
        <v>1812</v>
      </c>
      <c r="B1591" s="14" t="s">
        <v>82</v>
      </c>
      <c r="C1591" s="8" t="s">
        <v>47</v>
      </c>
      <c r="D1591" s="25">
        <f>SUM(G1591:AC1591)</f>
        <v>138.5</v>
      </c>
      <c r="E1591" s="54"/>
      <c r="F1591" s="9"/>
      <c r="G1591" s="49">
        <f t="shared" ref="G1591:L1591" si="389">G1590/2</f>
        <v>0</v>
      </c>
      <c r="H1591" s="49">
        <f t="shared" si="389"/>
        <v>17</v>
      </c>
      <c r="I1591" s="49">
        <f t="shared" si="389"/>
        <v>16.5</v>
      </c>
      <c r="J1591" s="49">
        <f t="shared" si="389"/>
        <v>9.5</v>
      </c>
      <c r="K1591" s="49">
        <f t="shared" si="389"/>
        <v>6</v>
      </c>
      <c r="L1591" s="49">
        <f t="shared" si="389"/>
        <v>10</v>
      </c>
      <c r="M1591" s="49">
        <v>7</v>
      </c>
      <c r="N1591" s="49">
        <v>7</v>
      </c>
      <c r="O1591" s="49">
        <f t="shared" ref="O1591:AA1591" si="390">O1590/2</f>
        <v>8</v>
      </c>
      <c r="P1591" s="49">
        <f t="shared" si="390"/>
        <v>4</v>
      </c>
      <c r="Q1591" s="49">
        <f t="shared" si="390"/>
        <v>1</v>
      </c>
      <c r="R1591" s="49">
        <f t="shared" si="390"/>
        <v>0</v>
      </c>
      <c r="S1591" s="49">
        <f t="shared" si="390"/>
        <v>0</v>
      </c>
      <c r="T1591" s="49">
        <f t="shared" si="390"/>
        <v>0</v>
      </c>
      <c r="U1591" s="49">
        <f t="shared" si="390"/>
        <v>7</v>
      </c>
      <c r="V1591" s="49">
        <f t="shared" si="390"/>
        <v>6.5</v>
      </c>
      <c r="W1591" s="49">
        <f t="shared" si="390"/>
        <v>12</v>
      </c>
      <c r="X1591" s="49">
        <f t="shared" si="390"/>
        <v>8</v>
      </c>
      <c r="Y1591" s="49">
        <f t="shared" si="390"/>
        <v>4.5</v>
      </c>
      <c r="Z1591" s="49">
        <f t="shared" si="390"/>
        <v>6.5</v>
      </c>
      <c r="AA1591" s="49">
        <f t="shared" si="390"/>
        <v>8</v>
      </c>
      <c r="AB1591" s="9">
        <v>0</v>
      </c>
      <c r="AC1591" s="9">
        <v>0</v>
      </c>
      <c r="AD1591" s="53" t="e">
        <f>#REF!*D1591</f>
        <v>#REF!</v>
      </c>
      <c r="AE1591" s="53" t="e">
        <f>AD1591-#REF!</f>
        <v>#REF!</v>
      </c>
      <c r="AF1591" s="8"/>
      <c r="AG1591" s="33" t="e">
        <f>#REF!-D1591</f>
        <v>#REF!</v>
      </c>
      <c r="AH1591" s="8"/>
      <c r="AI1591" s="8"/>
      <c r="AJ1591" s="8"/>
      <c r="AK1591" s="8"/>
    </row>
    <row r="1592" spans="1:37" s="12" customFormat="1" ht="21.6" outlineLevel="1" x14ac:dyDescent="0.2">
      <c r="A1592" s="62" t="s">
        <v>1813</v>
      </c>
      <c r="B1592" s="14" t="s">
        <v>89</v>
      </c>
      <c r="C1592" s="8" t="s">
        <v>47</v>
      </c>
      <c r="D1592" s="25">
        <f>SUM(G1592:AC1592)</f>
        <v>643</v>
      </c>
      <c r="E1592" s="54"/>
      <c r="F1592" s="9"/>
      <c r="G1592" s="9">
        <v>0</v>
      </c>
      <c r="H1592" s="9">
        <f>145-43</f>
        <v>102</v>
      </c>
      <c r="I1592" s="9">
        <f>117-26</f>
        <v>91</v>
      </c>
      <c r="J1592" s="9">
        <f>72-21</f>
        <v>51</v>
      </c>
      <c r="K1592" s="9">
        <v>52</v>
      </c>
      <c r="L1592" s="9">
        <f>117-46</f>
        <v>71</v>
      </c>
      <c r="M1592" s="9">
        <v>27</v>
      </c>
      <c r="N1592" s="9">
        <v>27</v>
      </c>
      <c r="O1592" s="9">
        <v>37</v>
      </c>
      <c r="P1592" s="9">
        <v>21</v>
      </c>
      <c r="Q1592" s="9">
        <v>3</v>
      </c>
      <c r="R1592" s="9">
        <v>0</v>
      </c>
      <c r="S1592" s="9">
        <v>0</v>
      </c>
      <c r="T1592" s="9">
        <v>0</v>
      </c>
      <c r="U1592" s="9">
        <v>21</v>
      </c>
      <c r="V1592" s="9">
        <v>22</v>
      </c>
      <c r="W1592" s="9">
        <v>44</v>
      </c>
      <c r="X1592" s="9">
        <v>19</v>
      </c>
      <c r="Y1592" s="9">
        <v>15</v>
      </c>
      <c r="Z1592" s="9">
        <v>21</v>
      </c>
      <c r="AA1592" s="9">
        <v>19</v>
      </c>
      <c r="AB1592" s="9">
        <v>0</v>
      </c>
      <c r="AC1592" s="9">
        <v>0</v>
      </c>
      <c r="AD1592" s="53" t="e">
        <f>#REF!*D1592</f>
        <v>#REF!</v>
      </c>
      <c r="AE1592" s="53" t="e">
        <f>AD1592-#REF!</f>
        <v>#REF!</v>
      </c>
      <c r="AF1592" s="8"/>
      <c r="AG1592" s="33" t="e">
        <f>#REF!-D1592</f>
        <v>#REF!</v>
      </c>
      <c r="AH1592" s="8"/>
      <c r="AI1592" s="8"/>
      <c r="AJ1592" s="8"/>
      <c r="AK1592" s="8"/>
    </row>
    <row r="1593" spans="1:37" s="12" customFormat="1" ht="21.6" outlineLevel="1" x14ac:dyDescent="0.2">
      <c r="A1593" s="62" t="s">
        <v>1814</v>
      </c>
      <c r="B1593" s="14" t="s">
        <v>1809</v>
      </c>
      <c r="C1593" s="8" t="s">
        <v>47</v>
      </c>
      <c r="D1593" s="25">
        <f>SUM(G1593:AC1593)</f>
        <v>213</v>
      </c>
      <c r="E1593" s="54"/>
      <c r="F1593" s="9"/>
      <c r="G1593" s="9">
        <v>0</v>
      </c>
      <c r="H1593" s="9">
        <f>22-6</f>
        <v>16</v>
      </c>
      <c r="I1593" s="9">
        <v>5</v>
      </c>
      <c r="J1593" s="9">
        <v>6</v>
      </c>
      <c r="K1593" s="9">
        <v>5</v>
      </c>
      <c r="L1593" s="9">
        <v>8</v>
      </c>
      <c r="M1593" s="9">
        <v>2</v>
      </c>
      <c r="N1593" s="9">
        <v>2</v>
      </c>
      <c r="O1593" s="9">
        <v>2</v>
      </c>
      <c r="P1593" s="9">
        <v>3</v>
      </c>
      <c r="Q1593" s="9">
        <v>3</v>
      </c>
      <c r="R1593" s="9">
        <v>0</v>
      </c>
      <c r="S1593" s="9">
        <v>0</v>
      </c>
      <c r="T1593" s="9">
        <v>0</v>
      </c>
      <c r="U1593" s="9">
        <v>21</v>
      </c>
      <c r="V1593" s="9">
        <v>22</v>
      </c>
      <c r="W1593" s="9">
        <v>44</v>
      </c>
      <c r="X1593" s="9">
        <v>19</v>
      </c>
      <c r="Y1593" s="9">
        <v>15</v>
      </c>
      <c r="Z1593" s="9">
        <v>21</v>
      </c>
      <c r="AA1593" s="9">
        <v>19</v>
      </c>
      <c r="AB1593" s="9">
        <v>0</v>
      </c>
      <c r="AC1593" s="9">
        <v>0</v>
      </c>
      <c r="AD1593" s="53" t="e">
        <f>#REF!*D1593</f>
        <v>#REF!</v>
      </c>
      <c r="AE1593" s="53" t="e">
        <f>AD1593-#REF!</f>
        <v>#REF!</v>
      </c>
      <c r="AF1593" s="8"/>
      <c r="AG1593" s="33" t="e">
        <f>#REF!-D1593</f>
        <v>#REF!</v>
      </c>
      <c r="AH1593" s="8"/>
      <c r="AI1593" s="8"/>
      <c r="AJ1593" s="8"/>
      <c r="AK1593" s="8"/>
    </row>
    <row r="1594" spans="1:37" s="16" customFormat="1" ht="20.399999999999999" outlineLevel="1" x14ac:dyDescent="0.2">
      <c r="A1594" s="62" t="s">
        <v>1815</v>
      </c>
      <c r="B1594" s="14" t="s">
        <v>98</v>
      </c>
      <c r="C1594" s="9" t="s">
        <v>47</v>
      </c>
      <c r="D1594" s="25">
        <f>SUM(G1594:AC1594)</f>
        <v>428</v>
      </c>
      <c r="E1594" s="54"/>
      <c r="F1594" s="9"/>
      <c r="G1594" s="9">
        <v>0</v>
      </c>
      <c r="H1594" s="9">
        <f>43-12</f>
        <v>31</v>
      </c>
      <c r="I1594" s="9">
        <f>70-16</f>
        <v>54</v>
      </c>
      <c r="J1594" s="9">
        <v>24</v>
      </c>
      <c r="K1594" s="9">
        <v>29</v>
      </c>
      <c r="L1594" s="9">
        <f>70-28</f>
        <v>42</v>
      </c>
      <c r="M1594" s="9">
        <v>21</v>
      </c>
      <c r="N1594" s="9">
        <v>21</v>
      </c>
      <c r="O1594" s="9">
        <v>29</v>
      </c>
      <c r="P1594" s="9">
        <v>13</v>
      </c>
      <c r="Q1594" s="9">
        <v>3</v>
      </c>
      <c r="R1594" s="9">
        <v>0</v>
      </c>
      <c r="S1594" s="9">
        <v>0</v>
      </c>
      <c r="T1594" s="9">
        <v>0</v>
      </c>
      <c r="U1594" s="9">
        <v>21</v>
      </c>
      <c r="V1594" s="9">
        <v>22</v>
      </c>
      <c r="W1594" s="9">
        <v>44</v>
      </c>
      <c r="X1594" s="9">
        <v>19</v>
      </c>
      <c r="Y1594" s="9">
        <v>15</v>
      </c>
      <c r="Z1594" s="9">
        <v>21</v>
      </c>
      <c r="AA1594" s="9">
        <v>19</v>
      </c>
      <c r="AB1594" s="9">
        <v>0</v>
      </c>
      <c r="AC1594" s="9">
        <v>0</v>
      </c>
      <c r="AD1594" s="53" t="e">
        <f>#REF!*D1594</f>
        <v>#REF!</v>
      </c>
      <c r="AE1594" s="53" t="e">
        <f>AD1594-#REF!</f>
        <v>#REF!</v>
      </c>
      <c r="AF1594" s="9"/>
      <c r="AG1594" s="33" t="e">
        <f>#REF!-D1594</f>
        <v>#REF!</v>
      </c>
      <c r="AH1594" s="9"/>
      <c r="AI1594" s="9"/>
      <c r="AJ1594" s="9"/>
      <c r="AK1594" s="9"/>
    </row>
    <row r="1595" spans="1:37" s="12" customFormat="1" ht="20.399999999999999" outlineLevel="1" x14ac:dyDescent="0.2">
      <c r="A1595" s="62" t="s">
        <v>1816</v>
      </c>
      <c r="B1595" s="47" t="s">
        <v>77</v>
      </c>
      <c r="C1595" s="8" t="s">
        <v>48</v>
      </c>
      <c r="D1595" s="25">
        <f>SUM(G1595:AC1595)*6</f>
        <v>348</v>
      </c>
      <c r="E1595" s="54"/>
      <c r="F1595" s="78"/>
      <c r="G1595" s="9">
        <v>0</v>
      </c>
      <c r="H1595" s="9">
        <v>5</v>
      </c>
      <c r="I1595" s="9">
        <v>7</v>
      </c>
      <c r="J1595" s="9">
        <v>1</v>
      </c>
      <c r="K1595" s="9">
        <v>2</v>
      </c>
      <c r="L1595" s="9">
        <v>4</v>
      </c>
      <c r="M1595" s="9">
        <f>42/3</f>
        <v>14</v>
      </c>
      <c r="N1595" s="9">
        <f>21/3</f>
        <v>7</v>
      </c>
      <c r="O1595" s="9">
        <v>0</v>
      </c>
      <c r="P1595" s="9">
        <f>33/3</f>
        <v>11</v>
      </c>
      <c r="Q1595" s="9">
        <v>3</v>
      </c>
      <c r="R1595" s="9">
        <v>0</v>
      </c>
      <c r="S1595" s="9">
        <v>0</v>
      </c>
      <c r="T1595" s="9">
        <v>0</v>
      </c>
      <c r="U1595" s="9">
        <v>0</v>
      </c>
      <c r="V1595" s="9">
        <v>0</v>
      </c>
      <c r="W1595" s="9">
        <v>0</v>
      </c>
      <c r="X1595" s="9">
        <v>0</v>
      </c>
      <c r="Y1595" s="9">
        <v>0</v>
      </c>
      <c r="Z1595" s="9">
        <v>4</v>
      </c>
      <c r="AA1595" s="9">
        <v>0</v>
      </c>
      <c r="AB1595" s="9">
        <v>0</v>
      </c>
      <c r="AC1595" s="9">
        <v>0</v>
      </c>
      <c r="AD1595" s="53" t="e">
        <f>#REF!*D1595</f>
        <v>#REF!</v>
      </c>
      <c r="AE1595" s="53" t="e">
        <f>AD1595-#REF!</f>
        <v>#REF!</v>
      </c>
      <c r="AF1595" s="8"/>
      <c r="AG1595" s="33" t="e">
        <f>#REF!-D1595</f>
        <v>#REF!</v>
      </c>
    </row>
    <row r="1596" spans="1:37" s="12" customFormat="1" ht="20.399999999999999" outlineLevel="1" x14ac:dyDescent="0.2">
      <c r="A1596" s="62" t="s">
        <v>1817</v>
      </c>
      <c r="B1596" s="47" t="s">
        <v>78</v>
      </c>
      <c r="C1596" s="8" t="s">
        <v>48</v>
      </c>
      <c r="D1596" s="25">
        <f>SUM(G1596:AC1596)*6</f>
        <v>1236</v>
      </c>
      <c r="E1596" s="54"/>
      <c r="F1596" s="78"/>
      <c r="G1596" s="9">
        <v>0</v>
      </c>
      <c r="H1596" s="9">
        <v>26</v>
      </c>
      <c r="I1596" s="9">
        <f>34-7</f>
        <v>27</v>
      </c>
      <c r="J1596" s="9">
        <f>25-7</f>
        <v>18</v>
      </c>
      <c r="K1596" s="9">
        <v>13</v>
      </c>
      <c r="L1596" s="9">
        <f>69-28</f>
        <v>41</v>
      </c>
      <c r="M1596" s="9">
        <v>4</v>
      </c>
      <c r="N1596" s="9">
        <v>4</v>
      </c>
      <c r="O1596" s="9">
        <v>20</v>
      </c>
      <c r="P1596" s="9">
        <f>27/3</f>
        <v>9</v>
      </c>
      <c r="Q1596" s="9">
        <v>4</v>
      </c>
      <c r="R1596" s="9">
        <v>0</v>
      </c>
      <c r="S1596" s="9">
        <v>0</v>
      </c>
      <c r="T1596" s="9">
        <v>0</v>
      </c>
      <c r="U1596" s="9">
        <v>9</v>
      </c>
      <c r="V1596" s="9">
        <v>9</v>
      </c>
      <c r="W1596" s="9">
        <v>15</v>
      </c>
      <c r="X1596" s="9">
        <v>2.5</v>
      </c>
      <c r="Y1596" s="9">
        <v>3</v>
      </c>
      <c r="Z1596" s="9">
        <v>1.5</v>
      </c>
      <c r="AA1596" s="9">
        <v>0</v>
      </c>
      <c r="AB1596" s="9">
        <v>0</v>
      </c>
      <c r="AC1596" s="9">
        <v>0</v>
      </c>
      <c r="AD1596" s="53" t="e">
        <f>#REF!*D1596</f>
        <v>#REF!</v>
      </c>
      <c r="AE1596" s="53" t="e">
        <f>AD1596-#REF!</f>
        <v>#REF!</v>
      </c>
      <c r="AF1596" s="8"/>
      <c r="AG1596" s="33" t="e">
        <f>#REF!-D1596</f>
        <v>#REF!</v>
      </c>
    </row>
    <row r="1597" spans="1:37" s="12" customFormat="1" ht="20.399999999999999" outlineLevel="1" x14ac:dyDescent="0.2">
      <c r="A1597" s="62" t="s">
        <v>1818</v>
      </c>
      <c r="B1597" s="47" t="s">
        <v>79</v>
      </c>
      <c r="C1597" s="8" t="s">
        <v>48</v>
      </c>
      <c r="D1597" s="25">
        <f>SUM(G1597:AC1597)*6</f>
        <v>1332</v>
      </c>
      <c r="E1597" s="54"/>
      <c r="F1597" s="78"/>
      <c r="G1597" s="9">
        <v>0</v>
      </c>
      <c r="H1597" s="9">
        <v>0</v>
      </c>
      <c r="I1597" s="9">
        <v>5</v>
      </c>
      <c r="J1597" s="9">
        <v>0</v>
      </c>
      <c r="K1597" s="9">
        <v>0</v>
      </c>
      <c r="L1597" s="9">
        <v>15</v>
      </c>
      <c r="M1597" s="9">
        <f>81/3</f>
        <v>27</v>
      </c>
      <c r="N1597" s="9">
        <v>27</v>
      </c>
      <c r="O1597" s="9">
        <f>75/3</f>
        <v>25</v>
      </c>
      <c r="P1597" s="9">
        <f>69/3</f>
        <v>23</v>
      </c>
      <c r="Q1597" s="9">
        <v>12</v>
      </c>
      <c r="R1597" s="9">
        <v>0</v>
      </c>
      <c r="S1597" s="9">
        <v>0</v>
      </c>
      <c r="T1597" s="9">
        <v>0</v>
      </c>
      <c r="U1597" s="9">
        <v>11</v>
      </c>
      <c r="V1597" s="9">
        <v>12</v>
      </c>
      <c r="W1597" s="9">
        <v>14</v>
      </c>
      <c r="X1597" s="9">
        <v>15</v>
      </c>
      <c r="Y1597" s="9">
        <v>11</v>
      </c>
      <c r="Z1597" s="9">
        <v>11</v>
      </c>
      <c r="AA1597" s="9">
        <v>14</v>
      </c>
      <c r="AB1597" s="9">
        <v>0</v>
      </c>
      <c r="AC1597" s="9">
        <v>0</v>
      </c>
      <c r="AD1597" s="53" t="e">
        <f>#REF!*D1597</f>
        <v>#REF!</v>
      </c>
      <c r="AE1597" s="53" t="e">
        <f>AD1597-#REF!</f>
        <v>#REF!</v>
      </c>
      <c r="AF1597" s="8"/>
      <c r="AG1597" s="33" t="e">
        <f>#REF!-D1597</f>
        <v>#REF!</v>
      </c>
    </row>
    <row r="1598" spans="1:37" s="12" customFormat="1" ht="12" customHeight="1" outlineLevel="1" x14ac:dyDescent="0.2">
      <c r="A1598" s="62" t="s">
        <v>1819</v>
      </c>
      <c r="B1598" s="11" t="s">
        <v>346</v>
      </c>
      <c r="C1598" s="8" t="s">
        <v>47</v>
      </c>
      <c r="D1598" s="25">
        <f t="shared" ref="D1598:D1628" si="391">SUM(G1598:AC1598)</f>
        <v>76</v>
      </c>
      <c r="E1598" s="54"/>
      <c r="F1598" s="9"/>
      <c r="G1598" s="49">
        <f t="shared" ref="G1598:AA1598" si="392">G1605+G1608+G1611</f>
        <v>0</v>
      </c>
      <c r="H1598" s="49">
        <f t="shared" si="392"/>
        <v>22</v>
      </c>
      <c r="I1598" s="49">
        <f t="shared" si="392"/>
        <v>4</v>
      </c>
      <c r="J1598" s="49">
        <f t="shared" si="392"/>
        <v>3</v>
      </c>
      <c r="K1598" s="49">
        <f t="shared" si="392"/>
        <v>4</v>
      </c>
      <c r="L1598" s="49">
        <f t="shared" si="392"/>
        <v>8</v>
      </c>
      <c r="M1598" s="49">
        <f t="shared" si="392"/>
        <v>6</v>
      </c>
      <c r="N1598" s="49">
        <f t="shared" si="392"/>
        <v>6</v>
      </c>
      <c r="O1598" s="49">
        <f t="shared" si="392"/>
        <v>0</v>
      </c>
      <c r="P1598" s="49">
        <f t="shared" si="392"/>
        <v>15</v>
      </c>
      <c r="Q1598" s="49">
        <f t="shared" si="392"/>
        <v>4</v>
      </c>
      <c r="R1598" s="49">
        <f t="shared" si="392"/>
        <v>0</v>
      </c>
      <c r="S1598" s="49">
        <f t="shared" si="392"/>
        <v>0</v>
      </c>
      <c r="T1598" s="49">
        <f t="shared" si="392"/>
        <v>0</v>
      </c>
      <c r="U1598" s="49">
        <f t="shared" si="392"/>
        <v>0</v>
      </c>
      <c r="V1598" s="49">
        <f t="shared" si="392"/>
        <v>0</v>
      </c>
      <c r="W1598" s="49">
        <f t="shared" si="392"/>
        <v>0</v>
      </c>
      <c r="X1598" s="49">
        <f t="shared" si="392"/>
        <v>0</v>
      </c>
      <c r="Y1598" s="49">
        <f t="shared" si="392"/>
        <v>0</v>
      </c>
      <c r="Z1598" s="49">
        <f t="shared" si="392"/>
        <v>4</v>
      </c>
      <c r="AA1598" s="49">
        <f t="shared" si="392"/>
        <v>0</v>
      </c>
      <c r="AB1598" s="9">
        <v>0</v>
      </c>
      <c r="AC1598" s="9">
        <v>0</v>
      </c>
      <c r="AD1598" s="53" t="e">
        <f>#REF!*D1598</f>
        <v>#REF!</v>
      </c>
      <c r="AE1598" s="53" t="e">
        <f>AD1598-#REF!</f>
        <v>#REF!</v>
      </c>
      <c r="AF1598" s="8"/>
      <c r="AG1598" s="33" t="e">
        <f>#REF!-D1598</f>
        <v>#REF!</v>
      </c>
    </row>
    <row r="1599" spans="1:37" s="12" customFormat="1" ht="12" customHeight="1" outlineLevel="1" x14ac:dyDescent="0.2">
      <c r="A1599" s="62" t="s">
        <v>1820</v>
      </c>
      <c r="B1599" s="11" t="s">
        <v>119</v>
      </c>
      <c r="C1599" s="8" t="s">
        <v>47</v>
      </c>
      <c r="D1599" s="25">
        <f t="shared" si="391"/>
        <v>335</v>
      </c>
      <c r="E1599" s="54"/>
      <c r="F1599" s="9"/>
      <c r="G1599" s="49">
        <f t="shared" ref="G1599:AA1599" si="393">G1606+G1609+G1612</f>
        <v>0</v>
      </c>
      <c r="H1599" s="49">
        <f t="shared" si="393"/>
        <v>43</v>
      </c>
      <c r="I1599" s="49">
        <f t="shared" si="393"/>
        <v>78</v>
      </c>
      <c r="J1599" s="49">
        <f t="shared" si="393"/>
        <v>42</v>
      </c>
      <c r="K1599" s="49">
        <f t="shared" si="393"/>
        <v>34</v>
      </c>
      <c r="L1599" s="49">
        <f t="shared" si="393"/>
        <v>34</v>
      </c>
      <c r="M1599" s="49">
        <f t="shared" si="393"/>
        <v>3</v>
      </c>
      <c r="N1599" s="49">
        <f t="shared" si="393"/>
        <v>3</v>
      </c>
      <c r="O1599" s="49">
        <f t="shared" si="393"/>
        <v>17</v>
      </c>
      <c r="P1599" s="49">
        <f t="shared" si="393"/>
        <v>9</v>
      </c>
      <c r="Q1599" s="49">
        <f t="shared" si="393"/>
        <v>5</v>
      </c>
      <c r="R1599" s="49">
        <f t="shared" si="393"/>
        <v>0</v>
      </c>
      <c r="S1599" s="49">
        <f t="shared" si="393"/>
        <v>0</v>
      </c>
      <c r="T1599" s="49">
        <f t="shared" si="393"/>
        <v>0</v>
      </c>
      <c r="U1599" s="49">
        <f t="shared" si="393"/>
        <v>8</v>
      </c>
      <c r="V1599" s="49">
        <f t="shared" si="393"/>
        <v>22</v>
      </c>
      <c r="W1599" s="49">
        <f t="shared" si="393"/>
        <v>17</v>
      </c>
      <c r="X1599" s="49">
        <f t="shared" si="393"/>
        <v>6</v>
      </c>
      <c r="Y1599" s="49">
        <f t="shared" si="393"/>
        <v>8</v>
      </c>
      <c r="Z1599" s="49">
        <f t="shared" si="393"/>
        <v>6</v>
      </c>
      <c r="AA1599" s="49">
        <f t="shared" si="393"/>
        <v>0</v>
      </c>
      <c r="AB1599" s="9">
        <v>0</v>
      </c>
      <c r="AC1599" s="9">
        <v>0</v>
      </c>
      <c r="AD1599" s="53" t="e">
        <f>#REF!*D1599</f>
        <v>#REF!</v>
      </c>
      <c r="AE1599" s="53" t="e">
        <f>AD1599-#REF!</f>
        <v>#REF!</v>
      </c>
      <c r="AF1599" s="8"/>
      <c r="AG1599" s="33" t="e">
        <f>#REF!-D1599</f>
        <v>#REF!</v>
      </c>
    </row>
    <row r="1600" spans="1:37" s="12" customFormat="1" ht="12" customHeight="1" outlineLevel="1" x14ac:dyDescent="0.2">
      <c r="A1600" s="62" t="s">
        <v>1821</v>
      </c>
      <c r="B1600" s="11" t="s">
        <v>120</v>
      </c>
      <c r="C1600" s="8" t="s">
        <v>47</v>
      </c>
      <c r="D1600" s="25">
        <f t="shared" si="391"/>
        <v>260</v>
      </c>
      <c r="E1600" s="54"/>
      <c r="F1600" s="9"/>
      <c r="G1600" s="49">
        <f t="shared" ref="G1600:AA1600" si="394">G1607+G1610+G1613</f>
        <v>0</v>
      </c>
      <c r="H1600" s="49">
        <f t="shared" si="394"/>
        <v>0</v>
      </c>
      <c r="I1600" s="49">
        <f t="shared" si="394"/>
        <v>9</v>
      </c>
      <c r="J1600" s="49">
        <f t="shared" si="394"/>
        <v>1</v>
      </c>
      <c r="K1600" s="49">
        <f t="shared" si="394"/>
        <v>0</v>
      </c>
      <c r="L1600" s="49">
        <f t="shared" si="394"/>
        <v>17</v>
      </c>
      <c r="M1600" s="49">
        <f t="shared" si="394"/>
        <v>22</v>
      </c>
      <c r="N1600" s="49">
        <f t="shared" si="394"/>
        <v>22</v>
      </c>
      <c r="O1600" s="49">
        <f t="shared" si="394"/>
        <v>23</v>
      </c>
      <c r="P1600" s="49">
        <f t="shared" si="394"/>
        <v>12</v>
      </c>
      <c r="Q1600" s="49">
        <f t="shared" si="394"/>
        <v>6</v>
      </c>
      <c r="R1600" s="49">
        <f t="shared" si="394"/>
        <v>0</v>
      </c>
      <c r="S1600" s="49">
        <f t="shared" si="394"/>
        <v>0</v>
      </c>
      <c r="T1600" s="49">
        <f t="shared" si="394"/>
        <v>0</v>
      </c>
      <c r="U1600" s="49">
        <f t="shared" si="394"/>
        <v>14</v>
      </c>
      <c r="V1600" s="49">
        <f t="shared" si="394"/>
        <v>14</v>
      </c>
      <c r="W1600" s="49">
        <f t="shared" si="394"/>
        <v>37</v>
      </c>
      <c r="X1600" s="49">
        <f t="shared" si="394"/>
        <v>27</v>
      </c>
      <c r="Y1600" s="49">
        <f t="shared" si="394"/>
        <v>16</v>
      </c>
      <c r="Z1600" s="49">
        <f t="shared" si="394"/>
        <v>7</v>
      </c>
      <c r="AA1600" s="49">
        <f t="shared" si="394"/>
        <v>33</v>
      </c>
      <c r="AB1600" s="9">
        <v>0</v>
      </c>
      <c r="AC1600" s="9">
        <v>0</v>
      </c>
      <c r="AD1600" s="53" t="e">
        <f>#REF!*D1600</f>
        <v>#REF!</v>
      </c>
      <c r="AE1600" s="53" t="e">
        <f>AD1600-#REF!</f>
        <v>#REF!</v>
      </c>
      <c r="AF1600" s="8"/>
      <c r="AG1600" s="33" t="e">
        <f>#REF!-D1600</f>
        <v>#REF!</v>
      </c>
    </row>
    <row r="1601" spans="1:33" s="16" customFormat="1" ht="20.399999999999999" outlineLevel="1" x14ac:dyDescent="0.2">
      <c r="A1601" s="62" t="s">
        <v>1822</v>
      </c>
      <c r="B1601" s="47" t="s">
        <v>360</v>
      </c>
      <c r="C1601" s="9" t="s">
        <v>47</v>
      </c>
      <c r="D1601" s="25">
        <f t="shared" si="391"/>
        <v>71</v>
      </c>
      <c r="E1601" s="54"/>
      <c r="F1601" s="9"/>
      <c r="G1601" s="49">
        <f t="shared" ref="G1601:AA1601" si="395">G1603</f>
        <v>0</v>
      </c>
      <c r="H1601" s="49">
        <f t="shared" si="395"/>
        <v>0</v>
      </c>
      <c r="I1601" s="49">
        <f t="shared" si="395"/>
        <v>17</v>
      </c>
      <c r="J1601" s="49">
        <f t="shared" si="395"/>
        <v>8</v>
      </c>
      <c r="K1601" s="49">
        <f t="shared" si="395"/>
        <v>6</v>
      </c>
      <c r="L1601" s="49">
        <f t="shared" si="395"/>
        <v>8</v>
      </c>
      <c r="M1601" s="49">
        <f t="shared" si="395"/>
        <v>0</v>
      </c>
      <c r="N1601" s="49">
        <f t="shared" si="395"/>
        <v>0</v>
      </c>
      <c r="O1601" s="49">
        <f t="shared" si="395"/>
        <v>7</v>
      </c>
      <c r="P1601" s="49">
        <f t="shared" si="395"/>
        <v>2</v>
      </c>
      <c r="Q1601" s="49">
        <f t="shared" si="395"/>
        <v>0</v>
      </c>
      <c r="R1601" s="49">
        <f t="shared" si="395"/>
        <v>0</v>
      </c>
      <c r="S1601" s="49">
        <f t="shared" si="395"/>
        <v>0</v>
      </c>
      <c r="T1601" s="49">
        <f t="shared" si="395"/>
        <v>0</v>
      </c>
      <c r="U1601" s="49">
        <f t="shared" si="395"/>
        <v>0</v>
      </c>
      <c r="V1601" s="49">
        <f t="shared" si="395"/>
        <v>4</v>
      </c>
      <c r="W1601" s="49">
        <f t="shared" si="395"/>
        <v>3</v>
      </c>
      <c r="X1601" s="49">
        <f t="shared" si="395"/>
        <v>2</v>
      </c>
      <c r="Y1601" s="49">
        <f t="shared" si="395"/>
        <v>6</v>
      </c>
      <c r="Z1601" s="49">
        <f t="shared" si="395"/>
        <v>4</v>
      </c>
      <c r="AA1601" s="49">
        <f t="shared" si="395"/>
        <v>4</v>
      </c>
      <c r="AB1601" s="9">
        <v>0</v>
      </c>
      <c r="AC1601" s="9">
        <v>0</v>
      </c>
      <c r="AD1601" s="53" t="e">
        <f>#REF!*D1601</f>
        <v>#REF!</v>
      </c>
      <c r="AE1601" s="53" t="e">
        <f>AD1601-#REF!</f>
        <v>#REF!</v>
      </c>
      <c r="AF1601" s="9"/>
      <c r="AG1601" s="33" t="e">
        <f>#REF!-D1601</f>
        <v>#REF!</v>
      </c>
    </row>
    <row r="1602" spans="1:33" s="16" customFormat="1" ht="20.399999999999999" outlineLevel="1" x14ac:dyDescent="0.2">
      <c r="A1602" s="62" t="s">
        <v>1823</v>
      </c>
      <c r="B1602" s="47" t="s">
        <v>116</v>
      </c>
      <c r="C1602" s="9" t="s">
        <v>47</v>
      </c>
      <c r="D1602" s="25">
        <f t="shared" si="391"/>
        <v>37</v>
      </c>
      <c r="E1602" s="54"/>
      <c r="F1602" s="9"/>
      <c r="G1602" s="49">
        <f t="shared" ref="G1602:AA1602" si="396">G1604</f>
        <v>0</v>
      </c>
      <c r="H1602" s="49">
        <f t="shared" si="396"/>
        <v>0</v>
      </c>
      <c r="I1602" s="49">
        <f t="shared" si="396"/>
        <v>3</v>
      </c>
      <c r="J1602" s="49">
        <f t="shared" si="396"/>
        <v>0</v>
      </c>
      <c r="K1602" s="49">
        <f t="shared" si="396"/>
        <v>0</v>
      </c>
      <c r="L1602" s="49">
        <f t="shared" si="396"/>
        <v>2</v>
      </c>
      <c r="M1602" s="49">
        <f t="shared" si="396"/>
        <v>2</v>
      </c>
      <c r="N1602" s="49">
        <f t="shared" si="396"/>
        <v>2</v>
      </c>
      <c r="O1602" s="49">
        <f t="shared" si="396"/>
        <v>3</v>
      </c>
      <c r="P1602" s="49">
        <f t="shared" si="396"/>
        <v>3</v>
      </c>
      <c r="Q1602" s="49">
        <f t="shared" si="396"/>
        <v>0</v>
      </c>
      <c r="R1602" s="49">
        <f t="shared" si="396"/>
        <v>0</v>
      </c>
      <c r="S1602" s="49">
        <f t="shared" si="396"/>
        <v>0</v>
      </c>
      <c r="T1602" s="49">
        <f t="shared" si="396"/>
        <v>0</v>
      </c>
      <c r="U1602" s="49">
        <f t="shared" si="396"/>
        <v>0</v>
      </c>
      <c r="V1602" s="49">
        <f t="shared" si="396"/>
        <v>3</v>
      </c>
      <c r="W1602" s="49">
        <f t="shared" si="396"/>
        <v>4</v>
      </c>
      <c r="X1602" s="49">
        <f t="shared" si="396"/>
        <v>4</v>
      </c>
      <c r="Y1602" s="49">
        <f t="shared" si="396"/>
        <v>2</v>
      </c>
      <c r="Z1602" s="49">
        <f t="shared" si="396"/>
        <v>2</v>
      </c>
      <c r="AA1602" s="49">
        <f t="shared" si="396"/>
        <v>7</v>
      </c>
      <c r="AB1602" s="9">
        <v>0</v>
      </c>
      <c r="AC1602" s="9">
        <v>0</v>
      </c>
      <c r="AD1602" s="53" t="e">
        <f>#REF!*D1602</f>
        <v>#REF!</v>
      </c>
      <c r="AE1602" s="53" t="e">
        <f>AD1602-#REF!</f>
        <v>#REF!</v>
      </c>
      <c r="AF1602" s="9"/>
      <c r="AG1602" s="33" t="e">
        <f>#REF!-D1602</f>
        <v>#REF!</v>
      </c>
    </row>
    <row r="1603" spans="1:33" s="16" customFormat="1" ht="11.4" outlineLevel="1" x14ac:dyDescent="0.2">
      <c r="A1603" s="62" t="s">
        <v>1824</v>
      </c>
      <c r="B1603" s="47" t="s">
        <v>343</v>
      </c>
      <c r="C1603" s="9" t="s">
        <v>47</v>
      </c>
      <c r="D1603" s="25">
        <f t="shared" si="391"/>
        <v>71</v>
      </c>
      <c r="E1603" s="54"/>
      <c r="F1603" s="9"/>
      <c r="G1603" s="9">
        <v>0</v>
      </c>
      <c r="H1603" s="9">
        <v>0</v>
      </c>
      <c r="I1603" s="9">
        <f>21-4</f>
        <v>17</v>
      </c>
      <c r="J1603" s="9">
        <v>8</v>
      </c>
      <c r="K1603" s="9">
        <v>6</v>
      </c>
      <c r="L1603" s="9">
        <v>8</v>
      </c>
      <c r="M1603" s="9">
        <v>0</v>
      </c>
      <c r="N1603" s="9">
        <v>0</v>
      </c>
      <c r="O1603" s="9">
        <v>7</v>
      </c>
      <c r="P1603" s="9">
        <v>2</v>
      </c>
      <c r="Q1603" s="9">
        <v>0</v>
      </c>
      <c r="R1603" s="9">
        <v>0</v>
      </c>
      <c r="S1603" s="9">
        <v>0</v>
      </c>
      <c r="T1603" s="9">
        <v>0</v>
      </c>
      <c r="U1603" s="9">
        <v>0</v>
      </c>
      <c r="V1603" s="9">
        <v>4</v>
      </c>
      <c r="W1603" s="9">
        <v>3</v>
      </c>
      <c r="X1603" s="9">
        <v>2</v>
      </c>
      <c r="Y1603" s="9">
        <v>6</v>
      </c>
      <c r="Z1603" s="9">
        <v>4</v>
      </c>
      <c r="AA1603" s="9">
        <v>4</v>
      </c>
      <c r="AB1603" s="9">
        <v>0</v>
      </c>
      <c r="AC1603" s="9">
        <v>0</v>
      </c>
      <c r="AD1603" s="53" t="e">
        <f>#REF!*D1603</f>
        <v>#REF!</v>
      </c>
      <c r="AE1603" s="53" t="e">
        <f>AD1603-#REF!</f>
        <v>#REF!</v>
      </c>
      <c r="AF1603" s="9"/>
      <c r="AG1603" s="33" t="e">
        <f>#REF!-D1603</f>
        <v>#REF!</v>
      </c>
    </row>
    <row r="1604" spans="1:33" s="16" customFormat="1" ht="11.4" outlineLevel="1" x14ac:dyDescent="0.2">
      <c r="A1604" s="62" t="s">
        <v>1825</v>
      </c>
      <c r="B1604" s="47" t="s">
        <v>344</v>
      </c>
      <c r="C1604" s="9" t="s">
        <v>47</v>
      </c>
      <c r="D1604" s="25">
        <f t="shared" si="391"/>
        <v>37</v>
      </c>
      <c r="E1604" s="54"/>
      <c r="F1604" s="9"/>
      <c r="G1604" s="9">
        <v>0</v>
      </c>
      <c r="H1604" s="9">
        <v>0</v>
      </c>
      <c r="I1604" s="9">
        <v>3</v>
      </c>
      <c r="J1604" s="9">
        <v>0</v>
      </c>
      <c r="K1604" s="9">
        <v>0</v>
      </c>
      <c r="L1604" s="9">
        <v>2</v>
      </c>
      <c r="M1604" s="9">
        <v>2</v>
      </c>
      <c r="N1604" s="9">
        <v>2</v>
      </c>
      <c r="O1604" s="9">
        <v>3</v>
      </c>
      <c r="P1604" s="9">
        <v>3</v>
      </c>
      <c r="Q1604" s="9">
        <v>0</v>
      </c>
      <c r="R1604" s="9">
        <v>0</v>
      </c>
      <c r="S1604" s="9">
        <v>0</v>
      </c>
      <c r="T1604" s="9">
        <v>0</v>
      </c>
      <c r="U1604" s="9">
        <v>0</v>
      </c>
      <c r="V1604" s="9">
        <v>3</v>
      </c>
      <c r="W1604" s="9">
        <v>4</v>
      </c>
      <c r="X1604" s="9">
        <v>4</v>
      </c>
      <c r="Y1604" s="9">
        <v>2</v>
      </c>
      <c r="Z1604" s="9">
        <v>2</v>
      </c>
      <c r="AA1604" s="9">
        <v>7</v>
      </c>
      <c r="AB1604" s="9">
        <v>0</v>
      </c>
      <c r="AC1604" s="9">
        <v>0</v>
      </c>
      <c r="AD1604" s="53" t="e">
        <f>#REF!*D1604</f>
        <v>#REF!</v>
      </c>
      <c r="AE1604" s="53" t="e">
        <f>AD1604-#REF!</f>
        <v>#REF!</v>
      </c>
      <c r="AF1604" s="9"/>
      <c r="AG1604" s="33" t="e">
        <f>#REF!-D1604</f>
        <v>#REF!</v>
      </c>
    </row>
    <row r="1605" spans="1:33" s="12" customFormat="1" ht="12" customHeight="1" outlineLevel="1" x14ac:dyDescent="0.2">
      <c r="A1605" s="62" t="s">
        <v>1826</v>
      </c>
      <c r="B1605" s="47" t="s">
        <v>126</v>
      </c>
      <c r="C1605" s="8" t="s">
        <v>47</v>
      </c>
      <c r="D1605" s="25">
        <f t="shared" si="391"/>
        <v>15</v>
      </c>
      <c r="E1605" s="54"/>
      <c r="F1605" s="9"/>
      <c r="G1605" s="9">
        <v>0</v>
      </c>
      <c r="H1605" s="9">
        <v>0</v>
      </c>
      <c r="I1605" s="9">
        <v>0</v>
      </c>
      <c r="J1605" s="9">
        <v>0</v>
      </c>
      <c r="K1605" s="9">
        <v>0</v>
      </c>
      <c r="L1605" s="9">
        <v>1</v>
      </c>
      <c r="M1605" s="9">
        <v>3</v>
      </c>
      <c r="N1605" s="9">
        <v>3</v>
      </c>
      <c r="O1605" s="9">
        <v>0</v>
      </c>
      <c r="P1605" s="9">
        <v>5</v>
      </c>
      <c r="Q1605" s="9">
        <v>2</v>
      </c>
      <c r="R1605" s="9">
        <v>0</v>
      </c>
      <c r="S1605" s="9">
        <v>0</v>
      </c>
      <c r="T1605" s="9">
        <v>0</v>
      </c>
      <c r="U1605" s="9">
        <v>0</v>
      </c>
      <c r="V1605" s="9">
        <v>0</v>
      </c>
      <c r="W1605" s="9">
        <v>0</v>
      </c>
      <c r="X1605" s="9">
        <v>0</v>
      </c>
      <c r="Y1605" s="9">
        <v>0</v>
      </c>
      <c r="Z1605" s="9">
        <v>1</v>
      </c>
      <c r="AA1605" s="9">
        <v>0</v>
      </c>
      <c r="AB1605" s="9">
        <v>0</v>
      </c>
      <c r="AC1605" s="9">
        <v>0</v>
      </c>
      <c r="AD1605" s="53" t="e">
        <f>#REF!*D1605</f>
        <v>#REF!</v>
      </c>
      <c r="AE1605" s="53" t="e">
        <f>AD1605-#REF!</f>
        <v>#REF!</v>
      </c>
      <c r="AF1605" s="8"/>
      <c r="AG1605" s="33" t="e">
        <f>#REF!-D1605</f>
        <v>#REF!</v>
      </c>
    </row>
    <row r="1606" spans="1:33" s="12" customFormat="1" ht="12" customHeight="1" outlineLevel="1" x14ac:dyDescent="0.2">
      <c r="A1606" s="62" t="s">
        <v>1827</v>
      </c>
      <c r="B1606" s="47" t="s">
        <v>127</v>
      </c>
      <c r="C1606" s="8" t="s">
        <v>47</v>
      </c>
      <c r="D1606" s="25">
        <f t="shared" si="391"/>
        <v>52</v>
      </c>
      <c r="E1606" s="54"/>
      <c r="F1606" s="9"/>
      <c r="G1606" s="9">
        <v>0</v>
      </c>
      <c r="H1606" s="9">
        <v>9</v>
      </c>
      <c r="I1606" s="9">
        <v>15</v>
      </c>
      <c r="J1606" s="9">
        <v>6</v>
      </c>
      <c r="K1606" s="9">
        <v>0</v>
      </c>
      <c r="L1606" s="9">
        <v>3</v>
      </c>
      <c r="M1606" s="9">
        <v>0</v>
      </c>
      <c r="N1606" s="9">
        <v>0</v>
      </c>
      <c r="O1606" s="9">
        <v>3</v>
      </c>
      <c r="P1606" s="9">
        <v>2</v>
      </c>
      <c r="Q1606" s="9">
        <v>2</v>
      </c>
      <c r="R1606" s="9">
        <v>0</v>
      </c>
      <c r="S1606" s="9">
        <v>0</v>
      </c>
      <c r="T1606" s="9">
        <v>0</v>
      </c>
      <c r="U1606" s="9">
        <v>0</v>
      </c>
      <c r="V1606" s="9">
        <v>4</v>
      </c>
      <c r="W1606" s="9">
        <v>2</v>
      </c>
      <c r="X1606" s="9">
        <v>2</v>
      </c>
      <c r="Y1606" s="9">
        <v>2</v>
      </c>
      <c r="Z1606" s="9">
        <v>2</v>
      </c>
      <c r="AA1606" s="9">
        <v>0</v>
      </c>
      <c r="AB1606" s="9">
        <v>0</v>
      </c>
      <c r="AC1606" s="9">
        <v>0</v>
      </c>
      <c r="AD1606" s="53" t="e">
        <f>#REF!*D1606</f>
        <v>#REF!</v>
      </c>
      <c r="AE1606" s="53" t="e">
        <f>AD1606-#REF!</f>
        <v>#REF!</v>
      </c>
      <c r="AF1606" s="8"/>
      <c r="AG1606" s="33" t="e">
        <f>#REF!-D1606</f>
        <v>#REF!</v>
      </c>
    </row>
    <row r="1607" spans="1:33" s="12" customFormat="1" ht="12" customHeight="1" outlineLevel="1" x14ac:dyDescent="0.2">
      <c r="A1607" s="62" t="s">
        <v>1828</v>
      </c>
      <c r="B1607" s="47" t="s">
        <v>128</v>
      </c>
      <c r="C1607" s="8" t="s">
        <v>47</v>
      </c>
      <c r="D1607" s="25">
        <f t="shared" si="391"/>
        <v>23</v>
      </c>
      <c r="E1607" s="54"/>
      <c r="F1607" s="9"/>
      <c r="G1607" s="9">
        <v>0</v>
      </c>
      <c r="H1607" s="9">
        <v>0</v>
      </c>
      <c r="I1607" s="9">
        <v>4</v>
      </c>
      <c r="J1607" s="9">
        <v>0</v>
      </c>
      <c r="K1607" s="9">
        <v>0</v>
      </c>
      <c r="L1607" s="9">
        <v>0</v>
      </c>
      <c r="M1607" s="9">
        <v>0</v>
      </c>
      <c r="N1607" s="9">
        <v>0</v>
      </c>
      <c r="O1607" s="9">
        <v>0</v>
      </c>
      <c r="P1607" s="9">
        <v>0</v>
      </c>
      <c r="Q1607" s="9">
        <v>2</v>
      </c>
      <c r="R1607" s="9">
        <v>0</v>
      </c>
      <c r="S1607" s="9">
        <v>0</v>
      </c>
      <c r="T1607" s="9">
        <v>0</v>
      </c>
      <c r="U1607" s="9">
        <v>4</v>
      </c>
      <c r="V1607" s="9">
        <v>2</v>
      </c>
      <c r="W1607" s="9">
        <v>1</v>
      </c>
      <c r="X1607" s="9">
        <v>4</v>
      </c>
      <c r="Y1607" s="9">
        <v>4</v>
      </c>
      <c r="Z1607" s="9">
        <v>1</v>
      </c>
      <c r="AA1607" s="9">
        <v>1</v>
      </c>
      <c r="AB1607" s="9">
        <v>0</v>
      </c>
      <c r="AC1607" s="9">
        <v>0</v>
      </c>
      <c r="AD1607" s="53" t="e">
        <f>#REF!*D1607</f>
        <v>#REF!</v>
      </c>
      <c r="AE1607" s="53" t="e">
        <f>AD1607-#REF!</f>
        <v>#REF!</v>
      </c>
      <c r="AF1607" s="8"/>
      <c r="AG1607" s="33" t="e">
        <f>#REF!-D1607</f>
        <v>#REF!</v>
      </c>
    </row>
    <row r="1608" spans="1:33" s="12" customFormat="1" ht="12" customHeight="1" outlineLevel="1" x14ac:dyDescent="0.2">
      <c r="A1608" s="62" t="s">
        <v>1829</v>
      </c>
      <c r="B1608" s="47" t="s">
        <v>122</v>
      </c>
      <c r="C1608" s="8" t="s">
        <v>47</v>
      </c>
      <c r="D1608" s="25">
        <f t="shared" si="391"/>
        <v>29</v>
      </c>
      <c r="E1608" s="54"/>
      <c r="F1608" s="9"/>
      <c r="G1608" s="9">
        <v>0</v>
      </c>
      <c r="H1608" s="9">
        <v>9</v>
      </c>
      <c r="I1608" s="9">
        <v>2</v>
      </c>
      <c r="J1608" s="9">
        <v>2</v>
      </c>
      <c r="K1608" s="9">
        <v>2</v>
      </c>
      <c r="L1608" s="9">
        <v>2</v>
      </c>
      <c r="M1608" s="9">
        <v>3</v>
      </c>
      <c r="N1608" s="9">
        <v>3</v>
      </c>
      <c r="O1608" s="9">
        <v>0</v>
      </c>
      <c r="P1608" s="9">
        <v>5</v>
      </c>
      <c r="Q1608" s="9">
        <v>0</v>
      </c>
      <c r="R1608" s="9">
        <v>0</v>
      </c>
      <c r="S1608" s="9">
        <v>0</v>
      </c>
      <c r="T1608" s="9">
        <v>0</v>
      </c>
      <c r="U1608" s="9">
        <v>0</v>
      </c>
      <c r="V1608" s="9">
        <v>0</v>
      </c>
      <c r="W1608" s="9">
        <v>0</v>
      </c>
      <c r="X1608" s="9">
        <v>0</v>
      </c>
      <c r="Y1608" s="9">
        <v>0</v>
      </c>
      <c r="Z1608" s="9">
        <v>1</v>
      </c>
      <c r="AA1608" s="9">
        <v>0</v>
      </c>
      <c r="AB1608" s="9">
        <v>0</v>
      </c>
      <c r="AC1608" s="9">
        <v>0</v>
      </c>
      <c r="AD1608" s="53" t="e">
        <f>#REF!*D1608</f>
        <v>#REF!</v>
      </c>
      <c r="AE1608" s="53" t="e">
        <f>AD1608-#REF!</f>
        <v>#REF!</v>
      </c>
      <c r="AF1608" s="8"/>
      <c r="AG1608" s="33" t="e">
        <f>#REF!-D1608</f>
        <v>#REF!</v>
      </c>
    </row>
    <row r="1609" spans="1:33" s="12" customFormat="1" ht="12" customHeight="1" outlineLevel="1" x14ac:dyDescent="0.2">
      <c r="A1609" s="62" t="s">
        <v>1830</v>
      </c>
      <c r="B1609" s="47" t="s">
        <v>123</v>
      </c>
      <c r="C1609" s="8" t="s">
        <v>47</v>
      </c>
      <c r="D1609" s="25">
        <f t="shared" si="391"/>
        <v>73</v>
      </c>
      <c r="E1609" s="54"/>
      <c r="F1609" s="9"/>
      <c r="G1609" s="9">
        <v>0</v>
      </c>
      <c r="H1609" s="9">
        <v>9</v>
      </c>
      <c r="I1609" s="9">
        <v>12</v>
      </c>
      <c r="J1609" s="9">
        <v>9</v>
      </c>
      <c r="K1609" s="9">
        <v>5</v>
      </c>
      <c r="L1609" s="9">
        <v>5</v>
      </c>
      <c r="M1609" s="9">
        <v>1</v>
      </c>
      <c r="N1609" s="9">
        <v>1</v>
      </c>
      <c r="O1609" s="9">
        <v>7</v>
      </c>
      <c r="P1609" s="9">
        <v>3</v>
      </c>
      <c r="Q1609" s="9">
        <v>2</v>
      </c>
      <c r="R1609" s="9">
        <v>0</v>
      </c>
      <c r="S1609" s="9">
        <v>0</v>
      </c>
      <c r="T1609" s="9">
        <v>0</v>
      </c>
      <c r="U1609" s="9">
        <v>4</v>
      </c>
      <c r="V1609" s="9">
        <v>3</v>
      </c>
      <c r="W1609" s="9">
        <v>4</v>
      </c>
      <c r="X1609" s="9">
        <v>2</v>
      </c>
      <c r="Y1609" s="9">
        <v>4</v>
      </c>
      <c r="Z1609" s="9">
        <v>2</v>
      </c>
      <c r="AA1609" s="9">
        <v>0</v>
      </c>
      <c r="AB1609" s="9">
        <v>0</v>
      </c>
      <c r="AC1609" s="9">
        <v>0</v>
      </c>
      <c r="AD1609" s="53" t="e">
        <f>#REF!*D1609</f>
        <v>#REF!</v>
      </c>
      <c r="AE1609" s="53" t="e">
        <f>AD1609-#REF!</f>
        <v>#REF!</v>
      </c>
      <c r="AF1609" s="8"/>
      <c r="AG1609" s="33" t="e">
        <f>#REF!-D1609</f>
        <v>#REF!</v>
      </c>
    </row>
    <row r="1610" spans="1:33" s="12" customFormat="1" ht="12" customHeight="1" outlineLevel="1" x14ac:dyDescent="0.2">
      <c r="A1610" s="62" t="s">
        <v>1831</v>
      </c>
      <c r="B1610" s="47" t="s">
        <v>124</v>
      </c>
      <c r="C1610" s="8" t="s">
        <v>47</v>
      </c>
      <c r="D1610" s="25">
        <f t="shared" si="391"/>
        <v>64</v>
      </c>
      <c r="E1610" s="54"/>
      <c r="F1610" s="9"/>
      <c r="G1610" s="9">
        <v>0</v>
      </c>
      <c r="H1610" s="9">
        <v>0</v>
      </c>
      <c r="I1610" s="9">
        <v>2</v>
      </c>
      <c r="J1610" s="9">
        <v>0</v>
      </c>
      <c r="K1610" s="9">
        <v>0</v>
      </c>
      <c r="L1610" s="9">
        <v>5</v>
      </c>
      <c r="M1610" s="9">
        <v>5</v>
      </c>
      <c r="N1610" s="9">
        <v>5</v>
      </c>
      <c r="O1610" s="9">
        <v>5</v>
      </c>
      <c r="P1610" s="9">
        <v>3</v>
      </c>
      <c r="Q1610" s="9">
        <v>2</v>
      </c>
      <c r="R1610" s="9">
        <v>0</v>
      </c>
      <c r="S1610" s="9">
        <v>0</v>
      </c>
      <c r="T1610" s="9">
        <v>0</v>
      </c>
      <c r="U1610" s="9">
        <v>6</v>
      </c>
      <c r="V1610" s="9">
        <v>4</v>
      </c>
      <c r="W1610" s="9">
        <v>4</v>
      </c>
      <c r="X1610" s="9">
        <v>4</v>
      </c>
      <c r="Y1610" s="9">
        <v>4</v>
      </c>
      <c r="Z1610" s="9">
        <v>2</v>
      </c>
      <c r="AA1610" s="9">
        <v>13</v>
      </c>
      <c r="AB1610" s="9">
        <v>0</v>
      </c>
      <c r="AC1610" s="9">
        <v>0</v>
      </c>
      <c r="AD1610" s="53" t="e">
        <f>#REF!*D1610</f>
        <v>#REF!</v>
      </c>
      <c r="AE1610" s="53" t="e">
        <f>AD1610-#REF!</f>
        <v>#REF!</v>
      </c>
      <c r="AF1610" s="8"/>
      <c r="AG1610" s="33" t="e">
        <f>#REF!-D1610</f>
        <v>#REF!</v>
      </c>
    </row>
    <row r="1611" spans="1:33" s="12" customFormat="1" ht="21.6" outlineLevel="1" x14ac:dyDescent="0.2">
      <c r="A1611" s="62" t="s">
        <v>1832</v>
      </c>
      <c r="B1611" s="47" t="s">
        <v>160</v>
      </c>
      <c r="C1611" s="9" t="s">
        <v>47</v>
      </c>
      <c r="D1611" s="25">
        <f t="shared" si="391"/>
        <v>32</v>
      </c>
      <c r="E1611" s="54"/>
      <c r="F1611" s="9"/>
      <c r="G1611" s="9">
        <v>0</v>
      </c>
      <c r="H1611" s="9">
        <v>13</v>
      </c>
      <c r="I1611" s="9">
        <v>2</v>
      </c>
      <c r="J1611" s="9">
        <v>1</v>
      </c>
      <c r="K1611" s="9">
        <v>2</v>
      </c>
      <c r="L1611" s="9">
        <v>5</v>
      </c>
      <c r="M1611" s="9">
        <v>0</v>
      </c>
      <c r="N1611" s="9">
        <v>0</v>
      </c>
      <c r="O1611" s="9">
        <v>0</v>
      </c>
      <c r="P1611" s="9">
        <v>5</v>
      </c>
      <c r="Q1611" s="9">
        <v>2</v>
      </c>
      <c r="R1611" s="9">
        <v>0</v>
      </c>
      <c r="S1611" s="9">
        <v>0</v>
      </c>
      <c r="T1611" s="9">
        <v>0</v>
      </c>
      <c r="U1611" s="9">
        <v>0</v>
      </c>
      <c r="V1611" s="9">
        <v>0</v>
      </c>
      <c r="W1611" s="9">
        <v>0</v>
      </c>
      <c r="X1611" s="9">
        <v>0</v>
      </c>
      <c r="Y1611" s="9">
        <v>0</v>
      </c>
      <c r="Z1611" s="9">
        <v>2</v>
      </c>
      <c r="AA1611" s="9">
        <v>0</v>
      </c>
      <c r="AB1611" s="9">
        <v>0</v>
      </c>
      <c r="AC1611" s="9">
        <v>0</v>
      </c>
      <c r="AD1611" s="53" t="e">
        <f>#REF!*D1611</f>
        <v>#REF!</v>
      </c>
      <c r="AE1611" s="53" t="e">
        <f>AD1611-#REF!</f>
        <v>#REF!</v>
      </c>
      <c r="AF1611" s="8"/>
      <c r="AG1611" s="33" t="e">
        <f>#REF!-D1611</f>
        <v>#REF!</v>
      </c>
    </row>
    <row r="1612" spans="1:33" s="12" customFormat="1" ht="21.6" outlineLevel="1" x14ac:dyDescent="0.2">
      <c r="A1612" s="62" t="s">
        <v>1833</v>
      </c>
      <c r="B1612" s="47" t="s">
        <v>132</v>
      </c>
      <c r="C1612" s="9" t="s">
        <v>47</v>
      </c>
      <c r="D1612" s="25">
        <f t="shared" si="391"/>
        <v>210</v>
      </c>
      <c r="E1612" s="54"/>
      <c r="F1612" s="9"/>
      <c r="G1612" s="9">
        <v>0</v>
      </c>
      <c r="H1612" s="9">
        <v>25</v>
      </c>
      <c r="I1612" s="9">
        <f>66-15</f>
        <v>51</v>
      </c>
      <c r="J1612" s="9">
        <f>38-11</f>
        <v>27</v>
      </c>
      <c r="K1612" s="9">
        <v>29</v>
      </c>
      <c r="L1612" s="9">
        <f>43-17</f>
        <v>26</v>
      </c>
      <c r="M1612" s="9">
        <v>2</v>
      </c>
      <c r="N1612" s="9">
        <v>2</v>
      </c>
      <c r="O1612" s="9">
        <v>7</v>
      </c>
      <c r="P1612" s="9">
        <v>4</v>
      </c>
      <c r="Q1612" s="9">
        <v>1</v>
      </c>
      <c r="R1612" s="9">
        <v>0</v>
      </c>
      <c r="S1612" s="9">
        <v>0</v>
      </c>
      <c r="T1612" s="9">
        <v>0</v>
      </c>
      <c r="U1612" s="9">
        <v>4</v>
      </c>
      <c r="V1612" s="9">
        <v>15</v>
      </c>
      <c r="W1612" s="9">
        <v>11</v>
      </c>
      <c r="X1612" s="9">
        <v>2</v>
      </c>
      <c r="Y1612" s="9">
        <v>2</v>
      </c>
      <c r="Z1612" s="9">
        <v>2</v>
      </c>
      <c r="AA1612" s="9">
        <v>0</v>
      </c>
      <c r="AB1612" s="9">
        <v>0</v>
      </c>
      <c r="AC1612" s="9">
        <v>0</v>
      </c>
      <c r="AD1612" s="53" t="e">
        <f>#REF!*D1612</f>
        <v>#REF!</v>
      </c>
      <c r="AE1612" s="53" t="e">
        <f>AD1612-#REF!</f>
        <v>#REF!</v>
      </c>
      <c r="AF1612" s="8"/>
      <c r="AG1612" s="33" t="e">
        <f>#REF!-D1612</f>
        <v>#REF!</v>
      </c>
    </row>
    <row r="1613" spans="1:33" s="12" customFormat="1" ht="21.6" outlineLevel="1" x14ac:dyDescent="0.2">
      <c r="A1613" s="62" t="s">
        <v>1834</v>
      </c>
      <c r="B1613" s="47" t="s">
        <v>133</v>
      </c>
      <c r="C1613" s="9" t="s">
        <v>47</v>
      </c>
      <c r="D1613" s="25">
        <f t="shared" si="391"/>
        <v>173</v>
      </c>
      <c r="E1613" s="54"/>
      <c r="F1613" s="9"/>
      <c r="G1613" s="9">
        <v>0</v>
      </c>
      <c r="H1613" s="9">
        <v>0</v>
      </c>
      <c r="I1613" s="9">
        <v>3</v>
      </c>
      <c r="J1613" s="9">
        <v>1</v>
      </c>
      <c r="K1613" s="9">
        <v>0</v>
      </c>
      <c r="L1613" s="9">
        <v>12</v>
      </c>
      <c r="M1613" s="9">
        <v>17</v>
      </c>
      <c r="N1613" s="9">
        <v>17</v>
      </c>
      <c r="O1613" s="9">
        <v>18</v>
      </c>
      <c r="P1613" s="9">
        <v>9</v>
      </c>
      <c r="Q1613" s="9">
        <v>2</v>
      </c>
      <c r="R1613" s="9">
        <v>0</v>
      </c>
      <c r="S1613" s="9">
        <v>0</v>
      </c>
      <c r="T1613" s="9">
        <v>0</v>
      </c>
      <c r="U1613" s="9">
        <v>4</v>
      </c>
      <c r="V1613" s="9">
        <v>8</v>
      </c>
      <c r="W1613" s="9">
        <v>32</v>
      </c>
      <c r="X1613" s="9">
        <v>19</v>
      </c>
      <c r="Y1613" s="9">
        <v>8</v>
      </c>
      <c r="Z1613" s="9">
        <v>4</v>
      </c>
      <c r="AA1613" s="9">
        <v>19</v>
      </c>
      <c r="AB1613" s="9">
        <v>0</v>
      </c>
      <c r="AC1613" s="9">
        <v>0</v>
      </c>
      <c r="AD1613" s="53" t="e">
        <f>#REF!*D1613</f>
        <v>#REF!</v>
      </c>
      <c r="AE1613" s="53" t="e">
        <f>AD1613-#REF!</f>
        <v>#REF!</v>
      </c>
      <c r="AF1613" s="8"/>
      <c r="AG1613" s="33" t="e">
        <f>#REF!-D1613</f>
        <v>#REF!</v>
      </c>
    </row>
    <row r="1614" spans="1:33" s="12" customFormat="1" ht="21.6" outlineLevel="1" x14ac:dyDescent="0.2">
      <c r="A1614" s="62" t="s">
        <v>1835</v>
      </c>
      <c r="B1614" s="47" t="s">
        <v>178</v>
      </c>
      <c r="C1614" s="9" t="s">
        <v>47</v>
      </c>
      <c r="D1614" s="25">
        <f t="shared" si="391"/>
        <v>32</v>
      </c>
      <c r="E1614" s="54"/>
      <c r="F1614" s="9"/>
      <c r="G1614" s="9">
        <v>0</v>
      </c>
      <c r="H1614" s="9">
        <v>0</v>
      </c>
      <c r="I1614" s="9">
        <v>2</v>
      </c>
      <c r="J1614" s="9">
        <v>0</v>
      </c>
      <c r="K1614" s="9">
        <v>0</v>
      </c>
      <c r="L1614" s="9">
        <v>1</v>
      </c>
      <c r="M1614" s="9">
        <v>2</v>
      </c>
      <c r="N1614" s="9">
        <v>2</v>
      </c>
      <c r="O1614" s="9">
        <v>2</v>
      </c>
      <c r="P1614" s="9">
        <v>0</v>
      </c>
      <c r="Q1614" s="9">
        <v>0</v>
      </c>
      <c r="R1614" s="9">
        <v>0</v>
      </c>
      <c r="S1614" s="9">
        <v>0</v>
      </c>
      <c r="T1614" s="9">
        <v>0</v>
      </c>
      <c r="U1614" s="9">
        <v>1</v>
      </c>
      <c r="V1614" s="9">
        <v>4</v>
      </c>
      <c r="W1614" s="9">
        <v>4</v>
      </c>
      <c r="X1614" s="9">
        <v>3</v>
      </c>
      <c r="Y1614" s="9">
        <v>2</v>
      </c>
      <c r="Z1614" s="9">
        <v>2</v>
      </c>
      <c r="AA1614" s="9">
        <v>7</v>
      </c>
      <c r="AB1614" s="9">
        <v>0</v>
      </c>
      <c r="AC1614" s="9">
        <v>0</v>
      </c>
      <c r="AD1614" s="53" t="e">
        <f>#REF!*D1614</f>
        <v>#REF!</v>
      </c>
      <c r="AE1614" s="53" t="e">
        <f>AD1614-#REF!</f>
        <v>#REF!</v>
      </c>
      <c r="AF1614" s="8"/>
      <c r="AG1614" s="33" t="e">
        <f>#REF!-D1614</f>
        <v>#REF!</v>
      </c>
    </row>
    <row r="1615" spans="1:33" s="12" customFormat="1" ht="10.199999999999999" outlineLevel="1" x14ac:dyDescent="0.2">
      <c r="A1615" s="62" t="s">
        <v>1836</v>
      </c>
      <c r="B1615" s="47" t="s">
        <v>1810</v>
      </c>
      <c r="C1615" s="8" t="s">
        <v>47</v>
      </c>
      <c r="D1615" s="25">
        <f t="shared" si="391"/>
        <v>330</v>
      </c>
      <c r="E1615" s="54"/>
      <c r="F1615" s="9"/>
      <c r="G1615" s="9">
        <v>0</v>
      </c>
      <c r="H1615" s="9">
        <f>32-9</f>
        <v>23</v>
      </c>
      <c r="I1615" s="9">
        <f>68-15</f>
        <v>53</v>
      </c>
      <c r="J1615" s="9">
        <v>23</v>
      </c>
      <c r="K1615" s="9">
        <v>28</v>
      </c>
      <c r="L1615" s="9">
        <f>29-12</f>
        <v>17</v>
      </c>
      <c r="M1615" s="9">
        <v>3</v>
      </c>
      <c r="N1615" s="9">
        <v>3</v>
      </c>
      <c r="O1615" s="9">
        <v>18</v>
      </c>
      <c r="P1615" s="9">
        <v>5</v>
      </c>
      <c r="Q1615" s="9">
        <v>3</v>
      </c>
      <c r="R1615" s="9">
        <v>0</v>
      </c>
      <c r="S1615" s="9">
        <v>0</v>
      </c>
      <c r="T1615" s="9">
        <v>0</v>
      </c>
      <c r="U1615" s="9">
        <f>21-7</f>
        <v>14</v>
      </c>
      <c r="V1615" s="9">
        <v>22</v>
      </c>
      <c r="W1615" s="9">
        <v>44</v>
      </c>
      <c r="X1615" s="9">
        <v>19</v>
      </c>
      <c r="Y1615" s="9">
        <v>15</v>
      </c>
      <c r="Z1615" s="9">
        <v>21</v>
      </c>
      <c r="AA1615" s="9">
        <v>19</v>
      </c>
      <c r="AB1615" s="9">
        <v>0</v>
      </c>
      <c r="AC1615" s="9">
        <v>0</v>
      </c>
      <c r="AD1615" s="53" t="e">
        <f>#REF!*D1615</f>
        <v>#REF!</v>
      </c>
      <c r="AE1615" s="53" t="e">
        <f>AD1615-#REF!</f>
        <v>#REF!</v>
      </c>
      <c r="AF1615" s="8"/>
      <c r="AG1615" s="33" t="e">
        <f>#REF!-D1615</f>
        <v>#REF!</v>
      </c>
    </row>
    <row r="1616" spans="1:33" s="12" customFormat="1" ht="20.399999999999999" outlineLevel="1" x14ac:dyDescent="0.2">
      <c r="A1616" s="62" t="s">
        <v>1837</v>
      </c>
      <c r="B1616" s="99" t="s">
        <v>2042</v>
      </c>
      <c r="C1616" s="9" t="s">
        <v>48</v>
      </c>
      <c r="D1616" s="25">
        <f t="shared" si="391"/>
        <v>1590</v>
      </c>
      <c r="E1616" s="54"/>
      <c r="F1616" s="9"/>
      <c r="G1616" s="49">
        <f t="shared" ref="G1616:T1616" si="397">G1590*6</f>
        <v>0</v>
      </c>
      <c r="H1616" s="49">
        <f t="shared" si="397"/>
        <v>204</v>
      </c>
      <c r="I1616" s="49">
        <f t="shared" si="397"/>
        <v>198</v>
      </c>
      <c r="J1616" s="49">
        <f t="shared" si="397"/>
        <v>114</v>
      </c>
      <c r="K1616" s="49">
        <f t="shared" si="397"/>
        <v>72</v>
      </c>
      <c r="L1616" s="49">
        <f t="shared" si="397"/>
        <v>120</v>
      </c>
      <c r="M1616" s="49">
        <f t="shared" si="397"/>
        <v>90</v>
      </c>
      <c r="N1616" s="49">
        <f t="shared" si="397"/>
        <v>90</v>
      </c>
      <c r="O1616" s="49">
        <f t="shared" si="397"/>
        <v>96</v>
      </c>
      <c r="P1616" s="49">
        <f t="shared" si="397"/>
        <v>48</v>
      </c>
      <c r="Q1616" s="49">
        <f t="shared" si="397"/>
        <v>12</v>
      </c>
      <c r="R1616" s="49">
        <f t="shared" si="397"/>
        <v>0</v>
      </c>
      <c r="S1616" s="49">
        <f t="shared" si="397"/>
        <v>0</v>
      </c>
      <c r="T1616" s="49">
        <f t="shared" si="397"/>
        <v>0</v>
      </c>
      <c r="U1616" s="49">
        <v>0</v>
      </c>
      <c r="V1616" s="49">
        <f t="shared" ref="V1616:AC1619" si="398">V1590*6</f>
        <v>78</v>
      </c>
      <c r="W1616" s="49">
        <f t="shared" si="398"/>
        <v>144</v>
      </c>
      <c r="X1616" s="49">
        <f t="shared" si="398"/>
        <v>96</v>
      </c>
      <c r="Y1616" s="49">
        <f t="shared" si="398"/>
        <v>54</v>
      </c>
      <c r="Z1616" s="49">
        <f t="shared" si="398"/>
        <v>78</v>
      </c>
      <c r="AA1616" s="49">
        <f t="shared" si="398"/>
        <v>96</v>
      </c>
      <c r="AB1616" s="49">
        <f t="shared" si="398"/>
        <v>0</v>
      </c>
      <c r="AC1616" s="49">
        <f t="shared" si="398"/>
        <v>0</v>
      </c>
      <c r="AD1616" s="53" t="e">
        <f>#REF!*D1616</f>
        <v>#REF!</v>
      </c>
      <c r="AE1616" s="53" t="e">
        <f>AD1616-#REF!</f>
        <v>#REF!</v>
      </c>
      <c r="AF1616" s="8"/>
      <c r="AG1616" s="33" t="e">
        <f>#REF!-D1616</f>
        <v>#REF!</v>
      </c>
    </row>
    <row r="1617" spans="1:37" s="12" customFormat="1" ht="20.399999999999999" outlineLevel="1" x14ac:dyDescent="0.2">
      <c r="A1617" s="62" t="s">
        <v>1838</v>
      </c>
      <c r="B1617" s="99" t="s">
        <v>2043</v>
      </c>
      <c r="C1617" s="9" t="s">
        <v>48</v>
      </c>
      <c r="D1617" s="25">
        <f t="shared" si="391"/>
        <v>789</v>
      </c>
      <c r="E1617" s="54"/>
      <c r="F1617" s="9"/>
      <c r="G1617" s="49">
        <f t="shared" ref="G1617:T1617" si="399">G1591*6</f>
        <v>0</v>
      </c>
      <c r="H1617" s="49">
        <f t="shared" si="399"/>
        <v>102</v>
      </c>
      <c r="I1617" s="49">
        <f t="shared" si="399"/>
        <v>99</v>
      </c>
      <c r="J1617" s="49">
        <f t="shared" si="399"/>
        <v>57</v>
      </c>
      <c r="K1617" s="49">
        <f t="shared" si="399"/>
        <v>36</v>
      </c>
      <c r="L1617" s="49">
        <f t="shared" si="399"/>
        <v>60</v>
      </c>
      <c r="M1617" s="49">
        <f t="shared" si="399"/>
        <v>42</v>
      </c>
      <c r="N1617" s="49">
        <f t="shared" si="399"/>
        <v>42</v>
      </c>
      <c r="O1617" s="49">
        <f t="shared" si="399"/>
        <v>48</v>
      </c>
      <c r="P1617" s="49">
        <f t="shared" si="399"/>
        <v>24</v>
      </c>
      <c r="Q1617" s="49">
        <f t="shared" si="399"/>
        <v>6</v>
      </c>
      <c r="R1617" s="49">
        <f t="shared" si="399"/>
        <v>0</v>
      </c>
      <c r="S1617" s="49">
        <f t="shared" si="399"/>
        <v>0</v>
      </c>
      <c r="T1617" s="49">
        <f t="shared" si="399"/>
        <v>0</v>
      </c>
      <c r="U1617" s="49">
        <v>0</v>
      </c>
      <c r="V1617" s="49">
        <f t="shared" si="398"/>
        <v>39</v>
      </c>
      <c r="W1617" s="49">
        <f t="shared" si="398"/>
        <v>72</v>
      </c>
      <c r="X1617" s="49">
        <f t="shared" si="398"/>
        <v>48</v>
      </c>
      <c r="Y1617" s="49">
        <f t="shared" si="398"/>
        <v>27</v>
      </c>
      <c r="Z1617" s="49">
        <f t="shared" si="398"/>
        <v>39</v>
      </c>
      <c r="AA1617" s="49">
        <f t="shared" si="398"/>
        <v>48</v>
      </c>
      <c r="AB1617" s="49">
        <f t="shared" si="398"/>
        <v>0</v>
      </c>
      <c r="AC1617" s="49">
        <f t="shared" si="398"/>
        <v>0</v>
      </c>
      <c r="AD1617" s="53" t="e">
        <f>#REF!*D1617</f>
        <v>#REF!</v>
      </c>
      <c r="AE1617" s="53" t="e">
        <f>AD1617-#REF!</f>
        <v>#REF!</v>
      </c>
      <c r="AF1617" s="8"/>
      <c r="AG1617" s="33" t="e">
        <f>#REF!-D1617</f>
        <v>#REF!</v>
      </c>
    </row>
    <row r="1618" spans="1:37" s="12" customFormat="1" ht="20.399999999999999" outlineLevel="1" x14ac:dyDescent="0.2">
      <c r="A1618" s="62" t="s">
        <v>1839</v>
      </c>
      <c r="B1618" s="99" t="s">
        <v>2044</v>
      </c>
      <c r="C1618" s="9" t="s">
        <v>48</v>
      </c>
      <c r="D1618" s="25">
        <f t="shared" si="391"/>
        <v>3732</v>
      </c>
      <c r="E1618" s="54"/>
      <c r="F1618" s="9"/>
      <c r="G1618" s="49">
        <f t="shared" ref="G1618:T1618" si="400">G1592*6</f>
        <v>0</v>
      </c>
      <c r="H1618" s="49">
        <f t="shared" si="400"/>
        <v>612</v>
      </c>
      <c r="I1618" s="49">
        <f t="shared" si="400"/>
        <v>546</v>
      </c>
      <c r="J1618" s="49">
        <f t="shared" si="400"/>
        <v>306</v>
      </c>
      <c r="K1618" s="49">
        <f t="shared" si="400"/>
        <v>312</v>
      </c>
      <c r="L1618" s="49">
        <f t="shared" si="400"/>
        <v>426</v>
      </c>
      <c r="M1618" s="49">
        <f t="shared" si="400"/>
        <v>162</v>
      </c>
      <c r="N1618" s="49">
        <f t="shared" si="400"/>
        <v>162</v>
      </c>
      <c r="O1618" s="49">
        <f t="shared" si="400"/>
        <v>222</v>
      </c>
      <c r="P1618" s="49">
        <f t="shared" si="400"/>
        <v>126</v>
      </c>
      <c r="Q1618" s="49">
        <f t="shared" si="400"/>
        <v>18</v>
      </c>
      <c r="R1618" s="49">
        <f t="shared" si="400"/>
        <v>0</v>
      </c>
      <c r="S1618" s="49">
        <f t="shared" si="400"/>
        <v>0</v>
      </c>
      <c r="T1618" s="49">
        <f t="shared" si="400"/>
        <v>0</v>
      </c>
      <c r="U1618" s="49">
        <v>0</v>
      </c>
      <c r="V1618" s="49">
        <f t="shared" si="398"/>
        <v>132</v>
      </c>
      <c r="W1618" s="49">
        <f t="shared" si="398"/>
        <v>264</v>
      </c>
      <c r="X1618" s="49">
        <f t="shared" si="398"/>
        <v>114</v>
      </c>
      <c r="Y1618" s="49">
        <f t="shared" si="398"/>
        <v>90</v>
      </c>
      <c r="Z1618" s="49">
        <f t="shared" si="398"/>
        <v>126</v>
      </c>
      <c r="AA1618" s="49">
        <f t="shared" si="398"/>
        <v>114</v>
      </c>
      <c r="AB1618" s="49">
        <f t="shared" si="398"/>
        <v>0</v>
      </c>
      <c r="AC1618" s="49">
        <f t="shared" si="398"/>
        <v>0</v>
      </c>
      <c r="AD1618" s="53" t="e">
        <f>#REF!*D1618</f>
        <v>#REF!</v>
      </c>
      <c r="AE1618" s="53" t="e">
        <f>AD1618-#REF!</f>
        <v>#REF!</v>
      </c>
      <c r="AF1618" s="8"/>
      <c r="AG1618" s="33" t="e">
        <f>#REF!-D1618</f>
        <v>#REF!</v>
      </c>
    </row>
    <row r="1619" spans="1:37" s="12" customFormat="1" ht="20.399999999999999" outlineLevel="1" x14ac:dyDescent="0.2">
      <c r="A1619" s="62" t="s">
        <v>1840</v>
      </c>
      <c r="B1619" s="99" t="s">
        <v>2045</v>
      </c>
      <c r="C1619" s="9" t="s">
        <v>48</v>
      </c>
      <c r="D1619" s="25">
        <f t="shared" si="391"/>
        <v>1152</v>
      </c>
      <c r="E1619" s="54"/>
      <c r="F1619" s="9"/>
      <c r="G1619" s="49">
        <f t="shared" ref="G1619:T1619" si="401">G1593*6</f>
        <v>0</v>
      </c>
      <c r="H1619" s="49">
        <f t="shared" si="401"/>
        <v>96</v>
      </c>
      <c r="I1619" s="49">
        <f t="shared" si="401"/>
        <v>30</v>
      </c>
      <c r="J1619" s="49">
        <f t="shared" si="401"/>
        <v>36</v>
      </c>
      <c r="K1619" s="49">
        <f t="shared" si="401"/>
        <v>30</v>
      </c>
      <c r="L1619" s="49">
        <f t="shared" si="401"/>
        <v>48</v>
      </c>
      <c r="M1619" s="49">
        <f t="shared" si="401"/>
        <v>12</v>
      </c>
      <c r="N1619" s="49">
        <f t="shared" si="401"/>
        <v>12</v>
      </c>
      <c r="O1619" s="49">
        <f t="shared" si="401"/>
        <v>12</v>
      </c>
      <c r="P1619" s="49">
        <f t="shared" si="401"/>
        <v>18</v>
      </c>
      <c r="Q1619" s="49">
        <f t="shared" si="401"/>
        <v>18</v>
      </c>
      <c r="R1619" s="49">
        <f t="shared" si="401"/>
        <v>0</v>
      </c>
      <c r="S1619" s="49">
        <f t="shared" si="401"/>
        <v>0</v>
      </c>
      <c r="T1619" s="49">
        <f t="shared" si="401"/>
        <v>0</v>
      </c>
      <c r="U1619" s="49">
        <v>0</v>
      </c>
      <c r="V1619" s="49">
        <f t="shared" si="398"/>
        <v>132</v>
      </c>
      <c r="W1619" s="49">
        <f t="shared" si="398"/>
        <v>264</v>
      </c>
      <c r="X1619" s="49">
        <f t="shared" si="398"/>
        <v>114</v>
      </c>
      <c r="Y1619" s="49">
        <f t="shared" si="398"/>
        <v>90</v>
      </c>
      <c r="Z1619" s="49">
        <f t="shared" si="398"/>
        <v>126</v>
      </c>
      <c r="AA1619" s="49">
        <f t="shared" si="398"/>
        <v>114</v>
      </c>
      <c r="AB1619" s="49">
        <f t="shared" si="398"/>
        <v>0</v>
      </c>
      <c r="AC1619" s="49">
        <f t="shared" si="398"/>
        <v>0</v>
      </c>
      <c r="AD1619" s="53" t="e">
        <f>#REF!*D1619</f>
        <v>#REF!</v>
      </c>
      <c r="AE1619" s="53" t="e">
        <f>AD1619-#REF!</f>
        <v>#REF!</v>
      </c>
      <c r="AF1619" s="8"/>
      <c r="AG1619" s="33" t="e">
        <f>#REF!-D1619</f>
        <v>#REF!</v>
      </c>
    </row>
    <row r="1620" spans="1:37" s="12" customFormat="1" ht="12" customHeight="1" outlineLevel="1" x14ac:dyDescent="0.2">
      <c r="A1620" s="62" t="s">
        <v>1841</v>
      </c>
      <c r="B1620" s="11" t="s">
        <v>103</v>
      </c>
      <c r="C1620" s="9" t="s">
        <v>0</v>
      </c>
      <c r="D1620" s="25">
        <f t="shared" si="391"/>
        <v>158</v>
      </c>
      <c r="E1620" s="54"/>
      <c r="F1620" s="9"/>
      <c r="G1620" s="49">
        <f t="shared" ref="G1620:AC1620" si="402">MROUND(SUM(G1590:G1615)*3.5/90,1)</f>
        <v>0</v>
      </c>
      <c r="H1620" s="49">
        <f t="shared" si="402"/>
        <v>15</v>
      </c>
      <c r="I1620" s="49">
        <f t="shared" si="402"/>
        <v>20</v>
      </c>
      <c r="J1620" s="49">
        <f t="shared" si="402"/>
        <v>10</v>
      </c>
      <c r="K1620" s="49">
        <f t="shared" si="402"/>
        <v>9</v>
      </c>
      <c r="L1620" s="49">
        <f t="shared" si="402"/>
        <v>14</v>
      </c>
      <c r="M1620" s="49">
        <f t="shared" si="402"/>
        <v>7</v>
      </c>
      <c r="N1620" s="49">
        <f t="shared" si="402"/>
        <v>7</v>
      </c>
      <c r="O1620" s="49">
        <f t="shared" si="402"/>
        <v>10</v>
      </c>
      <c r="P1620" s="49">
        <f t="shared" si="402"/>
        <v>7</v>
      </c>
      <c r="Q1620" s="49">
        <f t="shared" si="402"/>
        <v>2</v>
      </c>
      <c r="R1620" s="49">
        <f t="shared" si="402"/>
        <v>0</v>
      </c>
      <c r="S1620" s="49">
        <f t="shared" si="402"/>
        <v>0</v>
      </c>
      <c r="T1620" s="49">
        <f t="shared" si="402"/>
        <v>0</v>
      </c>
      <c r="U1620" s="49">
        <f t="shared" si="402"/>
        <v>6</v>
      </c>
      <c r="V1620" s="49">
        <f t="shared" si="402"/>
        <v>8</v>
      </c>
      <c r="W1620" s="49">
        <f t="shared" si="402"/>
        <v>14</v>
      </c>
      <c r="X1620" s="49">
        <f t="shared" si="402"/>
        <v>8</v>
      </c>
      <c r="Y1620" s="49">
        <f t="shared" si="402"/>
        <v>6</v>
      </c>
      <c r="Z1620" s="49">
        <f t="shared" si="402"/>
        <v>7</v>
      </c>
      <c r="AA1620" s="49">
        <f t="shared" si="402"/>
        <v>8</v>
      </c>
      <c r="AB1620" s="49">
        <f t="shared" si="402"/>
        <v>0</v>
      </c>
      <c r="AC1620" s="49">
        <f t="shared" si="402"/>
        <v>0</v>
      </c>
      <c r="AD1620" s="53" t="e">
        <f>#REF!*D1620</f>
        <v>#REF!</v>
      </c>
      <c r="AE1620" s="53" t="e">
        <f>AD1620-#REF!</f>
        <v>#REF!</v>
      </c>
      <c r="AF1620" s="9"/>
      <c r="AG1620" s="33" t="e">
        <f>#REF!-D1620</f>
        <v>#REF!</v>
      </c>
    </row>
    <row r="1621" spans="1:37" s="12" customFormat="1" ht="20.399999999999999" outlineLevel="1" x14ac:dyDescent="0.2">
      <c r="A1621" s="62" t="s">
        <v>1842</v>
      </c>
      <c r="B1621" s="14" t="s">
        <v>106</v>
      </c>
      <c r="C1621" s="8" t="s">
        <v>49</v>
      </c>
      <c r="D1621" s="25">
        <f t="shared" si="391"/>
        <v>16</v>
      </c>
      <c r="E1621" s="54"/>
      <c r="F1621" s="9"/>
      <c r="G1621" s="49">
        <f t="shared" ref="G1621:T1621" si="403">MROUND(G1620*0.075,1)</f>
        <v>0</v>
      </c>
      <c r="H1621" s="49">
        <f t="shared" si="403"/>
        <v>1</v>
      </c>
      <c r="I1621" s="49">
        <f t="shared" si="403"/>
        <v>2</v>
      </c>
      <c r="J1621" s="49">
        <f t="shared" si="403"/>
        <v>1</v>
      </c>
      <c r="K1621" s="49">
        <f t="shared" si="403"/>
        <v>1</v>
      </c>
      <c r="L1621" s="49">
        <f t="shared" si="403"/>
        <v>1</v>
      </c>
      <c r="M1621" s="49">
        <f t="shared" si="403"/>
        <v>1</v>
      </c>
      <c r="N1621" s="49">
        <f t="shared" si="403"/>
        <v>1</v>
      </c>
      <c r="O1621" s="49">
        <f t="shared" si="403"/>
        <v>1</v>
      </c>
      <c r="P1621" s="49">
        <f t="shared" si="403"/>
        <v>1</v>
      </c>
      <c r="Q1621" s="49">
        <f t="shared" si="403"/>
        <v>0</v>
      </c>
      <c r="R1621" s="49">
        <f t="shared" si="403"/>
        <v>0</v>
      </c>
      <c r="S1621" s="49">
        <f t="shared" si="403"/>
        <v>0</v>
      </c>
      <c r="T1621" s="49">
        <f t="shared" si="403"/>
        <v>0</v>
      </c>
      <c r="U1621" s="49">
        <v>1</v>
      </c>
      <c r="V1621" s="49">
        <f t="shared" ref="V1621:AC1621" si="404">MROUND(V1620*0.075,1)</f>
        <v>1</v>
      </c>
      <c r="W1621" s="49">
        <f t="shared" si="404"/>
        <v>1</v>
      </c>
      <c r="X1621" s="49">
        <f t="shared" si="404"/>
        <v>1</v>
      </c>
      <c r="Y1621" s="49">
        <f t="shared" si="404"/>
        <v>0</v>
      </c>
      <c r="Z1621" s="49">
        <f t="shared" si="404"/>
        <v>1</v>
      </c>
      <c r="AA1621" s="49">
        <f t="shared" si="404"/>
        <v>1</v>
      </c>
      <c r="AB1621" s="49">
        <f t="shared" si="404"/>
        <v>0</v>
      </c>
      <c r="AC1621" s="49">
        <f t="shared" si="404"/>
        <v>0</v>
      </c>
      <c r="AD1621" s="53" t="e">
        <f>#REF!*D1621</f>
        <v>#REF!</v>
      </c>
      <c r="AE1621" s="53" t="e">
        <f>AD1621-#REF!</f>
        <v>#REF!</v>
      </c>
      <c r="AF1621" s="8"/>
      <c r="AG1621" s="33" t="e">
        <f>#REF!-D1621</f>
        <v>#REF!</v>
      </c>
    </row>
    <row r="1622" spans="1:37" s="12" customFormat="1" ht="12" customHeight="1" outlineLevel="1" x14ac:dyDescent="0.2">
      <c r="A1622" s="62" t="s">
        <v>1843</v>
      </c>
      <c r="B1622" s="11" t="s">
        <v>108</v>
      </c>
      <c r="C1622" s="8" t="s">
        <v>47</v>
      </c>
      <c r="D1622" s="25">
        <f t="shared" si="391"/>
        <v>79</v>
      </c>
      <c r="E1622" s="54"/>
      <c r="F1622" s="9"/>
      <c r="G1622" s="9">
        <v>0</v>
      </c>
      <c r="H1622" s="49">
        <f t="shared" ref="H1622:R1622" si="405">H1620*0.5</f>
        <v>7.5</v>
      </c>
      <c r="I1622" s="49">
        <f t="shared" si="405"/>
        <v>10</v>
      </c>
      <c r="J1622" s="49">
        <f t="shared" si="405"/>
        <v>5</v>
      </c>
      <c r="K1622" s="49">
        <f t="shared" si="405"/>
        <v>4.5</v>
      </c>
      <c r="L1622" s="49">
        <f t="shared" si="405"/>
        <v>7</v>
      </c>
      <c r="M1622" s="49">
        <f t="shared" si="405"/>
        <v>3.5</v>
      </c>
      <c r="N1622" s="49">
        <f t="shared" si="405"/>
        <v>3.5</v>
      </c>
      <c r="O1622" s="49">
        <f t="shared" si="405"/>
        <v>5</v>
      </c>
      <c r="P1622" s="49">
        <f t="shared" si="405"/>
        <v>3.5</v>
      </c>
      <c r="Q1622" s="49">
        <f t="shared" si="405"/>
        <v>1</v>
      </c>
      <c r="R1622" s="49">
        <f t="shared" si="405"/>
        <v>0</v>
      </c>
      <c r="S1622" s="9">
        <v>0</v>
      </c>
      <c r="T1622" s="9">
        <v>0</v>
      </c>
      <c r="U1622" s="49">
        <f t="shared" ref="U1622:AA1622" si="406">U1620*0.5</f>
        <v>3</v>
      </c>
      <c r="V1622" s="49">
        <f t="shared" si="406"/>
        <v>4</v>
      </c>
      <c r="W1622" s="49">
        <f t="shared" si="406"/>
        <v>7</v>
      </c>
      <c r="X1622" s="49">
        <f t="shared" si="406"/>
        <v>4</v>
      </c>
      <c r="Y1622" s="49">
        <f t="shared" si="406"/>
        <v>3</v>
      </c>
      <c r="Z1622" s="49">
        <f t="shared" si="406"/>
        <v>3.5</v>
      </c>
      <c r="AA1622" s="49">
        <f t="shared" si="406"/>
        <v>4</v>
      </c>
      <c r="AB1622" s="9">
        <v>0</v>
      </c>
      <c r="AC1622" s="9">
        <v>0</v>
      </c>
      <c r="AD1622" s="53" t="e">
        <f>#REF!*D1622</f>
        <v>#REF!</v>
      </c>
      <c r="AE1622" s="53" t="e">
        <f>AD1622-#REF!</f>
        <v>#REF!</v>
      </c>
      <c r="AF1622" s="8"/>
      <c r="AG1622" s="33" t="e">
        <f>#REF!-D1622</f>
        <v>#REF!</v>
      </c>
    </row>
    <row r="1623" spans="1:37" s="12" customFormat="1" ht="12" customHeight="1" outlineLevel="1" x14ac:dyDescent="0.2">
      <c r="A1623" s="62" t="s">
        <v>1844</v>
      </c>
      <c r="B1623" s="11" t="s">
        <v>107</v>
      </c>
      <c r="C1623" s="8" t="s">
        <v>47</v>
      </c>
      <c r="D1623" s="25">
        <f t="shared" si="391"/>
        <v>39.5</v>
      </c>
      <c r="E1623" s="54"/>
      <c r="F1623" s="9"/>
      <c r="G1623" s="9">
        <v>0</v>
      </c>
      <c r="H1623" s="49">
        <f t="shared" ref="H1623:R1623" si="407">H1622/2</f>
        <v>3.75</v>
      </c>
      <c r="I1623" s="49">
        <f t="shared" si="407"/>
        <v>5</v>
      </c>
      <c r="J1623" s="49">
        <f t="shared" si="407"/>
        <v>2.5</v>
      </c>
      <c r="K1623" s="49">
        <f t="shared" si="407"/>
        <v>2.25</v>
      </c>
      <c r="L1623" s="49">
        <f t="shared" si="407"/>
        <v>3.5</v>
      </c>
      <c r="M1623" s="49">
        <f t="shared" si="407"/>
        <v>1.75</v>
      </c>
      <c r="N1623" s="49">
        <f t="shared" si="407"/>
        <v>1.75</v>
      </c>
      <c r="O1623" s="49">
        <f t="shared" si="407"/>
        <v>2.5</v>
      </c>
      <c r="P1623" s="49">
        <f t="shared" si="407"/>
        <v>1.75</v>
      </c>
      <c r="Q1623" s="49">
        <f t="shared" si="407"/>
        <v>0.5</v>
      </c>
      <c r="R1623" s="49">
        <f t="shared" si="407"/>
        <v>0</v>
      </c>
      <c r="S1623" s="9">
        <v>0</v>
      </c>
      <c r="T1623" s="9">
        <v>0</v>
      </c>
      <c r="U1623" s="49">
        <f t="shared" ref="U1623:AA1623" si="408">U1622/2</f>
        <v>1.5</v>
      </c>
      <c r="V1623" s="49">
        <f t="shared" si="408"/>
        <v>2</v>
      </c>
      <c r="W1623" s="49">
        <f t="shared" si="408"/>
        <v>3.5</v>
      </c>
      <c r="X1623" s="49">
        <f t="shared" si="408"/>
        <v>2</v>
      </c>
      <c r="Y1623" s="49">
        <f t="shared" si="408"/>
        <v>1.5</v>
      </c>
      <c r="Z1623" s="49">
        <f t="shared" si="408"/>
        <v>1.75</v>
      </c>
      <c r="AA1623" s="49">
        <f t="shared" si="408"/>
        <v>2</v>
      </c>
      <c r="AB1623" s="9">
        <v>0</v>
      </c>
      <c r="AC1623" s="9">
        <v>0</v>
      </c>
      <c r="AD1623" s="53" t="e">
        <f>#REF!*D1623</f>
        <v>#REF!</v>
      </c>
      <c r="AE1623" s="53" t="e">
        <f>AD1623-#REF!</f>
        <v>#REF!</v>
      </c>
      <c r="AF1623" s="8"/>
      <c r="AG1623" s="33" t="e">
        <f>#REF!-D1623</f>
        <v>#REF!</v>
      </c>
    </row>
    <row r="1624" spans="1:37" s="12" customFormat="1" ht="12" customHeight="1" outlineLevel="1" x14ac:dyDescent="0.2">
      <c r="A1624" s="62" t="s">
        <v>1845</v>
      </c>
      <c r="B1624" s="11" t="s">
        <v>109</v>
      </c>
      <c r="C1624" s="8" t="s">
        <v>47</v>
      </c>
      <c r="D1624" s="25">
        <f t="shared" si="391"/>
        <v>19.75</v>
      </c>
      <c r="E1624" s="54"/>
      <c r="F1624" s="9"/>
      <c r="G1624" s="9">
        <v>0</v>
      </c>
      <c r="H1624" s="49">
        <f t="shared" ref="H1624:R1624" si="409">H1622/4</f>
        <v>1.875</v>
      </c>
      <c r="I1624" s="49">
        <f t="shared" si="409"/>
        <v>2.5</v>
      </c>
      <c r="J1624" s="49">
        <f t="shared" si="409"/>
        <v>1.25</v>
      </c>
      <c r="K1624" s="49">
        <f t="shared" si="409"/>
        <v>1.125</v>
      </c>
      <c r="L1624" s="49">
        <f t="shared" si="409"/>
        <v>1.75</v>
      </c>
      <c r="M1624" s="49">
        <f t="shared" si="409"/>
        <v>0.875</v>
      </c>
      <c r="N1624" s="49">
        <f t="shared" si="409"/>
        <v>0.875</v>
      </c>
      <c r="O1624" s="49">
        <f t="shared" si="409"/>
        <v>1.25</v>
      </c>
      <c r="P1624" s="49">
        <f t="shared" si="409"/>
        <v>0.875</v>
      </c>
      <c r="Q1624" s="49">
        <f t="shared" si="409"/>
        <v>0.25</v>
      </c>
      <c r="R1624" s="49">
        <f t="shared" si="409"/>
        <v>0</v>
      </c>
      <c r="S1624" s="9">
        <v>0</v>
      </c>
      <c r="T1624" s="9">
        <v>0</v>
      </c>
      <c r="U1624" s="49">
        <f t="shared" ref="U1624:AA1624" si="410">U1622/4</f>
        <v>0.75</v>
      </c>
      <c r="V1624" s="49">
        <f t="shared" si="410"/>
        <v>1</v>
      </c>
      <c r="W1624" s="49">
        <f t="shared" si="410"/>
        <v>1.75</v>
      </c>
      <c r="X1624" s="49">
        <f t="shared" si="410"/>
        <v>1</v>
      </c>
      <c r="Y1624" s="49">
        <f t="shared" si="410"/>
        <v>0.75</v>
      </c>
      <c r="Z1624" s="49">
        <f t="shared" si="410"/>
        <v>0.875</v>
      </c>
      <c r="AA1624" s="49">
        <f t="shared" si="410"/>
        <v>1</v>
      </c>
      <c r="AB1624" s="9">
        <v>0</v>
      </c>
      <c r="AC1624" s="9">
        <v>0</v>
      </c>
      <c r="AD1624" s="53" t="e">
        <f>#REF!*D1624</f>
        <v>#REF!</v>
      </c>
      <c r="AE1624" s="53" t="e">
        <f>AD1624-#REF!</f>
        <v>#REF!</v>
      </c>
      <c r="AF1624" s="8"/>
      <c r="AG1624" s="33" t="e">
        <f>#REF!-D1624</f>
        <v>#REF!</v>
      </c>
    </row>
    <row r="1625" spans="1:37" s="12" customFormat="1" ht="20.399999999999999" outlineLevel="1" x14ac:dyDescent="0.2">
      <c r="A1625" s="62" t="s">
        <v>1846</v>
      </c>
      <c r="B1625" s="14" t="s">
        <v>69</v>
      </c>
      <c r="C1625" s="9" t="s">
        <v>47</v>
      </c>
      <c r="D1625" s="25">
        <f t="shared" si="391"/>
        <v>1278</v>
      </c>
      <c r="E1625" s="54"/>
      <c r="F1625" s="9"/>
      <c r="G1625" s="9">
        <v>0</v>
      </c>
      <c r="H1625" s="9">
        <f>120-35</f>
        <v>85</v>
      </c>
      <c r="I1625" s="9">
        <f>230-50</f>
        <v>180</v>
      </c>
      <c r="J1625" s="9">
        <f>140-42</f>
        <v>98</v>
      </c>
      <c r="K1625" s="9">
        <v>75</v>
      </c>
      <c r="L1625" s="9">
        <v>100</v>
      </c>
      <c r="M1625" s="9">
        <v>75</v>
      </c>
      <c r="N1625" s="9">
        <v>75</v>
      </c>
      <c r="O1625" s="9">
        <v>85</v>
      </c>
      <c r="P1625" s="9">
        <v>70</v>
      </c>
      <c r="Q1625" s="9">
        <v>30</v>
      </c>
      <c r="R1625" s="9">
        <v>0</v>
      </c>
      <c r="S1625" s="9">
        <v>0</v>
      </c>
      <c r="T1625" s="9">
        <v>0</v>
      </c>
      <c r="U1625" s="9">
        <v>0</v>
      </c>
      <c r="V1625" s="9">
        <v>70</v>
      </c>
      <c r="W1625" s="9">
        <v>100</v>
      </c>
      <c r="X1625" s="9">
        <v>75</v>
      </c>
      <c r="Y1625" s="9">
        <v>45</v>
      </c>
      <c r="Z1625" s="9">
        <v>55</v>
      </c>
      <c r="AA1625" s="9">
        <v>60</v>
      </c>
      <c r="AB1625" s="9">
        <v>0</v>
      </c>
      <c r="AC1625" s="9">
        <v>0</v>
      </c>
      <c r="AD1625" s="53" t="e">
        <f>#REF!*D1625</f>
        <v>#REF!</v>
      </c>
      <c r="AE1625" s="53" t="e">
        <f>AD1625-#REF!</f>
        <v>#REF!</v>
      </c>
      <c r="AF1625" s="9"/>
      <c r="AG1625" s="33" t="e">
        <f>#REF!-D1625</f>
        <v>#REF!</v>
      </c>
    </row>
    <row r="1626" spans="1:37" s="12" customFormat="1" ht="20.399999999999999" outlineLevel="1" x14ac:dyDescent="0.2">
      <c r="A1626" s="62" t="s">
        <v>1847</v>
      </c>
      <c r="B1626" s="14" t="s">
        <v>110</v>
      </c>
      <c r="C1626" s="9" t="s">
        <v>48</v>
      </c>
      <c r="D1626" s="25">
        <f t="shared" si="391"/>
        <v>318</v>
      </c>
      <c r="E1626" s="54"/>
      <c r="F1626" s="9"/>
      <c r="G1626" s="49">
        <f t="shared" ref="G1626:AC1626" si="411">MROUND(G1625*0.25,3)</f>
        <v>0</v>
      </c>
      <c r="H1626" s="49">
        <f t="shared" si="411"/>
        <v>21</v>
      </c>
      <c r="I1626" s="49">
        <f t="shared" si="411"/>
        <v>45</v>
      </c>
      <c r="J1626" s="49">
        <f t="shared" si="411"/>
        <v>24</v>
      </c>
      <c r="K1626" s="49">
        <f t="shared" si="411"/>
        <v>18</v>
      </c>
      <c r="L1626" s="49">
        <f t="shared" si="411"/>
        <v>24</v>
      </c>
      <c r="M1626" s="49">
        <f t="shared" si="411"/>
        <v>18</v>
      </c>
      <c r="N1626" s="49">
        <f t="shared" si="411"/>
        <v>18</v>
      </c>
      <c r="O1626" s="49">
        <f t="shared" si="411"/>
        <v>21</v>
      </c>
      <c r="P1626" s="49">
        <f t="shared" si="411"/>
        <v>18</v>
      </c>
      <c r="Q1626" s="49">
        <f t="shared" si="411"/>
        <v>9</v>
      </c>
      <c r="R1626" s="49">
        <f t="shared" si="411"/>
        <v>0</v>
      </c>
      <c r="S1626" s="49">
        <f t="shared" si="411"/>
        <v>0</v>
      </c>
      <c r="T1626" s="49">
        <f t="shared" si="411"/>
        <v>0</v>
      </c>
      <c r="U1626" s="49">
        <f t="shared" si="411"/>
        <v>0</v>
      </c>
      <c r="V1626" s="49">
        <f t="shared" si="411"/>
        <v>18</v>
      </c>
      <c r="W1626" s="49">
        <f t="shared" si="411"/>
        <v>24</v>
      </c>
      <c r="X1626" s="49">
        <f t="shared" si="411"/>
        <v>18</v>
      </c>
      <c r="Y1626" s="49">
        <f t="shared" si="411"/>
        <v>12</v>
      </c>
      <c r="Z1626" s="49">
        <f t="shared" si="411"/>
        <v>15</v>
      </c>
      <c r="AA1626" s="49">
        <f t="shared" si="411"/>
        <v>15</v>
      </c>
      <c r="AB1626" s="49">
        <f t="shared" si="411"/>
        <v>0</v>
      </c>
      <c r="AC1626" s="49">
        <f t="shared" si="411"/>
        <v>0</v>
      </c>
      <c r="AD1626" s="53" t="e">
        <f>#REF!*D1626</f>
        <v>#REF!</v>
      </c>
      <c r="AE1626" s="53" t="e">
        <f>AD1626-#REF!</f>
        <v>#REF!</v>
      </c>
      <c r="AF1626" s="9"/>
      <c r="AG1626" s="33" t="e">
        <f>#REF!-D1626</f>
        <v>#REF!</v>
      </c>
    </row>
    <row r="1627" spans="1:37" s="12" customFormat="1" ht="20.399999999999999" outlineLevel="1" x14ac:dyDescent="0.2">
      <c r="A1627" s="62" t="s">
        <v>1848</v>
      </c>
      <c r="B1627" s="14" t="s">
        <v>112</v>
      </c>
      <c r="C1627" s="9" t="s">
        <v>47</v>
      </c>
      <c r="D1627" s="25">
        <f t="shared" si="391"/>
        <v>2556</v>
      </c>
      <c r="E1627" s="54"/>
      <c r="F1627" s="9"/>
      <c r="G1627" s="49">
        <f t="shared" ref="G1627:AC1627" si="412">G1625*2</f>
        <v>0</v>
      </c>
      <c r="H1627" s="49">
        <f t="shared" si="412"/>
        <v>170</v>
      </c>
      <c r="I1627" s="49">
        <f t="shared" si="412"/>
        <v>360</v>
      </c>
      <c r="J1627" s="49">
        <f t="shared" si="412"/>
        <v>196</v>
      </c>
      <c r="K1627" s="49">
        <f t="shared" si="412"/>
        <v>150</v>
      </c>
      <c r="L1627" s="49">
        <f t="shared" si="412"/>
        <v>200</v>
      </c>
      <c r="M1627" s="49">
        <f t="shared" si="412"/>
        <v>150</v>
      </c>
      <c r="N1627" s="49">
        <f t="shared" si="412"/>
        <v>150</v>
      </c>
      <c r="O1627" s="49">
        <f t="shared" si="412"/>
        <v>170</v>
      </c>
      <c r="P1627" s="49">
        <f t="shared" si="412"/>
        <v>140</v>
      </c>
      <c r="Q1627" s="49">
        <f t="shared" si="412"/>
        <v>60</v>
      </c>
      <c r="R1627" s="49">
        <f t="shared" si="412"/>
        <v>0</v>
      </c>
      <c r="S1627" s="49">
        <f t="shared" si="412"/>
        <v>0</v>
      </c>
      <c r="T1627" s="49">
        <f t="shared" si="412"/>
        <v>0</v>
      </c>
      <c r="U1627" s="49">
        <f t="shared" si="412"/>
        <v>0</v>
      </c>
      <c r="V1627" s="49">
        <f t="shared" si="412"/>
        <v>140</v>
      </c>
      <c r="W1627" s="49">
        <f t="shared" si="412"/>
        <v>200</v>
      </c>
      <c r="X1627" s="49">
        <f t="shared" si="412"/>
        <v>150</v>
      </c>
      <c r="Y1627" s="49">
        <f t="shared" si="412"/>
        <v>90</v>
      </c>
      <c r="Z1627" s="49">
        <f t="shared" si="412"/>
        <v>110</v>
      </c>
      <c r="AA1627" s="49">
        <f t="shared" si="412"/>
        <v>120</v>
      </c>
      <c r="AB1627" s="49">
        <f t="shared" si="412"/>
        <v>0</v>
      </c>
      <c r="AC1627" s="49">
        <f t="shared" si="412"/>
        <v>0</v>
      </c>
      <c r="AD1627" s="53" t="e">
        <f>#REF!*D1627</f>
        <v>#REF!</v>
      </c>
      <c r="AE1627" s="53" t="e">
        <f>AD1627-#REF!</f>
        <v>#REF!</v>
      </c>
      <c r="AF1627" s="9"/>
      <c r="AG1627" s="33" t="e">
        <f>#REF!-D1627</f>
        <v>#REF!</v>
      </c>
    </row>
    <row r="1628" spans="1:37" s="12" customFormat="1" ht="20.399999999999999" outlineLevel="1" x14ac:dyDescent="0.2">
      <c r="A1628" s="62" t="s">
        <v>1849</v>
      </c>
      <c r="B1628" s="14" t="s">
        <v>1032</v>
      </c>
      <c r="C1628" s="9" t="s">
        <v>47</v>
      </c>
      <c r="D1628" s="25">
        <f t="shared" si="391"/>
        <v>1278</v>
      </c>
      <c r="E1628" s="54"/>
      <c r="F1628" s="9"/>
      <c r="G1628" s="49">
        <f t="shared" ref="G1628:AC1628" si="413">G1625</f>
        <v>0</v>
      </c>
      <c r="H1628" s="49">
        <f t="shared" si="413"/>
        <v>85</v>
      </c>
      <c r="I1628" s="49">
        <f t="shared" si="413"/>
        <v>180</v>
      </c>
      <c r="J1628" s="49">
        <f t="shared" si="413"/>
        <v>98</v>
      </c>
      <c r="K1628" s="49">
        <f t="shared" si="413"/>
        <v>75</v>
      </c>
      <c r="L1628" s="49">
        <f t="shared" si="413"/>
        <v>100</v>
      </c>
      <c r="M1628" s="49">
        <f t="shared" si="413"/>
        <v>75</v>
      </c>
      <c r="N1628" s="49">
        <f t="shared" si="413"/>
        <v>75</v>
      </c>
      <c r="O1628" s="49">
        <f t="shared" si="413"/>
        <v>85</v>
      </c>
      <c r="P1628" s="49">
        <f t="shared" si="413"/>
        <v>70</v>
      </c>
      <c r="Q1628" s="49">
        <f t="shared" si="413"/>
        <v>30</v>
      </c>
      <c r="R1628" s="49">
        <f t="shared" si="413"/>
        <v>0</v>
      </c>
      <c r="S1628" s="49">
        <f t="shared" si="413"/>
        <v>0</v>
      </c>
      <c r="T1628" s="49">
        <f t="shared" si="413"/>
        <v>0</v>
      </c>
      <c r="U1628" s="49">
        <f t="shared" si="413"/>
        <v>0</v>
      </c>
      <c r="V1628" s="49">
        <f t="shared" si="413"/>
        <v>70</v>
      </c>
      <c r="W1628" s="49">
        <f t="shared" si="413"/>
        <v>100</v>
      </c>
      <c r="X1628" s="49">
        <f t="shared" si="413"/>
        <v>75</v>
      </c>
      <c r="Y1628" s="49">
        <f t="shared" si="413"/>
        <v>45</v>
      </c>
      <c r="Z1628" s="49">
        <f t="shared" si="413"/>
        <v>55</v>
      </c>
      <c r="AA1628" s="49">
        <f t="shared" si="413"/>
        <v>60</v>
      </c>
      <c r="AB1628" s="49">
        <f t="shared" si="413"/>
        <v>0</v>
      </c>
      <c r="AC1628" s="49">
        <f t="shared" si="413"/>
        <v>0</v>
      </c>
      <c r="AD1628" s="53" t="e">
        <f>#REF!*D1628</f>
        <v>#REF!</v>
      </c>
      <c r="AE1628" s="53" t="e">
        <f>AD1628-#REF!</f>
        <v>#REF!</v>
      </c>
      <c r="AF1628" s="9"/>
      <c r="AG1628" s="33" t="e">
        <f>#REF!-D1628</f>
        <v>#REF!</v>
      </c>
    </row>
    <row r="1629" spans="1:37" s="12" customFormat="1" ht="12" customHeight="1" outlineLevel="1" x14ac:dyDescent="0.2">
      <c r="A1629" s="8"/>
      <c r="B1629" s="11"/>
      <c r="C1629" s="8"/>
      <c r="D1629" s="25"/>
      <c r="E1629" s="54"/>
      <c r="F1629" s="9"/>
      <c r="G1629" s="9"/>
      <c r="H1629" s="9"/>
      <c r="I1629" s="9"/>
      <c r="J1629" s="9"/>
      <c r="K1629" s="9"/>
      <c r="L1629" s="9"/>
      <c r="M1629" s="9"/>
      <c r="N1629" s="9"/>
      <c r="O1629" s="9"/>
      <c r="P1629" s="9"/>
      <c r="Q1629" s="9"/>
      <c r="R1629" s="9"/>
      <c r="S1629" s="9"/>
      <c r="T1629" s="9"/>
      <c r="U1629" s="9"/>
      <c r="V1629" s="9"/>
      <c r="W1629" s="9"/>
      <c r="X1629" s="9"/>
      <c r="Y1629" s="9"/>
      <c r="Z1629" s="9"/>
      <c r="AA1629" s="9"/>
      <c r="AB1629" s="9"/>
      <c r="AC1629" s="9"/>
      <c r="AD1629" s="53" t="e">
        <f>#REF!*D1629</f>
        <v>#REF!</v>
      </c>
      <c r="AE1629" s="53" t="e">
        <f>AD1629-#REF!</f>
        <v>#REF!</v>
      </c>
      <c r="AF1629" s="8"/>
      <c r="AG1629" s="33" t="e">
        <f>#REF!-D1629</f>
        <v>#REF!</v>
      </c>
    </row>
    <row r="1630" spans="1:37" x14ac:dyDescent="0.25">
      <c r="A1630" s="18" t="s">
        <v>1787</v>
      </c>
      <c r="B1630" s="35" t="s">
        <v>388</v>
      </c>
      <c r="C1630" s="18" t="s">
        <v>41</v>
      </c>
      <c r="D1630" s="52" t="e">
        <f>#REF!/#REF!*100</f>
        <v>#REF!</v>
      </c>
      <c r="E1630" s="54"/>
      <c r="G1630" s="9"/>
      <c r="H1630" s="81"/>
      <c r="I1630" s="81"/>
      <c r="J1630" s="76"/>
      <c r="K1630" s="76"/>
      <c r="L1630" s="76"/>
      <c r="M1630" s="9"/>
      <c r="N1630" s="81"/>
      <c r="O1630" s="76"/>
      <c r="P1630" s="76"/>
      <c r="Q1630" s="76"/>
      <c r="R1630" s="9"/>
      <c r="S1630" s="9"/>
      <c r="T1630" s="9"/>
      <c r="U1630" s="81"/>
      <c r="V1630" s="81"/>
      <c r="W1630" s="76"/>
      <c r="X1630" s="76"/>
      <c r="Y1630" s="76"/>
      <c r="Z1630" s="9"/>
      <c r="AA1630" s="81"/>
      <c r="AB1630" s="9"/>
      <c r="AC1630" s="9"/>
      <c r="AD1630" s="53" t="e">
        <f>#REF!*D1630</f>
        <v>#REF!</v>
      </c>
      <c r="AE1630" s="53" t="e">
        <f>AD1630-#REF!</f>
        <v>#REF!</v>
      </c>
      <c r="AG1630" s="33" t="e">
        <f>#REF!-D1630</f>
        <v>#REF!</v>
      </c>
      <c r="AH1630" s="2"/>
      <c r="AI1630" s="2"/>
      <c r="AJ1630" s="2"/>
      <c r="AK1630" s="2"/>
    </row>
    <row r="1631" spans="1:37" s="12" customFormat="1" ht="20.399999999999999" outlineLevel="1" x14ac:dyDescent="0.2">
      <c r="A1631" s="62" t="s">
        <v>1788</v>
      </c>
      <c r="B1631" s="47" t="s">
        <v>2362</v>
      </c>
      <c r="C1631" s="9" t="s">
        <v>47</v>
      </c>
      <c r="D1631" s="25">
        <f t="shared" ref="D1631:D1637" si="414">SUM(G1631:AC1631)</f>
        <v>30</v>
      </c>
      <c r="E1631" s="54"/>
      <c r="F1631" s="9"/>
      <c r="G1631" s="9">
        <v>0</v>
      </c>
      <c r="H1631" s="9">
        <v>6</v>
      </c>
      <c r="I1631" s="9">
        <v>7</v>
      </c>
      <c r="J1631" s="9">
        <v>2</v>
      </c>
      <c r="K1631" s="9">
        <v>1</v>
      </c>
      <c r="L1631" s="9">
        <v>1</v>
      </c>
      <c r="M1631" s="9">
        <v>0</v>
      </c>
      <c r="N1631" s="9">
        <v>0</v>
      </c>
      <c r="O1631" s="9">
        <v>1</v>
      </c>
      <c r="P1631" s="9">
        <v>2</v>
      </c>
      <c r="Q1631" s="9">
        <v>0</v>
      </c>
      <c r="R1631" s="9">
        <v>0</v>
      </c>
      <c r="S1631" s="9">
        <v>0</v>
      </c>
      <c r="T1631" s="9">
        <v>0</v>
      </c>
      <c r="U1631" s="9">
        <v>3</v>
      </c>
      <c r="V1631" s="9">
        <v>1</v>
      </c>
      <c r="W1631" s="9">
        <v>2</v>
      </c>
      <c r="X1631" s="9">
        <v>1</v>
      </c>
      <c r="Y1631" s="9">
        <v>1</v>
      </c>
      <c r="Z1631" s="9">
        <v>1</v>
      </c>
      <c r="AA1631" s="9">
        <v>1</v>
      </c>
      <c r="AB1631" s="9">
        <v>0</v>
      </c>
      <c r="AC1631" s="9">
        <v>0</v>
      </c>
      <c r="AD1631" s="53" t="e">
        <f>#REF!*D1631</f>
        <v>#REF!</v>
      </c>
      <c r="AE1631" s="53" t="e">
        <f>AD1631-#REF!</f>
        <v>#REF!</v>
      </c>
      <c r="AF1631" s="9"/>
      <c r="AG1631" s="33" t="e">
        <f>#REF!-D1631</f>
        <v>#REF!</v>
      </c>
    </row>
    <row r="1632" spans="1:37" s="12" customFormat="1" ht="20.399999999999999" outlineLevel="1" x14ac:dyDescent="0.2">
      <c r="A1632" s="62" t="s">
        <v>1789</v>
      </c>
      <c r="B1632" s="47" t="s">
        <v>2363</v>
      </c>
      <c r="C1632" s="9" t="s">
        <v>47</v>
      </c>
      <c r="D1632" s="25">
        <f t="shared" si="414"/>
        <v>260</v>
      </c>
      <c r="E1632" s="54"/>
      <c r="F1632" s="9"/>
      <c r="G1632" s="9">
        <v>0</v>
      </c>
      <c r="H1632" s="9">
        <f>26-8</f>
        <v>18</v>
      </c>
      <c r="I1632" s="9">
        <v>17</v>
      </c>
      <c r="J1632" s="9">
        <v>21</v>
      </c>
      <c r="K1632" s="9">
        <v>9</v>
      </c>
      <c r="L1632" s="9">
        <v>18</v>
      </c>
      <c r="M1632" s="9">
        <v>22</v>
      </c>
      <c r="N1632" s="9">
        <v>22</v>
      </c>
      <c r="O1632" s="9">
        <v>25</v>
      </c>
      <c r="P1632" s="9">
        <v>18</v>
      </c>
      <c r="Q1632" s="9">
        <v>5</v>
      </c>
      <c r="R1632" s="9">
        <v>0</v>
      </c>
      <c r="S1632" s="9">
        <v>0</v>
      </c>
      <c r="T1632" s="9">
        <v>0</v>
      </c>
      <c r="U1632" s="9">
        <v>8</v>
      </c>
      <c r="V1632" s="9">
        <v>4</v>
      </c>
      <c r="W1632" s="9">
        <v>15</v>
      </c>
      <c r="X1632" s="9">
        <v>14</v>
      </c>
      <c r="Y1632" s="9">
        <v>13</v>
      </c>
      <c r="Z1632" s="9">
        <v>15</v>
      </c>
      <c r="AA1632" s="9">
        <v>14</v>
      </c>
      <c r="AB1632" s="9">
        <v>2</v>
      </c>
      <c r="AC1632" s="9">
        <v>0</v>
      </c>
      <c r="AD1632" s="53" t="e">
        <f>#REF!*D1632</f>
        <v>#REF!</v>
      </c>
      <c r="AE1632" s="53" t="e">
        <f>AD1632-#REF!</f>
        <v>#REF!</v>
      </c>
      <c r="AF1632" s="9"/>
      <c r="AG1632" s="33" t="e">
        <f>#REF!-D1632</f>
        <v>#REF!</v>
      </c>
    </row>
    <row r="1633" spans="1:37" s="12" customFormat="1" ht="20.399999999999999" outlineLevel="1" x14ac:dyDescent="0.2">
      <c r="A1633" s="62" t="s">
        <v>1790</v>
      </c>
      <c r="B1633" s="47" t="s">
        <v>2364</v>
      </c>
      <c r="C1633" s="9" t="s">
        <v>47</v>
      </c>
      <c r="D1633" s="25">
        <f t="shared" si="414"/>
        <v>20</v>
      </c>
      <c r="E1633" s="54"/>
      <c r="F1633" s="9"/>
      <c r="G1633" s="9">
        <v>0</v>
      </c>
      <c r="H1633" s="9">
        <v>12</v>
      </c>
      <c r="I1633" s="9">
        <v>0</v>
      </c>
      <c r="J1633" s="9">
        <v>0</v>
      </c>
      <c r="K1633" s="9">
        <v>0</v>
      </c>
      <c r="L1633" s="9">
        <v>0</v>
      </c>
      <c r="M1633" s="9">
        <v>0</v>
      </c>
      <c r="N1633" s="9">
        <v>0</v>
      </c>
      <c r="O1633" s="9">
        <v>0</v>
      </c>
      <c r="P1633" s="9">
        <v>0</v>
      </c>
      <c r="Q1633" s="9">
        <v>1</v>
      </c>
      <c r="R1633" s="9">
        <v>0</v>
      </c>
      <c r="S1633" s="9">
        <v>0</v>
      </c>
      <c r="T1633" s="9">
        <v>0</v>
      </c>
      <c r="U1633" s="9">
        <v>5</v>
      </c>
      <c r="V1633" s="9">
        <v>0</v>
      </c>
      <c r="W1633" s="9">
        <v>0</v>
      </c>
      <c r="X1633" s="9">
        <v>2</v>
      </c>
      <c r="Y1633" s="9">
        <v>0</v>
      </c>
      <c r="Z1633" s="9">
        <v>0</v>
      </c>
      <c r="AA1633" s="9">
        <v>0</v>
      </c>
      <c r="AB1633" s="9">
        <v>0</v>
      </c>
      <c r="AC1633" s="9">
        <v>0</v>
      </c>
      <c r="AD1633" s="53" t="e">
        <f>#REF!*D1633</f>
        <v>#REF!</v>
      </c>
      <c r="AE1633" s="53" t="e">
        <f>AD1633-#REF!</f>
        <v>#REF!</v>
      </c>
      <c r="AF1633" s="9"/>
      <c r="AG1633" s="33" t="e">
        <f>#REF!-D1633</f>
        <v>#REF!</v>
      </c>
    </row>
    <row r="1634" spans="1:37" s="12" customFormat="1" ht="20.399999999999999" outlineLevel="1" x14ac:dyDescent="0.2">
      <c r="A1634" s="62" t="s">
        <v>1791</v>
      </c>
      <c r="B1634" s="47" t="s">
        <v>2365</v>
      </c>
      <c r="C1634" s="9" t="s">
        <v>47</v>
      </c>
      <c r="D1634" s="25">
        <f t="shared" si="414"/>
        <v>3</v>
      </c>
      <c r="E1634" s="54"/>
      <c r="F1634" s="9"/>
      <c r="G1634" s="9">
        <v>0</v>
      </c>
      <c r="H1634" s="9">
        <v>0</v>
      </c>
      <c r="I1634" s="9">
        <v>0</v>
      </c>
      <c r="J1634" s="9">
        <v>0</v>
      </c>
      <c r="K1634" s="9">
        <v>1</v>
      </c>
      <c r="L1634" s="9">
        <v>1</v>
      </c>
      <c r="M1634" s="9">
        <v>0</v>
      </c>
      <c r="N1634" s="9">
        <v>0</v>
      </c>
      <c r="O1634" s="9">
        <v>0</v>
      </c>
      <c r="P1634" s="9">
        <v>0</v>
      </c>
      <c r="Q1634" s="9">
        <v>0</v>
      </c>
      <c r="R1634" s="9">
        <v>0</v>
      </c>
      <c r="S1634" s="9">
        <v>0</v>
      </c>
      <c r="T1634" s="9">
        <v>0</v>
      </c>
      <c r="U1634" s="9">
        <v>0</v>
      </c>
      <c r="V1634" s="9">
        <v>0</v>
      </c>
      <c r="W1634" s="9">
        <v>1</v>
      </c>
      <c r="X1634" s="9">
        <v>0</v>
      </c>
      <c r="Y1634" s="9">
        <v>0</v>
      </c>
      <c r="Z1634" s="9">
        <v>0</v>
      </c>
      <c r="AA1634" s="9">
        <v>0</v>
      </c>
      <c r="AB1634" s="9">
        <v>0</v>
      </c>
      <c r="AC1634" s="9">
        <v>0</v>
      </c>
      <c r="AD1634" s="53" t="e">
        <f>#REF!*D1634</f>
        <v>#REF!</v>
      </c>
      <c r="AE1634" s="53" t="e">
        <f>AD1634-#REF!</f>
        <v>#REF!</v>
      </c>
      <c r="AF1634" s="9"/>
      <c r="AG1634" s="33" t="e">
        <f>#REF!-D1634</f>
        <v>#REF!</v>
      </c>
    </row>
    <row r="1635" spans="1:37" s="12" customFormat="1" ht="20.399999999999999" outlineLevel="1" x14ac:dyDescent="0.2">
      <c r="A1635" s="62" t="s">
        <v>1792</v>
      </c>
      <c r="B1635" s="47" t="s">
        <v>2366</v>
      </c>
      <c r="C1635" s="8" t="s">
        <v>47</v>
      </c>
      <c r="D1635" s="25">
        <f t="shared" si="414"/>
        <v>149</v>
      </c>
      <c r="E1635" s="54"/>
      <c r="F1635" s="9"/>
      <c r="G1635" s="9">
        <v>0</v>
      </c>
      <c r="H1635" s="9">
        <f>22-6</f>
        <v>16</v>
      </c>
      <c r="I1635" s="9">
        <v>8</v>
      </c>
      <c r="J1635" s="9">
        <v>12</v>
      </c>
      <c r="K1635" s="9">
        <v>0</v>
      </c>
      <c r="L1635" s="9">
        <f>35-14</f>
        <v>21</v>
      </c>
      <c r="M1635" s="9">
        <v>18</v>
      </c>
      <c r="N1635" s="9">
        <v>18</v>
      </c>
      <c r="O1635" s="9">
        <v>21</v>
      </c>
      <c r="P1635" s="9">
        <v>5</v>
      </c>
      <c r="Q1635" s="9">
        <v>6</v>
      </c>
      <c r="R1635" s="9">
        <v>0</v>
      </c>
      <c r="S1635" s="9">
        <v>0</v>
      </c>
      <c r="T1635" s="9">
        <v>0</v>
      </c>
      <c r="U1635" s="9">
        <v>6</v>
      </c>
      <c r="V1635" s="9">
        <v>2</v>
      </c>
      <c r="W1635" s="9">
        <v>5</v>
      </c>
      <c r="X1635" s="9">
        <f>2+5</f>
        <v>7</v>
      </c>
      <c r="Y1635" s="9">
        <v>3</v>
      </c>
      <c r="Z1635" s="9">
        <v>0</v>
      </c>
      <c r="AA1635" s="9">
        <v>1</v>
      </c>
      <c r="AB1635" s="9">
        <v>0</v>
      </c>
      <c r="AC1635" s="9">
        <v>0</v>
      </c>
      <c r="AD1635" s="53" t="e">
        <f>#REF!*D1635</f>
        <v>#REF!</v>
      </c>
      <c r="AE1635" s="53" t="e">
        <f>AD1635-#REF!</f>
        <v>#REF!</v>
      </c>
      <c r="AF1635" s="8"/>
      <c r="AG1635" s="33" t="e">
        <f>#REF!-D1635</f>
        <v>#REF!</v>
      </c>
    </row>
    <row r="1636" spans="1:37" s="12" customFormat="1" ht="20.399999999999999" outlineLevel="1" x14ac:dyDescent="0.2">
      <c r="A1636" s="62" t="s">
        <v>1793</v>
      </c>
      <c r="B1636" s="47" t="s">
        <v>1651</v>
      </c>
      <c r="C1636" s="8" t="s">
        <v>47</v>
      </c>
      <c r="D1636" s="25">
        <f t="shared" si="414"/>
        <v>6</v>
      </c>
      <c r="E1636" s="54"/>
      <c r="F1636" s="9"/>
      <c r="G1636" s="9">
        <v>0</v>
      </c>
      <c r="H1636" s="9">
        <v>4</v>
      </c>
      <c r="I1636" s="9">
        <v>0</v>
      </c>
      <c r="J1636" s="9">
        <v>0</v>
      </c>
      <c r="K1636" s="9">
        <v>0</v>
      </c>
      <c r="L1636" s="9">
        <v>0</v>
      </c>
      <c r="M1636" s="9">
        <v>0</v>
      </c>
      <c r="N1636" s="9">
        <v>0</v>
      </c>
      <c r="O1636" s="9">
        <v>0</v>
      </c>
      <c r="P1636" s="9">
        <v>0</v>
      </c>
      <c r="Q1636" s="9">
        <v>0</v>
      </c>
      <c r="R1636" s="9">
        <v>0</v>
      </c>
      <c r="S1636" s="9">
        <v>0</v>
      </c>
      <c r="T1636" s="9">
        <v>0</v>
      </c>
      <c r="U1636" s="9">
        <v>0</v>
      </c>
      <c r="V1636" s="9">
        <v>0</v>
      </c>
      <c r="W1636" s="9">
        <v>0</v>
      </c>
      <c r="X1636" s="9">
        <v>0</v>
      </c>
      <c r="Y1636" s="9">
        <v>0</v>
      </c>
      <c r="Z1636" s="9">
        <v>0</v>
      </c>
      <c r="AA1636" s="9">
        <v>2</v>
      </c>
      <c r="AB1636" s="9">
        <v>0</v>
      </c>
      <c r="AC1636" s="9">
        <v>0</v>
      </c>
      <c r="AD1636" s="53" t="e">
        <f>#REF!*D1636</f>
        <v>#REF!</v>
      </c>
      <c r="AE1636" s="53" t="e">
        <f>AD1636-#REF!</f>
        <v>#REF!</v>
      </c>
      <c r="AF1636" s="8"/>
      <c r="AG1636" s="33" t="e">
        <f>#REF!-D1636</f>
        <v>#REF!</v>
      </c>
    </row>
    <row r="1637" spans="1:37" s="12" customFormat="1" ht="20.399999999999999" outlineLevel="1" x14ac:dyDescent="0.2">
      <c r="A1637" s="62" t="s">
        <v>1794</v>
      </c>
      <c r="B1637" s="47" t="s">
        <v>1986</v>
      </c>
      <c r="C1637" s="8" t="s">
        <v>47</v>
      </c>
      <c r="D1637" s="25">
        <f t="shared" si="414"/>
        <v>4</v>
      </c>
      <c r="E1637" s="54"/>
      <c r="F1637" s="9"/>
      <c r="G1637" s="9">
        <v>0</v>
      </c>
      <c r="H1637" s="9">
        <v>3</v>
      </c>
      <c r="I1637" s="9">
        <v>0</v>
      </c>
      <c r="J1637" s="9">
        <v>0</v>
      </c>
      <c r="K1637" s="9">
        <v>0</v>
      </c>
      <c r="L1637" s="9">
        <v>0</v>
      </c>
      <c r="M1637" s="9">
        <v>0</v>
      </c>
      <c r="N1637" s="9">
        <v>0</v>
      </c>
      <c r="O1637" s="9">
        <v>0</v>
      </c>
      <c r="P1637" s="9">
        <v>0</v>
      </c>
      <c r="Q1637" s="9">
        <v>0</v>
      </c>
      <c r="R1637" s="9">
        <v>0</v>
      </c>
      <c r="S1637" s="9">
        <v>0</v>
      </c>
      <c r="T1637" s="9">
        <v>0</v>
      </c>
      <c r="U1637" s="9">
        <v>1</v>
      </c>
      <c r="V1637" s="9">
        <v>0</v>
      </c>
      <c r="W1637" s="9">
        <v>0</v>
      </c>
      <c r="X1637" s="9">
        <v>0</v>
      </c>
      <c r="Y1637" s="9">
        <v>0</v>
      </c>
      <c r="Z1637" s="9">
        <v>0</v>
      </c>
      <c r="AA1637" s="9">
        <v>0</v>
      </c>
      <c r="AB1637" s="9">
        <v>0</v>
      </c>
      <c r="AC1637" s="9">
        <v>0</v>
      </c>
      <c r="AD1637" s="53" t="e">
        <f>#REF!*D1637</f>
        <v>#REF!</v>
      </c>
      <c r="AE1637" s="53" t="e">
        <f>AD1637-#REF!</f>
        <v>#REF!</v>
      </c>
      <c r="AF1637" s="8"/>
      <c r="AG1637" s="33" t="e">
        <f>#REF!-D1637</f>
        <v>#REF!</v>
      </c>
    </row>
    <row r="1638" spans="1:37" s="12" customFormat="1" ht="20.399999999999999" outlineLevel="1" x14ac:dyDescent="0.2">
      <c r="A1638" s="62" t="s">
        <v>1985</v>
      </c>
      <c r="B1638" s="47" t="s">
        <v>59</v>
      </c>
      <c r="C1638" s="8" t="s">
        <v>48</v>
      </c>
      <c r="D1638" s="25">
        <f>SUM(G1638:AC1638)*3</f>
        <v>183</v>
      </c>
      <c r="E1638" s="54"/>
      <c r="F1638" s="9"/>
      <c r="G1638" s="49">
        <f t="shared" ref="G1638:P1638" si="415">MROUND((SUM(G1632:G1633)+G1634)*0.7/3,3)</f>
        <v>0</v>
      </c>
      <c r="H1638" s="49">
        <f t="shared" si="415"/>
        <v>6</v>
      </c>
      <c r="I1638" s="49">
        <f t="shared" si="415"/>
        <v>3</v>
      </c>
      <c r="J1638" s="49">
        <f t="shared" si="415"/>
        <v>6</v>
      </c>
      <c r="K1638" s="49">
        <f t="shared" si="415"/>
        <v>3</v>
      </c>
      <c r="L1638" s="49">
        <f t="shared" si="415"/>
        <v>3</v>
      </c>
      <c r="M1638" s="49">
        <f t="shared" si="415"/>
        <v>6</v>
      </c>
      <c r="N1638" s="49">
        <f t="shared" si="415"/>
        <v>6</v>
      </c>
      <c r="O1638" s="49">
        <f t="shared" si="415"/>
        <v>6</v>
      </c>
      <c r="P1638" s="49">
        <f t="shared" si="415"/>
        <v>3</v>
      </c>
      <c r="Q1638" s="49">
        <v>1</v>
      </c>
      <c r="R1638" s="49">
        <f t="shared" ref="R1638:AB1638" si="416">MROUND((SUM(R1632:R1633)+R1634)*0.7/3,3)</f>
        <v>0</v>
      </c>
      <c r="S1638" s="49">
        <f t="shared" si="416"/>
        <v>0</v>
      </c>
      <c r="T1638" s="49">
        <f t="shared" si="416"/>
        <v>0</v>
      </c>
      <c r="U1638" s="49">
        <f t="shared" si="416"/>
        <v>3</v>
      </c>
      <c r="V1638" s="49">
        <f t="shared" si="416"/>
        <v>0</v>
      </c>
      <c r="W1638" s="49">
        <f t="shared" si="416"/>
        <v>3</v>
      </c>
      <c r="X1638" s="49">
        <f t="shared" si="416"/>
        <v>3</v>
      </c>
      <c r="Y1638" s="49">
        <f t="shared" si="416"/>
        <v>3</v>
      </c>
      <c r="Z1638" s="49">
        <f t="shared" si="416"/>
        <v>3</v>
      </c>
      <c r="AA1638" s="49">
        <f t="shared" si="416"/>
        <v>3</v>
      </c>
      <c r="AB1638" s="49">
        <f t="shared" si="416"/>
        <v>0</v>
      </c>
      <c r="AC1638" s="9">
        <v>0</v>
      </c>
      <c r="AD1638" s="53" t="e">
        <f>#REF!*D1638</f>
        <v>#REF!</v>
      </c>
      <c r="AE1638" s="53" t="e">
        <f>AD1638-#REF!</f>
        <v>#REF!</v>
      </c>
      <c r="AF1638" s="8"/>
      <c r="AG1638" s="33" t="e">
        <f>#REF!-D1638</f>
        <v>#REF!</v>
      </c>
    </row>
    <row r="1639" spans="1:37" outlineLevel="1" x14ac:dyDescent="0.25">
      <c r="E1639" s="54"/>
      <c r="G1639" s="9"/>
      <c r="H1639" s="76"/>
      <c r="I1639" s="76"/>
      <c r="J1639" s="76"/>
      <c r="K1639" s="76"/>
      <c r="L1639" s="76"/>
      <c r="M1639" s="76"/>
      <c r="N1639" s="76"/>
      <c r="O1639" s="76"/>
      <c r="P1639" s="76"/>
      <c r="Q1639" s="76"/>
      <c r="R1639" s="76"/>
      <c r="S1639" s="76"/>
      <c r="T1639" s="76"/>
      <c r="U1639" s="76"/>
      <c r="V1639" s="76"/>
      <c r="W1639" s="76"/>
      <c r="X1639" s="76"/>
      <c r="Y1639" s="76"/>
      <c r="Z1639" s="76"/>
      <c r="AA1639" s="76"/>
      <c r="AB1639" s="76"/>
      <c r="AC1639" s="76"/>
      <c r="AD1639" s="53" t="e">
        <f>#REF!*D1639</f>
        <v>#REF!</v>
      </c>
      <c r="AE1639" s="53" t="e">
        <f>AD1639-#REF!</f>
        <v>#REF!</v>
      </c>
      <c r="AG1639" s="33" t="e">
        <f>#REF!-D1639</f>
        <v>#REF!</v>
      </c>
      <c r="AH1639" s="2"/>
      <c r="AI1639" s="2"/>
      <c r="AJ1639" s="2"/>
      <c r="AK1639" s="2"/>
    </row>
    <row r="1640" spans="1:37" x14ac:dyDescent="0.25">
      <c r="A1640" s="18" t="s">
        <v>1795</v>
      </c>
      <c r="B1640" s="35" t="s">
        <v>1636</v>
      </c>
      <c r="C1640" s="18" t="s">
        <v>41</v>
      </c>
      <c r="D1640" s="52" t="e">
        <f>#REF!/#REF!*100</f>
        <v>#REF!</v>
      </c>
      <c r="G1640" s="9"/>
      <c r="H1640" s="81"/>
      <c r="I1640" s="81"/>
      <c r="J1640" s="76"/>
      <c r="K1640" s="76"/>
      <c r="L1640" s="76"/>
      <c r="M1640" s="9"/>
      <c r="N1640" s="81"/>
      <c r="O1640" s="76"/>
      <c r="P1640" s="76"/>
      <c r="Q1640" s="76"/>
      <c r="R1640" s="9"/>
      <c r="S1640" s="9"/>
      <c r="T1640" s="9"/>
      <c r="U1640" s="81"/>
      <c r="V1640" s="81"/>
      <c r="W1640" s="76"/>
      <c r="X1640" s="76"/>
      <c r="Y1640" s="76"/>
      <c r="Z1640" s="9"/>
      <c r="AA1640" s="81"/>
      <c r="AB1640" s="9"/>
      <c r="AC1640" s="9"/>
      <c r="AD1640" s="53" t="e">
        <f>#REF!*D1640</f>
        <v>#REF!</v>
      </c>
      <c r="AE1640" s="53" t="e">
        <f>AD1640-#REF!</f>
        <v>#REF!</v>
      </c>
      <c r="AG1640" s="33" t="e">
        <f>#REF!-D1640</f>
        <v>#REF!</v>
      </c>
      <c r="AH1640" s="2"/>
      <c r="AI1640" s="2"/>
      <c r="AJ1640" s="2"/>
      <c r="AK1640" s="2"/>
    </row>
    <row r="1641" spans="1:37" s="16" customFormat="1" ht="20.399999999999999" outlineLevel="1" x14ac:dyDescent="0.2">
      <c r="A1641" s="62" t="s">
        <v>1797</v>
      </c>
      <c r="B1641" s="14" t="s">
        <v>1383</v>
      </c>
      <c r="C1641" s="8" t="s">
        <v>48</v>
      </c>
      <c r="D1641" s="25">
        <f>SUM(G1641:AC1641)*6</f>
        <v>48</v>
      </c>
      <c r="E1641" s="54"/>
      <c r="F1641" s="9"/>
      <c r="G1641" s="9">
        <f>48/6</f>
        <v>8</v>
      </c>
      <c r="H1641" s="9">
        <v>0</v>
      </c>
      <c r="I1641" s="9">
        <v>0</v>
      </c>
      <c r="J1641" s="9">
        <v>0</v>
      </c>
      <c r="K1641" s="9">
        <v>0</v>
      </c>
      <c r="L1641" s="9">
        <v>0</v>
      </c>
      <c r="M1641" s="9">
        <v>0</v>
      </c>
      <c r="N1641" s="9">
        <v>0</v>
      </c>
      <c r="O1641" s="9">
        <v>0</v>
      </c>
      <c r="P1641" s="9">
        <v>0</v>
      </c>
      <c r="Q1641" s="9">
        <v>0</v>
      </c>
      <c r="R1641" s="9">
        <v>0</v>
      </c>
      <c r="S1641" s="9">
        <v>0</v>
      </c>
      <c r="T1641" s="9">
        <v>0</v>
      </c>
      <c r="U1641" s="9">
        <v>0</v>
      </c>
      <c r="V1641" s="9">
        <v>0</v>
      </c>
      <c r="W1641" s="9">
        <v>0</v>
      </c>
      <c r="X1641" s="9">
        <v>0</v>
      </c>
      <c r="Y1641" s="9">
        <v>0</v>
      </c>
      <c r="Z1641" s="9">
        <v>0</v>
      </c>
      <c r="AA1641" s="9">
        <v>0</v>
      </c>
      <c r="AB1641" s="9">
        <v>0</v>
      </c>
      <c r="AC1641" s="9">
        <v>0</v>
      </c>
      <c r="AD1641" s="53" t="e">
        <f>#REF!*D1641</f>
        <v>#REF!</v>
      </c>
      <c r="AE1641" s="53" t="e">
        <f>AD1641-#REF!</f>
        <v>#REF!</v>
      </c>
      <c r="AF1641" s="9"/>
      <c r="AG1641" s="33" t="e">
        <f>#REF!-D1641</f>
        <v>#REF!</v>
      </c>
    </row>
    <row r="1642" spans="1:37" s="16" customFormat="1" ht="20.399999999999999" outlineLevel="1" x14ac:dyDescent="0.2">
      <c r="A1642" s="62" t="s">
        <v>1798</v>
      </c>
      <c r="B1642" s="14" t="s">
        <v>1384</v>
      </c>
      <c r="C1642" s="9" t="s">
        <v>47</v>
      </c>
      <c r="D1642" s="25">
        <f t="shared" ref="D1642:D1652" si="417">SUM(G1642:AC1642)</f>
        <v>4</v>
      </c>
      <c r="E1642" s="54"/>
      <c r="F1642" s="9"/>
      <c r="G1642" s="9">
        <v>4</v>
      </c>
      <c r="H1642" s="9">
        <v>0</v>
      </c>
      <c r="I1642" s="9">
        <v>0</v>
      </c>
      <c r="J1642" s="9">
        <v>0</v>
      </c>
      <c r="K1642" s="9">
        <v>0</v>
      </c>
      <c r="L1642" s="9">
        <v>0</v>
      </c>
      <c r="M1642" s="9">
        <v>0</v>
      </c>
      <c r="N1642" s="9">
        <v>0</v>
      </c>
      <c r="O1642" s="9">
        <v>0</v>
      </c>
      <c r="P1642" s="9">
        <v>0</v>
      </c>
      <c r="Q1642" s="9">
        <v>0</v>
      </c>
      <c r="R1642" s="9">
        <v>0</v>
      </c>
      <c r="S1642" s="9">
        <v>0</v>
      </c>
      <c r="T1642" s="9">
        <v>0</v>
      </c>
      <c r="U1642" s="9">
        <v>0</v>
      </c>
      <c r="V1642" s="9">
        <v>0</v>
      </c>
      <c r="W1642" s="9">
        <v>0</v>
      </c>
      <c r="X1642" s="9">
        <v>0</v>
      </c>
      <c r="Y1642" s="9">
        <v>0</v>
      </c>
      <c r="Z1642" s="9">
        <v>0</v>
      </c>
      <c r="AA1642" s="9">
        <v>0</v>
      </c>
      <c r="AB1642" s="9">
        <v>0</v>
      </c>
      <c r="AC1642" s="9">
        <v>0</v>
      </c>
      <c r="AD1642" s="53" t="e">
        <f>#REF!*D1642</f>
        <v>#REF!</v>
      </c>
      <c r="AE1642" s="53" t="e">
        <f>AD1642-#REF!</f>
        <v>#REF!</v>
      </c>
      <c r="AF1642" s="9"/>
      <c r="AG1642" s="33" t="e">
        <f>#REF!-D1642</f>
        <v>#REF!</v>
      </c>
    </row>
    <row r="1643" spans="1:37" s="16" customFormat="1" ht="21.6" outlineLevel="1" x14ac:dyDescent="0.2">
      <c r="A1643" s="62" t="s">
        <v>1799</v>
      </c>
      <c r="B1643" s="14" t="s">
        <v>1447</v>
      </c>
      <c r="C1643" s="9" t="s">
        <v>47</v>
      </c>
      <c r="D1643" s="25">
        <f t="shared" si="417"/>
        <v>10</v>
      </c>
      <c r="E1643" s="54"/>
      <c r="F1643" s="9"/>
      <c r="G1643" s="9">
        <v>10</v>
      </c>
      <c r="H1643" s="9">
        <v>0</v>
      </c>
      <c r="I1643" s="9">
        <v>0</v>
      </c>
      <c r="J1643" s="9">
        <v>0</v>
      </c>
      <c r="K1643" s="9">
        <v>0</v>
      </c>
      <c r="L1643" s="9">
        <v>0</v>
      </c>
      <c r="M1643" s="9">
        <v>0</v>
      </c>
      <c r="N1643" s="9">
        <v>0</v>
      </c>
      <c r="O1643" s="9">
        <v>0</v>
      </c>
      <c r="P1643" s="9">
        <v>0</v>
      </c>
      <c r="Q1643" s="9">
        <v>0</v>
      </c>
      <c r="R1643" s="9">
        <v>0</v>
      </c>
      <c r="S1643" s="9">
        <v>0</v>
      </c>
      <c r="T1643" s="9">
        <v>0</v>
      </c>
      <c r="U1643" s="9">
        <v>0</v>
      </c>
      <c r="V1643" s="9">
        <v>0</v>
      </c>
      <c r="W1643" s="9">
        <v>0</v>
      </c>
      <c r="X1643" s="9">
        <v>0</v>
      </c>
      <c r="Y1643" s="9">
        <v>0</v>
      </c>
      <c r="Z1643" s="9">
        <v>0</v>
      </c>
      <c r="AA1643" s="9">
        <v>0</v>
      </c>
      <c r="AB1643" s="9">
        <v>0</v>
      </c>
      <c r="AC1643" s="9">
        <v>0</v>
      </c>
      <c r="AD1643" s="53" t="e">
        <f>#REF!*D1643</f>
        <v>#REF!</v>
      </c>
      <c r="AE1643" s="53" t="e">
        <f>AD1643-#REF!</f>
        <v>#REF!</v>
      </c>
      <c r="AF1643" s="9"/>
      <c r="AG1643" s="33" t="e">
        <f>#REF!-D1643</f>
        <v>#REF!</v>
      </c>
    </row>
    <row r="1644" spans="1:37" s="16" customFormat="1" ht="21.6" outlineLevel="1" x14ac:dyDescent="0.2">
      <c r="A1644" s="62" t="s">
        <v>1800</v>
      </c>
      <c r="B1644" s="14" t="s">
        <v>1796</v>
      </c>
      <c r="C1644" s="9" t="s">
        <v>47</v>
      </c>
      <c r="D1644" s="25">
        <f t="shared" si="417"/>
        <v>3</v>
      </c>
      <c r="E1644" s="54"/>
      <c r="F1644" s="9"/>
      <c r="G1644" s="9">
        <v>3</v>
      </c>
      <c r="H1644" s="9">
        <v>0</v>
      </c>
      <c r="I1644" s="9">
        <v>0</v>
      </c>
      <c r="J1644" s="9">
        <v>0</v>
      </c>
      <c r="K1644" s="9">
        <v>0</v>
      </c>
      <c r="L1644" s="9">
        <v>0</v>
      </c>
      <c r="M1644" s="9">
        <v>0</v>
      </c>
      <c r="N1644" s="9">
        <v>0</v>
      </c>
      <c r="O1644" s="9">
        <v>0</v>
      </c>
      <c r="P1644" s="9">
        <v>0</v>
      </c>
      <c r="Q1644" s="9">
        <v>0</v>
      </c>
      <c r="R1644" s="9">
        <v>0</v>
      </c>
      <c r="S1644" s="9">
        <v>0</v>
      </c>
      <c r="T1644" s="9">
        <v>0</v>
      </c>
      <c r="U1644" s="9">
        <v>0</v>
      </c>
      <c r="V1644" s="9">
        <v>0</v>
      </c>
      <c r="W1644" s="9">
        <v>0</v>
      </c>
      <c r="X1644" s="9">
        <v>0</v>
      </c>
      <c r="Y1644" s="9">
        <v>0</v>
      </c>
      <c r="Z1644" s="9">
        <v>0</v>
      </c>
      <c r="AA1644" s="9">
        <v>0</v>
      </c>
      <c r="AB1644" s="9">
        <v>0</v>
      </c>
      <c r="AC1644" s="9">
        <v>0</v>
      </c>
      <c r="AD1644" s="53" t="e">
        <f>#REF!*D1644</f>
        <v>#REF!</v>
      </c>
      <c r="AE1644" s="53" t="e">
        <f>AD1644-#REF!</f>
        <v>#REF!</v>
      </c>
      <c r="AF1644" s="9"/>
      <c r="AG1644" s="33" t="e">
        <f>#REF!-D1644</f>
        <v>#REF!</v>
      </c>
    </row>
    <row r="1645" spans="1:37" s="16" customFormat="1" ht="13.5" customHeight="1" outlineLevel="1" x14ac:dyDescent="0.2">
      <c r="A1645" s="62" t="s">
        <v>1801</v>
      </c>
      <c r="B1645" s="47" t="s">
        <v>1448</v>
      </c>
      <c r="C1645" s="9" t="s">
        <v>47</v>
      </c>
      <c r="D1645" s="25">
        <f t="shared" si="417"/>
        <v>4</v>
      </c>
      <c r="E1645" s="54"/>
      <c r="F1645" s="9"/>
      <c r="G1645" s="9">
        <v>4</v>
      </c>
      <c r="H1645" s="9">
        <v>0</v>
      </c>
      <c r="I1645" s="9">
        <v>0</v>
      </c>
      <c r="J1645" s="9">
        <v>0</v>
      </c>
      <c r="K1645" s="9">
        <v>0</v>
      </c>
      <c r="L1645" s="9">
        <v>0</v>
      </c>
      <c r="M1645" s="9">
        <v>0</v>
      </c>
      <c r="N1645" s="9">
        <v>0</v>
      </c>
      <c r="O1645" s="9">
        <v>0</v>
      </c>
      <c r="P1645" s="9">
        <v>0</v>
      </c>
      <c r="Q1645" s="9">
        <v>0</v>
      </c>
      <c r="R1645" s="9">
        <v>0</v>
      </c>
      <c r="S1645" s="9">
        <v>0</v>
      </c>
      <c r="T1645" s="9">
        <v>0</v>
      </c>
      <c r="U1645" s="9">
        <v>0</v>
      </c>
      <c r="V1645" s="9">
        <v>0</v>
      </c>
      <c r="W1645" s="9">
        <v>0</v>
      </c>
      <c r="X1645" s="9">
        <v>0</v>
      </c>
      <c r="Y1645" s="9">
        <v>0</v>
      </c>
      <c r="Z1645" s="9">
        <v>0</v>
      </c>
      <c r="AA1645" s="9">
        <v>0</v>
      </c>
      <c r="AB1645" s="9">
        <v>0</v>
      </c>
      <c r="AC1645" s="9">
        <v>0</v>
      </c>
      <c r="AD1645" s="53" t="e">
        <f>#REF!*D1645</f>
        <v>#REF!</v>
      </c>
      <c r="AE1645" s="53" t="e">
        <f>AD1645-#REF!</f>
        <v>#REF!</v>
      </c>
      <c r="AF1645" s="9"/>
      <c r="AG1645" s="33" t="e">
        <f>#REF!-D1645</f>
        <v>#REF!</v>
      </c>
    </row>
    <row r="1646" spans="1:37" s="16" customFormat="1" ht="20.399999999999999" outlineLevel="1" x14ac:dyDescent="0.2">
      <c r="A1646" s="62" t="s">
        <v>1802</v>
      </c>
      <c r="B1646" s="14" t="s">
        <v>1467</v>
      </c>
      <c r="C1646" s="9" t="s">
        <v>47</v>
      </c>
      <c r="D1646" s="25">
        <f t="shared" si="417"/>
        <v>24</v>
      </c>
      <c r="E1646" s="54"/>
      <c r="F1646" s="9"/>
      <c r="G1646" s="9">
        <v>24</v>
      </c>
      <c r="H1646" s="9">
        <v>0</v>
      </c>
      <c r="I1646" s="9">
        <v>0</v>
      </c>
      <c r="J1646" s="9">
        <v>0</v>
      </c>
      <c r="K1646" s="9">
        <v>0</v>
      </c>
      <c r="L1646" s="9">
        <v>0</v>
      </c>
      <c r="M1646" s="9">
        <v>0</v>
      </c>
      <c r="N1646" s="9">
        <v>0</v>
      </c>
      <c r="O1646" s="9">
        <v>0</v>
      </c>
      <c r="P1646" s="9">
        <v>0</v>
      </c>
      <c r="Q1646" s="9">
        <v>0</v>
      </c>
      <c r="R1646" s="9">
        <v>0</v>
      </c>
      <c r="S1646" s="9">
        <v>0</v>
      </c>
      <c r="T1646" s="9">
        <v>0</v>
      </c>
      <c r="U1646" s="9">
        <v>0</v>
      </c>
      <c r="V1646" s="9">
        <v>0</v>
      </c>
      <c r="W1646" s="9">
        <v>0</v>
      </c>
      <c r="X1646" s="9">
        <v>0</v>
      </c>
      <c r="Y1646" s="9">
        <v>0</v>
      </c>
      <c r="Z1646" s="9">
        <v>0</v>
      </c>
      <c r="AA1646" s="9">
        <v>0</v>
      </c>
      <c r="AB1646" s="9">
        <v>0</v>
      </c>
      <c r="AC1646" s="9">
        <v>0</v>
      </c>
      <c r="AD1646" s="53" t="e">
        <f>#REF!*D1646</f>
        <v>#REF!</v>
      </c>
      <c r="AE1646" s="53" t="e">
        <f>AD1646-#REF!</f>
        <v>#REF!</v>
      </c>
      <c r="AF1646" s="9"/>
      <c r="AG1646" s="33" t="e">
        <f>#REF!-D1646</f>
        <v>#REF!</v>
      </c>
    </row>
    <row r="1647" spans="1:37" s="10" customFormat="1" ht="21" outlineLevel="1" x14ac:dyDescent="0.25">
      <c r="A1647" s="62" t="s">
        <v>1803</v>
      </c>
      <c r="B1647" s="14" t="s">
        <v>1472</v>
      </c>
      <c r="C1647" s="8" t="s">
        <v>47</v>
      </c>
      <c r="D1647" s="25">
        <f t="shared" si="417"/>
        <v>6</v>
      </c>
      <c r="E1647" s="54"/>
      <c r="F1647" s="9"/>
      <c r="G1647" s="9">
        <v>6</v>
      </c>
      <c r="H1647" s="9">
        <v>0</v>
      </c>
      <c r="I1647" s="9">
        <v>0</v>
      </c>
      <c r="J1647" s="9">
        <v>0</v>
      </c>
      <c r="K1647" s="9">
        <v>0</v>
      </c>
      <c r="L1647" s="9">
        <v>0</v>
      </c>
      <c r="M1647" s="9">
        <v>0</v>
      </c>
      <c r="N1647" s="9">
        <v>0</v>
      </c>
      <c r="O1647" s="9">
        <v>0</v>
      </c>
      <c r="P1647" s="9">
        <v>0</v>
      </c>
      <c r="Q1647" s="9">
        <v>0</v>
      </c>
      <c r="R1647" s="9">
        <v>0</v>
      </c>
      <c r="S1647" s="9">
        <v>0</v>
      </c>
      <c r="T1647" s="9">
        <v>0</v>
      </c>
      <c r="U1647" s="9">
        <v>0</v>
      </c>
      <c r="V1647" s="9">
        <v>0</v>
      </c>
      <c r="W1647" s="9">
        <v>0</v>
      </c>
      <c r="X1647" s="9">
        <v>0</v>
      </c>
      <c r="Y1647" s="9">
        <v>0</v>
      </c>
      <c r="Z1647" s="9">
        <v>0</v>
      </c>
      <c r="AA1647" s="9">
        <v>0</v>
      </c>
      <c r="AB1647" s="9">
        <v>0</v>
      </c>
      <c r="AC1647" s="9">
        <v>0</v>
      </c>
      <c r="AD1647" s="53" t="e">
        <f>#REF!*D1647</f>
        <v>#REF!</v>
      </c>
      <c r="AE1647" s="53" t="e">
        <f>AD1647-#REF!</f>
        <v>#REF!</v>
      </c>
      <c r="AF1647" s="8"/>
      <c r="AG1647" s="33" t="e">
        <f>#REF!-D1647</f>
        <v>#REF!</v>
      </c>
      <c r="AH1647" s="8"/>
      <c r="AI1647" s="8"/>
      <c r="AJ1647" s="8"/>
      <c r="AK1647" s="8"/>
    </row>
    <row r="1648" spans="1:37" s="12" customFormat="1" ht="20.399999999999999" outlineLevel="1" x14ac:dyDescent="0.2">
      <c r="A1648" s="62" t="s">
        <v>1804</v>
      </c>
      <c r="B1648" s="80" t="s">
        <v>1751</v>
      </c>
      <c r="C1648" s="9" t="s">
        <v>47</v>
      </c>
      <c r="D1648" s="25">
        <f t="shared" si="417"/>
        <v>12</v>
      </c>
      <c r="E1648" s="54"/>
      <c r="F1648" s="9"/>
      <c r="G1648" s="9">
        <v>12</v>
      </c>
      <c r="H1648" s="9">
        <v>0</v>
      </c>
      <c r="I1648" s="9">
        <v>0</v>
      </c>
      <c r="J1648" s="9">
        <v>0</v>
      </c>
      <c r="K1648" s="9">
        <v>0</v>
      </c>
      <c r="L1648" s="9">
        <v>0</v>
      </c>
      <c r="M1648" s="9">
        <v>0</v>
      </c>
      <c r="N1648" s="9">
        <v>0</v>
      </c>
      <c r="O1648" s="9">
        <v>0</v>
      </c>
      <c r="P1648" s="9">
        <v>0</v>
      </c>
      <c r="Q1648" s="9">
        <v>0</v>
      </c>
      <c r="R1648" s="9">
        <v>0</v>
      </c>
      <c r="S1648" s="9">
        <v>0</v>
      </c>
      <c r="T1648" s="9">
        <v>0</v>
      </c>
      <c r="U1648" s="9">
        <v>0</v>
      </c>
      <c r="V1648" s="9">
        <v>0</v>
      </c>
      <c r="W1648" s="9">
        <v>0</v>
      </c>
      <c r="X1648" s="9">
        <v>0</v>
      </c>
      <c r="Y1648" s="9">
        <v>0</v>
      </c>
      <c r="Z1648" s="9">
        <v>0</v>
      </c>
      <c r="AA1648" s="9">
        <v>0</v>
      </c>
      <c r="AB1648" s="9">
        <v>0</v>
      </c>
      <c r="AC1648" s="9">
        <v>0</v>
      </c>
      <c r="AD1648" s="53" t="e">
        <f>#REF!*D1648</f>
        <v>#REF!</v>
      </c>
      <c r="AE1648" s="53" t="e">
        <f>AD1648-#REF!</f>
        <v>#REF!</v>
      </c>
      <c r="AF1648" s="8"/>
      <c r="AG1648" s="33" t="e">
        <f>#REF!-D1648</f>
        <v>#REF!</v>
      </c>
    </row>
    <row r="1649" spans="1:37" s="12" customFormat="1" ht="10.199999999999999" outlineLevel="1" x14ac:dyDescent="0.2">
      <c r="A1649" s="62" t="s">
        <v>1805</v>
      </c>
      <c r="B1649" s="98" t="s">
        <v>1749</v>
      </c>
      <c r="C1649" s="8" t="s">
        <v>48</v>
      </c>
      <c r="D1649" s="25">
        <f t="shared" si="417"/>
        <v>15</v>
      </c>
      <c r="E1649" s="54"/>
      <c r="F1649" s="9"/>
      <c r="G1649" s="9">
        <v>15</v>
      </c>
      <c r="H1649" s="9">
        <v>0</v>
      </c>
      <c r="I1649" s="9">
        <v>0</v>
      </c>
      <c r="J1649" s="9">
        <v>0</v>
      </c>
      <c r="K1649" s="9">
        <v>0</v>
      </c>
      <c r="L1649" s="9">
        <v>0</v>
      </c>
      <c r="M1649" s="9">
        <v>0</v>
      </c>
      <c r="N1649" s="9">
        <v>0</v>
      </c>
      <c r="O1649" s="9">
        <v>0</v>
      </c>
      <c r="P1649" s="9">
        <v>0</v>
      </c>
      <c r="Q1649" s="9">
        <v>0</v>
      </c>
      <c r="R1649" s="9">
        <v>0</v>
      </c>
      <c r="S1649" s="9">
        <v>0</v>
      </c>
      <c r="T1649" s="9">
        <v>0</v>
      </c>
      <c r="U1649" s="9">
        <v>0</v>
      </c>
      <c r="V1649" s="9">
        <v>0</v>
      </c>
      <c r="W1649" s="9">
        <v>0</v>
      </c>
      <c r="X1649" s="9">
        <v>0</v>
      </c>
      <c r="Y1649" s="9">
        <v>0</v>
      </c>
      <c r="Z1649" s="9">
        <v>0</v>
      </c>
      <c r="AA1649" s="9">
        <v>0</v>
      </c>
      <c r="AB1649" s="9">
        <v>0</v>
      </c>
      <c r="AC1649" s="9">
        <v>0</v>
      </c>
      <c r="AD1649" s="53" t="e">
        <f>#REF!*D1649</f>
        <v>#REF!</v>
      </c>
      <c r="AE1649" s="53" t="e">
        <f>AD1649-#REF!</f>
        <v>#REF!</v>
      </c>
      <c r="AF1649" s="8"/>
      <c r="AG1649" s="33" t="e">
        <f>#REF!-D1649</f>
        <v>#REF!</v>
      </c>
    </row>
    <row r="1650" spans="1:37" s="12" customFormat="1" ht="20.399999999999999" outlineLevel="1" x14ac:dyDescent="0.2">
      <c r="A1650" s="62" t="s">
        <v>1806</v>
      </c>
      <c r="B1650" s="80" t="s">
        <v>1543</v>
      </c>
      <c r="C1650" s="8" t="s">
        <v>47</v>
      </c>
      <c r="D1650" s="25">
        <f t="shared" si="417"/>
        <v>6</v>
      </c>
      <c r="E1650" s="54"/>
      <c r="F1650" s="9"/>
      <c r="G1650" s="9">
        <v>6</v>
      </c>
      <c r="H1650" s="9">
        <v>0</v>
      </c>
      <c r="I1650" s="9">
        <v>0</v>
      </c>
      <c r="J1650" s="9">
        <v>0</v>
      </c>
      <c r="K1650" s="9">
        <v>0</v>
      </c>
      <c r="L1650" s="9">
        <v>0</v>
      </c>
      <c r="M1650" s="9">
        <v>0</v>
      </c>
      <c r="N1650" s="9">
        <v>0</v>
      </c>
      <c r="O1650" s="9">
        <v>0</v>
      </c>
      <c r="P1650" s="9">
        <v>0</v>
      </c>
      <c r="Q1650" s="9">
        <v>0</v>
      </c>
      <c r="R1650" s="9">
        <v>0</v>
      </c>
      <c r="S1650" s="9">
        <v>0</v>
      </c>
      <c r="T1650" s="9">
        <v>0</v>
      </c>
      <c r="U1650" s="9">
        <v>0</v>
      </c>
      <c r="V1650" s="9">
        <v>0</v>
      </c>
      <c r="W1650" s="9">
        <v>0</v>
      </c>
      <c r="X1650" s="9">
        <v>0</v>
      </c>
      <c r="Y1650" s="9">
        <v>0</v>
      </c>
      <c r="Z1650" s="9">
        <v>0</v>
      </c>
      <c r="AA1650" s="9">
        <v>0</v>
      </c>
      <c r="AB1650" s="9">
        <v>0</v>
      </c>
      <c r="AC1650" s="9">
        <v>0</v>
      </c>
      <c r="AD1650" s="53" t="e">
        <f>#REF!*D1650</f>
        <v>#REF!</v>
      </c>
      <c r="AE1650" s="53" t="e">
        <f>AD1650-#REF!</f>
        <v>#REF!</v>
      </c>
      <c r="AF1650" s="8"/>
      <c r="AG1650" s="33" t="e">
        <f>#REF!-D1650</f>
        <v>#REF!</v>
      </c>
    </row>
    <row r="1651" spans="1:37" s="16" customFormat="1" ht="25.5" customHeight="1" outlineLevel="1" x14ac:dyDescent="0.2">
      <c r="A1651" s="62" t="s">
        <v>1807</v>
      </c>
      <c r="B1651" s="80" t="s">
        <v>284</v>
      </c>
      <c r="C1651" s="9" t="s">
        <v>47</v>
      </c>
      <c r="D1651" s="25">
        <f t="shared" si="417"/>
        <v>3</v>
      </c>
      <c r="E1651" s="54"/>
      <c r="F1651" s="9"/>
      <c r="G1651" s="9">
        <v>0</v>
      </c>
      <c r="H1651" s="9">
        <v>0</v>
      </c>
      <c r="I1651" s="9">
        <v>0</v>
      </c>
      <c r="J1651" s="9">
        <v>0</v>
      </c>
      <c r="K1651" s="9">
        <v>0</v>
      </c>
      <c r="L1651" s="9">
        <v>0</v>
      </c>
      <c r="M1651" s="9">
        <v>0</v>
      </c>
      <c r="N1651" s="9">
        <v>0</v>
      </c>
      <c r="O1651" s="9">
        <v>0</v>
      </c>
      <c r="P1651" s="9">
        <v>0</v>
      </c>
      <c r="Q1651" s="9">
        <v>0</v>
      </c>
      <c r="R1651" s="9">
        <v>3</v>
      </c>
      <c r="S1651" s="9">
        <v>0</v>
      </c>
      <c r="T1651" s="9">
        <v>0</v>
      </c>
      <c r="U1651" s="9">
        <v>0</v>
      </c>
      <c r="V1651" s="9">
        <v>0</v>
      </c>
      <c r="W1651" s="9">
        <v>0</v>
      </c>
      <c r="X1651" s="9">
        <v>0</v>
      </c>
      <c r="Y1651" s="9">
        <v>0</v>
      </c>
      <c r="Z1651" s="9">
        <v>0</v>
      </c>
      <c r="AA1651" s="9">
        <v>0</v>
      </c>
      <c r="AB1651" s="9">
        <v>0</v>
      </c>
      <c r="AC1651" s="9">
        <v>0</v>
      </c>
      <c r="AD1651" s="53" t="e">
        <f>#REF!*D1651</f>
        <v>#REF!</v>
      </c>
      <c r="AE1651" s="53" t="e">
        <f>AD1651-#REF!</f>
        <v>#REF!</v>
      </c>
      <c r="AF1651" s="9"/>
      <c r="AG1651" s="33" t="e">
        <f>#REF!-D1651</f>
        <v>#REF!</v>
      </c>
    </row>
    <row r="1652" spans="1:37" s="12" customFormat="1" ht="30.6" outlineLevel="1" x14ac:dyDescent="0.2">
      <c r="A1652" s="62" t="s">
        <v>1808</v>
      </c>
      <c r="B1652" s="47" t="s">
        <v>1750</v>
      </c>
      <c r="C1652" s="8" t="s">
        <v>47</v>
      </c>
      <c r="D1652" s="25">
        <f t="shared" si="417"/>
        <v>6</v>
      </c>
      <c r="E1652" s="54"/>
      <c r="F1652" s="9"/>
      <c r="G1652" s="9">
        <v>6</v>
      </c>
      <c r="H1652" s="9">
        <v>0</v>
      </c>
      <c r="I1652" s="9">
        <v>0</v>
      </c>
      <c r="J1652" s="9">
        <v>0</v>
      </c>
      <c r="K1652" s="9">
        <v>0</v>
      </c>
      <c r="L1652" s="9">
        <v>0</v>
      </c>
      <c r="M1652" s="9">
        <v>0</v>
      </c>
      <c r="N1652" s="9">
        <v>0</v>
      </c>
      <c r="O1652" s="9">
        <v>0</v>
      </c>
      <c r="P1652" s="9">
        <v>0</v>
      </c>
      <c r="Q1652" s="9">
        <v>0</v>
      </c>
      <c r="R1652" s="9">
        <v>0</v>
      </c>
      <c r="S1652" s="9">
        <v>0</v>
      </c>
      <c r="T1652" s="9">
        <v>0</v>
      </c>
      <c r="U1652" s="9">
        <v>0</v>
      </c>
      <c r="V1652" s="9">
        <v>0</v>
      </c>
      <c r="W1652" s="9">
        <v>0</v>
      </c>
      <c r="X1652" s="9">
        <v>0</v>
      </c>
      <c r="Y1652" s="9">
        <v>0</v>
      </c>
      <c r="Z1652" s="9">
        <v>0</v>
      </c>
      <c r="AA1652" s="9">
        <v>0</v>
      </c>
      <c r="AB1652" s="9">
        <v>0</v>
      </c>
      <c r="AC1652" s="9">
        <v>0</v>
      </c>
      <c r="AD1652" s="53" t="e">
        <f>#REF!*D1652</f>
        <v>#REF!</v>
      </c>
      <c r="AE1652" s="53" t="e">
        <f>AD1652-#REF!</f>
        <v>#REF!</v>
      </c>
      <c r="AF1652" s="8"/>
      <c r="AG1652" s="33" t="e">
        <f>#REF!-D1652</f>
        <v>#REF!</v>
      </c>
    </row>
    <row r="1653" spans="1:37" s="12" customFormat="1" ht="12" customHeight="1" x14ac:dyDescent="0.2">
      <c r="A1653" s="8"/>
      <c r="B1653" s="11"/>
      <c r="C1653" s="8"/>
      <c r="D1653" s="25"/>
      <c r="E1653" s="54"/>
      <c r="F1653" s="9"/>
      <c r="G1653" s="9"/>
      <c r="H1653" s="9"/>
      <c r="I1653" s="9"/>
      <c r="J1653" s="9"/>
      <c r="K1653" s="9"/>
      <c r="L1653" s="9"/>
      <c r="M1653" s="9"/>
      <c r="N1653" s="9"/>
      <c r="O1653" s="9"/>
      <c r="P1653" s="9"/>
      <c r="Q1653" s="9"/>
      <c r="R1653" s="9"/>
      <c r="S1653" s="9"/>
      <c r="T1653" s="9"/>
      <c r="U1653" s="9"/>
      <c r="V1653" s="9"/>
      <c r="W1653" s="9"/>
      <c r="X1653" s="9"/>
      <c r="Y1653" s="9"/>
      <c r="Z1653" s="9"/>
      <c r="AA1653" s="9"/>
      <c r="AB1653" s="9"/>
      <c r="AC1653" s="9"/>
      <c r="AD1653" s="53" t="e">
        <f>#REF!*D1653</f>
        <v>#REF!</v>
      </c>
      <c r="AE1653" s="53" t="e">
        <f>AD1653-#REF!</f>
        <v>#REF!</v>
      </c>
      <c r="AF1653" s="8"/>
      <c r="AG1653" s="33" t="e">
        <f>#REF!-D1653</f>
        <v>#REF!</v>
      </c>
    </row>
    <row r="1654" spans="1:37" x14ac:dyDescent="0.25">
      <c r="A1654" s="58">
        <v>9</v>
      </c>
      <c r="B1654" s="59" t="s">
        <v>359</v>
      </c>
      <c r="C1654" s="58" t="s">
        <v>41</v>
      </c>
      <c r="D1654" s="60" t="e">
        <f>#REF!/#REF!*100</f>
        <v>#REF!</v>
      </c>
      <c r="E1654" s="200" t="s">
        <v>2806</v>
      </c>
      <c r="G1654" s="9"/>
      <c r="H1654" s="76"/>
      <c r="I1654" s="76"/>
      <c r="J1654" s="76"/>
      <c r="K1654" s="76"/>
      <c r="L1654" s="76"/>
      <c r="M1654" s="76"/>
      <c r="N1654" s="76"/>
      <c r="O1654" s="76"/>
      <c r="P1654" s="76"/>
      <c r="Q1654" s="76"/>
      <c r="R1654" s="76"/>
      <c r="S1654" s="76"/>
      <c r="T1654" s="76"/>
      <c r="U1654" s="76"/>
      <c r="V1654" s="76"/>
      <c r="W1654" s="76"/>
      <c r="X1654" s="76"/>
      <c r="Y1654" s="76"/>
      <c r="Z1654" s="76"/>
      <c r="AA1654" s="76"/>
      <c r="AB1654" s="214" t="s">
        <v>375</v>
      </c>
      <c r="AC1654" s="214"/>
      <c r="AD1654" s="53" t="e">
        <f>#REF!*D1654</f>
        <v>#REF!</v>
      </c>
      <c r="AE1654" s="53" t="e">
        <f>AD1654-#REF!</f>
        <v>#REF!</v>
      </c>
      <c r="AG1654" s="33" t="e">
        <f>#REF!-D1654</f>
        <v>#REF!</v>
      </c>
    </row>
    <row r="1655" spans="1:37" x14ac:dyDescent="0.25">
      <c r="A1655" s="18" t="s">
        <v>512</v>
      </c>
      <c r="B1655" s="35" t="s">
        <v>1895</v>
      </c>
      <c r="C1655" s="18" t="s">
        <v>41</v>
      </c>
      <c r="D1655" s="52" t="e">
        <f>#REF!/#REF!*100</f>
        <v>#REF!</v>
      </c>
      <c r="G1655" s="9"/>
      <c r="H1655" s="76"/>
      <c r="I1655" s="76"/>
      <c r="J1655" s="76"/>
      <c r="K1655" s="76"/>
      <c r="L1655" s="76"/>
      <c r="M1655" s="76"/>
      <c r="N1655" s="76"/>
      <c r="O1655" s="76"/>
      <c r="P1655" s="76"/>
      <c r="Q1655" s="76"/>
      <c r="R1655" s="76"/>
      <c r="S1655" s="76"/>
      <c r="T1655" s="76"/>
      <c r="U1655" s="76"/>
      <c r="V1655" s="76"/>
      <c r="W1655" s="76"/>
      <c r="X1655" s="76"/>
      <c r="Y1655" s="76"/>
      <c r="Z1655" s="76"/>
      <c r="AA1655" s="76"/>
      <c r="AB1655" s="76"/>
      <c r="AC1655" s="76"/>
      <c r="AD1655" s="53" t="e">
        <f>#REF!*D1655</f>
        <v>#REF!</v>
      </c>
      <c r="AE1655" s="53" t="e">
        <f>AD1655-#REF!</f>
        <v>#REF!</v>
      </c>
      <c r="AG1655" s="33" t="e">
        <f>#REF!-D1655</f>
        <v>#REF!</v>
      </c>
      <c r="AH1655" s="2"/>
      <c r="AI1655" s="2"/>
      <c r="AJ1655" s="2"/>
      <c r="AK1655" s="2"/>
    </row>
    <row r="1656" spans="1:37" s="17" customFormat="1" ht="20.399999999999999" outlineLevel="1" x14ac:dyDescent="0.2">
      <c r="A1656" s="61" t="s">
        <v>1925</v>
      </c>
      <c r="B1656" s="47" t="s">
        <v>2822</v>
      </c>
      <c r="C1656" s="8" t="s">
        <v>47</v>
      </c>
      <c r="D1656" s="25">
        <f t="shared" ref="D1656:D1687" si="418">SUM(G1656:AC1656)</f>
        <v>154</v>
      </c>
      <c r="E1656" s="54"/>
      <c r="F1656" s="79"/>
      <c r="G1656" s="9">
        <v>0</v>
      </c>
      <c r="H1656" s="9">
        <v>28</v>
      </c>
      <c r="I1656" s="9">
        <v>6</v>
      </c>
      <c r="J1656" s="9">
        <v>9</v>
      </c>
      <c r="K1656" s="9">
        <v>6</v>
      </c>
      <c r="L1656" s="9">
        <v>3</v>
      </c>
      <c r="M1656" s="9">
        <v>6</v>
      </c>
      <c r="N1656" s="9">
        <v>6</v>
      </c>
      <c r="O1656" s="9">
        <v>11</v>
      </c>
      <c r="P1656" s="9">
        <v>10</v>
      </c>
      <c r="Q1656" s="9">
        <v>5</v>
      </c>
      <c r="R1656" s="9">
        <v>0</v>
      </c>
      <c r="S1656" s="9">
        <v>0</v>
      </c>
      <c r="T1656" s="9">
        <v>0</v>
      </c>
      <c r="U1656" s="9">
        <v>12</v>
      </c>
      <c r="V1656" s="9">
        <v>8</v>
      </c>
      <c r="W1656" s="9">
        <v>17</v>
      </c>
      <c r="X1656" s="9">
        <v>6</v>
      </c>
      <c r="Y1656" s="9">
        <v>11</v>
      </c>
      <c r="Z1656" s="9">
        <v>4</v>
      </c>
      <c r="AA1656" s="9">
        <v>5</v>
      </c>
      <c r="AB1656" s="9">
        <v>1</v>
      </c>
      <c r="AC1656" s="9">
        <v>0</v>
      </c>
      <c r="AD1656" s="53" t="e">
        <f>#REF!*D1656</f>
        <v>#REF!</v>
      </c>
      <c r="AE1656" s="53" t="e">
        <f>AD1656-#REF!</f>
        <v>#REF!</v>
      </c>
      <c r="AF1656" s="8"/>
      <c r="AG1656" s="33" t="e">
        <f>#REF!-D1656</f>
        <v>#REF!</v>
      </c>
    </row>
    <row r="1657" spans="1:37" s="17" customFormat="1" ht="26.25" customHeight="1" outlineLevel="1" x14ac:dyDescent="0.2">
      <c r="A1657" s="61" t="s">
        <v>1926</v>
      </c>
      <c r="B1657" s="47" t="s">
        <v>2823</v>
      </c>
      <c r="C1657" s="8" t="s">
        <v>47</v>
      </c>
      <c r="D1657" s="25">
        <f t="shared" si="418"/>
        <v>6</v>
      </c>
      <c r="E1657" s="54"/>
      <c r="F1657" s="79"/>
      <c r="G1657" s="9">
        <v>0</v>
      </c>
      <c r="H1657" s="9">
        <v>0</v>
      </c>
      <c r="I1657" s="9">
        <v>1</v>
      </c>
      <c r="J1657" s="9">
        <v>2</v>
      </c>
      <c r="K1657" s="9">
        <v>1</v>
      </c>
      <c r="L1657" s="9">
        <v>1</v>
      </c>
      <c r="M1657" s="9">
        <v>0</v>
      </c>
      <c r="N1657" s="9">
        <v>0</v>
      </c>
      <c r="O1657" s="9">
        <v>0</v>
      </c>
      <c r="P1657" s="9">
        <v>1</v>
      </c>
      <c r="Q1657" s="9">
        <v>0</v>
      </c>
      <c r="R1657" s="9">
        <v>0</v>
      </c>
      <c r="S1657" s="9">
        <v>0</v>
      </c>
      <c r="T1657" s="9">
        <v>0</v>
      </c>
      <c r="U1657" s="9">
        <v>0</v>
      </c>
      <c r="V1657" s="9">
        <v>0</v>
      </c>
      <c r="W1657" s="9">
        <v>0</v>
      </c>
      <c r="X1657" s="9">
        <v>0</v>
      </c>
      <c r="Y1657" s="9">
        <v>0</v>
      </c>
      <c r="Z1657" s="9">
        <v>0</v>
      </c>
      <c r="AA1657" s="9">
        <v>0</v>
      </c>
      <c r="AB1657" s="9">
        <v>0</v>
      </c>
      <c r="AC1657" s="9">
        <v>0</v>
      </c>
      <c r="AD1657" s="53" t="e">
        <f>#REF!*D1657</f>
        <v>#REF!</v>
      </c>
      <c r="AE1657" s="53" t="e">
        <f>AD1657-#REF!</f>
        <v>#REF!</v>
      </c>
      <c r="AF1657" s="8"/>
      <c r="AG1657" s="33" t="e">
        <f>#REF!-D1657</f>
        <v>#REF!</v>
      </c>
    </row>
    <row r="1658" spans="1:37" s="17" customFormat="1" ht="20.399999999999999" outlineLevel="1" x14ac:dyDescent="0.2">
      <c r="A1658" s="61" t="s">
        <v>1927</v>
      </c>
      <c r="B1658" s="47" t="s">
        <v>2327</v>
      </c>
      <c r="C1658" s="8" t="s">
        <v>47</v>
      </c>
      <c r="D1658" s="25">
        <f t="shared" si="418"/>
        <v>160</v>
      </c>
      <c r="E1658" s="54"/>
      <c r="F1658" s="79"/>
      <c r="G1658" s="49">
        <f t="shared" ref="G1658:AC1658" si="419">G1656+G1657</f>
        <v>0</v>
      </c>
      <c r="H1658" s="49">
        <f t="shared" si="419"/>
        <v>28</v>
      </c>
      <c r="I1658" s="49">
        <f t="shared" si="419"/>
        <v>7</v>
      </c>
      <c r="J1658" s="49">
        <f t="shared" si="419"/>
        <v>11</v>
      </c>
      <c r="K1658" s="49">
        <f t="shared" si="419"/>
        <v>7</v>
      </c>
      <c r="L1658" s="49">
        <f t="shared" si="419"/>
        <v>4</v>
      </c>
      <c r="M1658" s="49">
        <f t="shared" si="419"/>
        <v>6</v>
      </c>
      <c r="N1658" s="49">
        <f t="shared" si="419"/>
        <v>6</v>
      </c>
      <c r="O1658" s="49">
        <f t="shared" si="419"/>
        <v>11</v>
      </c>
      <c r="P1658" s="49">
        <f t="shared" si="419"/>
        <v>11</v>
      </c>
      <c r="Q1658" s="49">
        <f t="shared" si="419"/>
        <v>5</v>
      </c>
      <c r="R1658" s="49">
        <f t="shared" si="419"/>
        <v>0</v>
      </c>
      <c r="S1658" s="49">
        <f t="shared" si="419"/>
        <v>0</v>
      </c>
      <c r="T1658" s="49">
        <f t="shared" si="419"/>
        <v>0</v>
      </c>
      <c r="U1658" s="49">
        <f t="shared" si="419"/>
        <v>12</v>
      </c>
      <c r="V1658" s="49">
        <f t="shared" si="419"/>
        <v>8</v>
      </c>
      <c r="W1658" s="49">
        <f t="shared" si="419"/>
        <v>17</v>
      </c>
      <c r="X1658" s="49">
        <f t="shared" si="419"/>
        <v>6</v>
      </c>
      <c r="Y1658" s="49">
        <f t="shared" si="419"/>
        <v>11</v>
      </c>
      <c r="Z1658" s="49">
        <f t="shared" si="419"/>
        <v>4</v>
      </c>
      <c r="AA1658" s="49">
        <f t="shared" si="419"/>
        <v>5</v>
      </c>
      <c r="AB1658" s="49">
        <f t="shared" si="419"/>
        <v>1</v>
      </c>
      <c r="AC1658" s="49">
        <f t="shared" si="419"/>
        <v>0</v>
      </c>
      <c r="AD1658" s="53" t="e">
        <f>#REF!*D1658</f>
        <v>#REF!</v>
      </c>
      <c r="AE1658" s="53" t="e">
        <f>AD1658-#REF!</f>
        <v>#REF!</v>
      </c>
      <c r="AF1658" s="8"/>
      <c r="AG1658" s="33" t="e">
        <f>#REF!-D1658</f>
        <v>#REF!</v>
      </c>
    </row>
    <row r="1659" spans="1:37" s="20" customFormat="1" ht="20.399999999999999" outlineLevel="1" x14ac:dyDescent="0.2">
      <c r="A1659" s="61" t="s">
        <v>1928</v>
      </c>
      <c r="B1659" s="47" t="s">
        <v>2522</v>
      </c>
      <c r="C1659" s="8" t="s">
        <v>47</v>
      </c>
      <c r="D1659" s="25">
        <f t="shared" si="418"/>
        <v>160</v>
      </c>
      <c r="E1659" s="54"/>
      <c r="F1659" s="79"/>
      <c r="G1659" s="49">
        <f t="shared" ref="G1659:AC1659" si="420">G1656+G1657</f>
        <v>0</v>
      </c>
      <c r="H1659" s="49">
        <f t="shared" si="420"/>
        <v>28</v>
      </c>
      <c r="I1659" s="49">
        <f t="shared" si="420"/>
        <v>7</v>
      </c>
      <c r="J1659" s="49">
        <f t="shared" si="420"/>
        <v>11</v>
      </c>
      <c r="K1659" s="49">
        <f t="shared" si="420"/>
        <v>7</v>
      </c>
      <c r="L1659" s="49">
        <f t="shared" si="420"/>
        <v>4</v>
      </c>
      <c r="M1659" s="49">
        <f t="shared" si="420"/>
        <v>6</v>
      </c>
      <c r="N1659" s="49">
        <f t="shared" si="420"/>
        <v>6</v>
      </c>
      <c r="O1659" s="49">
        <f t="shared" si="420"/>
        <v>11</v>
      </c>
      <c r="P1659" s="49">
        <f t="shared" si="420"/>
        <v>11</v>
      </c>
      <c r="Q1659" s="49">
        <f t="shared" si="420"/>
        <v>5</v>
      </c>
      <c r="R1659" s="49">
        <f t="shared" si="420"/>
        <v>0</v>
      </c>
      <c r="S1659" s="49">
        <f t="shared" si="420"/>
        <v>0</v>
      </c>
      <c r="T1659" s="49">
        <f t="shared" si="420"/>
        <v>0</v>
      </c>
      <c r="U1659" s="49">
        <f t="shared" si="420"/>
        <v>12</v>
      </c>
      <c r="V1659" s="49">
        <f t="shared" si="420"/>
        <v>8</v>
      </c>
      <c r="W1659" s="49">
        <f t="shared" si="420"/>
        <v>17</v>
      </c>
      <c r="X1659" s="49">
        <f t="shared" si="420"/>
        <v>6</v>
      </c>
      <c r="Y1659" s="49">
        <f t="shared" si="420"/>
        <v>11</v>
      </c>
      <c r="Z1659" s="49">
        <f t="shared" si="420"/>
        <v>4</v>
      </c>
      <c r="AA1659" s="49">
        <f t="shared" si="420"/>
        <v>5</v>
      </c>
      <c r="AB1659" s="49">
        <f t="shared" si="420"/>
        <v>1</v>
      </c>
      <c r="AC1659" s="49">
        <f t="shared" si="420"/>
        <v>0</v>
      </c>
      <c r="AD1659" s="53" t="e">
        <f>#REF!*D1659</f>
        <v>#REF!</v>
      </c>
      <c r="AE1659" s="53" t="e">
        <f>AD1659-#REF!</f>
        <v>#REF!</v>
      </c>
      <c r="AF1659" s="9"/>
      <c r="AG1659" s="33" t="e">
        <f>#REF!-D1659</f>
        <v>#REF!</v>
      </c>
    </row>
    <row r="1660" spans="1:37" s="20" customFormat="1" ht="20.399999999999999" outlineLevel="1" x14ac:dyDescent="0.2">
      <c r="A1660" s="61" t="s">
        <v>1929</v>
      </c>
      <c r="B1660" s="47" t="s">
        <v>2313</v>
      </c>
      <c r="C1660" s="8" t="s">
        <v>47</v>
      </c>
      <c r="D1660" s="25">
        <f t="shared" si="418"/>
        <v>160</v>
      </c>
      <c r="E1660" s="54"/>
      <c r="F1660" s="79"/>
      <c r="G1660" s="49">
        <f t="shared" ref="G1660:AC1660" si="421">G1656+G1657</f>
        <v>0</v>
      </c>
      <c r="H1660" s="49">
        <f t="shared" si="421"/>
        <v>28</v>
      </c>
      <c r="I1660" s="49">
        <f t="shared" si="421"/>
        <v>7</v>
      </c>
      <c r="J1660" s="49">
        <f t="shared" si="421"/>
        <v>11</v>
      </c>
      <c r="K1660" s="49">
        <f t="shared" si="421"/>
        <v>7</v>
      </c>
      <c r="L1660" s="49">
        <f t="shared" si="421"/>
        <v>4</v>
      </c>
      <c r="M1660" s="49">
        <f t="shared" si="421"/>
        <v>6</v>
      </c>
      <c r="N1660" s="49">
        <f t="shared" si="421"/>
        <v>6</v>
      </c>
      <c r="O1660" s="49">
        <f t="shared" si="421"/>
        <v>11</v>
      </c>
      <c r="P1660" s="49">
        <f t="shared" si="421"/>
        <v>11</v>
      </c>
      <c r="Q1660" s="49">
        <f t="shared" si="421"/>
        <v>5</v>
      </c>
      <c r="R1660" s="49">
        <f t="shared" si="421"/>
        <v>0</v>
      </c>
      <c r="S1660" s="49">
        <f t="shared" si="421"/>
        <v>0</v>
      </c>
      <c r="T1660" s="49">
        <f t="shared" si="421"/>
        <v>0</v>
      </c>
      <c r="U1660" s="49">
        <f t="shared" si="421"/>
        <v>12</v>
      </c>
      <c r="V1660" s="49">
        <f t="shared" si="421"/>
        <v>8</v>
      </c>
      <c r="W1660" s="49">
        <f t="shared" si="421"/>
        <v>17</v>
      </c>
      <c r="X1660" s="49">
        <f t="shared" si="421"/>
        <v>6</v>
      </c>
      <c r="Y1660" s="49">
        <f t="shared" si="421"/>
        <v>11</v>
      </c>
      <c r="Z1660" s="49">
        <f t="shared" si="421"/>
        <v>4</v>
      </c>
      <c r="AA1660" s="49">
        <f t="shared" si="421"/>
        <v>5</v>
      </c>
      <c r="AB1660" s="49">
        <f t="shared" si="421"/>
        <v>1</v>
      </c>
      <c r="AC1660" s="49">
        <f t="shared" si="421"/>
        <v>0</v>
      </c>
      <c r="AD1660" s="53" t="e">
        <f>#REF!*D1660</f>
        <v>#REF!</v>
      </c>
      <c r="AE1660" s="53" t="e">
        <f>AD1660-#REF!</f>
        <v>#REF!</v>
      </c>
      <c r="AF1660" s="9"/>
      <c r="AG1660" s="33" t="e">
        <f>#REF!-D1660</f>
        <v>#REF!</v>
      </c>
    </row>
    <row r="1661" spans="1:37" s="20" customFormat="1" ht="20.399999999999999" outlineLevel="1" x14ac:dyDescent="0.2">
      <c r="A1661" s="61" t="s">
        <v>1930</v>
      </c>
      <c r="B1661" s="47" t="s">
        <v>2326</v>
      </c>
      <c r="C1661" s="8" t="s">
        <v>47</v>
      </c>
      <c r="D1661" s="25">
        <f t="shared" si="418"/>
        <v>6</v>
      </c>
      <c r="E1661" s="54"/>
      <c r="F1661" s="79"/>
      <c r="G1661" s="49">
        <f t="shared" ref="G1661:AC1661" si="422">G1657</f>
        <v>0</v>
      </c>
      <c r="H1661" s="49">
        <f t="shared" si="422"/>
        <v>0</v>
      </c>
      <c r="I1661" s="49">
        <f t="shared" si="422"/>
        <v>1</v>
      </c>
      <c r="J1661" s="49">
        <f t="shared" si="422"/>
        <v>2</v>
      </c>
      <c r="K1661" s="49">
        <f t="shared" si="422"/>
        <v>1</v>
      </c>
      <c r="L1661" s="49">
        <f t="shared" si="422"/>
        <v>1</v>
      </c>
      <c r="M1661" s="49">
        <f t="shared" si="422"/>
        <v>0</v>
      </c>
      <c r="N1661" s="49">
        <f t="shared" si="422"/>
        <v>0</v>
      </c>
      <c r="O1661" s="49">
        <f t="shared" si="422"/>
        <v>0</v>
      </c>
      <c r="P1661" s="49">
        <f t="shared" si="422"/>
        <v>1</v>
      </c>
      <c r="Q1661" s="49">
        <f t="shared" si="422"/>
        <v>0</v>
      </c>
      <c r="R1661" s="49">
        <f t="shared" si="422"/>
        <v>0</v>
      </c>
      <c r="S1661" s="49">
        <f t="shared" si="422"/>
        <v>0</v>
      </c>
      <c r="T1661" s="49">
        <f t="shared" si="422"/>
        <v>0</v>
      </c>
      <c r="U1661" s="49">
        <f t="shared" si="422"/>
        <v>0</v>
      </c>
      <c r="V1661" s="49">
        <f t="shared" si="422"/>
        <v>0</v>
      </c>
      <c r="W1661" s="49">
        <f t="shared" si="422"/>
        <v>0</v>
      </c>
      <c r="X1661" s="49">
        <f t="shared" si="422"/>
        <v>0</v>
      </c>
      <c r="Y1661" s="49">
        <f t="shared" si="422"/>
        <v>0</v>
      </c>
      <c r="Z1661" s="49">
        <f t="shared" si="422"/>
        <v>0</v>
      </c>
      <c r="AA1661" s="49">
        <f t="shared" si="422"/>
        <v>0</v>
      </c>
      <c r="AB1661" s="49">
        <f t="shared" si="422"/>
        <v>0</v>
      </c>
      <c r="AC1661" s="49">
        <f t="shared" si="422"/>
        <v>0</v>
      </c>
      <c r="AD1661" s="53" t="e">
        <f>#REF!*D1661</f>
        <v>#REF!</v>
      </c>
      <c r="AE1661" s="53" t="e">
        <f>AD1661-#REF!</f>
        <v>#REF!</v>
      </c>
      <c r="AF1661" s="9"/>
      <c r="AG1661" s="33" t="e">
        <f>#REF!-D1661</f>
        <v>#REF!</v>
      </c>
    </row>
    <row r="1662" spans="1:37" s="20" customFormat="1" ht="24.75" customHeight="1" outlineLevel="1" x14ac:dyDescent="0.2">
      <c r="A1662" s="61" t="s">
        <v>1931</v>
      </c>
      <c r="B1662" s="47" t="s">
        <v>2312</v>
      </c>
      <c r="C1662" s="8" t="s">
        <v>47</v>
      </c>
      <c r="D1662" s="25">
        <f t="shared" si="418"/>
        <v>160</v>
      </c>
      <c r="E1662" s="54"/>
      <c r="F1662" s="79"/>
      <c r="G1662" s="49">
        <f t="shared" ref="G1662:AC1662" si="423">G1656+G1657</f>
        <v>0</v>
      </c>
      <c r="H1662" s="49">
        <f t="shared" si="423"/>
        <v>28</v>
      </c>
      <c r="I1662" s="49">
        <f t="shared" si="423"/>
        <v>7</v>
      </c>
      <c r="J1662" s="49">
        <f t="shared" si="423"/>
        <v>11</v>
      </c>
      <c r="K1662" s="49">
        <f t="shared" si="423"/>
        <v>7</v>
      </c>
      <c r="L1662" s="49">
        <f t="shared" si="423"/>
        <v>4</v>
      </c>
      <c r="M1662" s="49">
        <f t="shared" si="423"/>
        <v>6</v>
      </c>
      <c r="N1662" s="49">
        <f t="shared" si="423"/>
        <v>6</v>
      </c>
      <c r="O1662" s="49">
        <f t="shared" si="423"/>
        <v>11</v>
      </c>
      <c r="P1662" s="49">
        <f t="shared" si="423"/>
        <v>11</v>
      </c>
      <c r="Q1662" s="49">
        <f t="shared" si="423"/>
        <v>5</v>
      </c>
      <c r="R1662" s="49">
        <f t="shared" si="423"/>
        <v>0</v>
      </c>
      <c r="S1662" s="49">
        <f t="shared" si="423"/>
        <v>0</v>
      </c>
      <c r="T1662" s="49">
        <f t="shared" si="423"/>
        <v>0</v>
      </c>
      <c r="U1662" s="49">
        <f t="shared" si="423"/>
        <v>12</v>
      </c>
      <c r="V1662" s="49">
        <f t="shared" si="423"/>
        <v>8</v>
      </c>
      <c r="W1662" s="49">
        <f t="shared" si="423"/>
        <v>17</v>
      </c>
      <c r="X1662" s="49">
        <f t="shared" si="423"/>
        <v>6</v>
      </c>
      <c r="Y1662" s="49">
        <f t="shared" si="423"/>
        <v>11</v>
      </c>
      <c r="Z1662" s="49">
        <f t="shared" si="423"/>
        <v>4</v>
      </c>
      <c r="AA1662" s="49">
        <f t="shared" si="423"/>
        <v>5</v>
      </c>
      <c r="AB1662" s="49">
        <f t="shared" si="423"/>
        <v>1</v>
      </c>
      <c r="AC1662" s="49">
        <f t="shared" si="423"/>
        <v>0</v>
      </c>
      <c r="AD1662" s="53" t="e">
        <f>#REF!*D1662</f>
        <v>#REF!</v>
      </c>
      <c r="AE1662" s="53" t="e">
        <f>AD1662-#REF!</f>
        <v>#REF!</v>
      </c>
      <c r="AF1662" s="9"/>
      <c r="AG1662" s="33" t="e">
        <f>#REF!-D1662</f>
        <v>#REF!</v>
      </c>
    </row>
    <row r="1663" spans="1:37" s="20" customFormat="1" ht="20.399999999999999" outlineLevel="1" x14ac:dyDescent="0.2">
      <c r="A1663" s="61" t="s">
        <v>1932</v>
      </c>
      <c r="B1663" s="47" t="s">
        <v>2314</v>
      </c>
      <c r="C1663" s="8" t="s">
        <v>47</v>
      </c>
      <c r="D1663" s="25">
        <f t="shared" si="418"/>
        <v>154</v>
      </c>
      <c r="E1663" s="54"/>
      <c r="F1663" s="79"/>
      <c r="G1663" s="49">
        <f t="shared" ref="G1663:AC1663" si="424">G1656</f>
        <v>0</v>
      </c>
      <c r="H1663" s="49">
        <f t="shared" si="424"/>
        <v>28</v>
      </c>
      <c r="I1663" s="49">
        <f t="shared" si="424"/>
        <v>6</v>
      </c>
      <c r="J1663" s="49">
        <f t="shared" si="424"/>
        <v>9</v>
      </c>
      <c r="K1663" s="49">
        <f t="shared" si="424"/>
        <v>6</v>
      </c>
      <c r="L1663" s="49">
        <f t="shared" si="424"/>
        <v>3</v>
      </c>
      <c r="M1663" s="49">
        <f t="shared" si="424"/>
        <v>6</v>
      </c>
      <c r="N1663" s="49">
        <f t="shared" si="424"/>
        <v>6</v>
      </c>
      <c r="O1663" s="49">
        <f t="shared" si="424"/>
        <v>11</v>
      </c>
      <c r="P1663" s="49">
        <f t="shared" si="424"/>
        <v>10</v>
      </c>
      <c r="Q1663" s="49">
        <f t="shared" si="424"/>
        <v>5</v>
      </c>
      <c r="R1663" s="49">
        <f t="shared" si="424"/>
        <v>0</v>
      </c>
      <c r="S1663" s="49">
        <f t="shared" si="424"/>
        <v>0</v>
      </c>
      <c r="T1663" s="49">
        <f t="shared" si="424"/>
        <v>0</v>
      </c>
      <c r="U1663" s="49">
        <f t="shared" si="424"/>
        <v>12</v>
      </c>
      <c r="V1663" s="49">
        <f t="shared" si="424"/>
        <v>8</v>
      </c>
      <c r="W1663" s="49">
        <f t="shared" si="424"/>
        <v>17</v>
      </c>
      <c r="X1663" s="49">
        <f t="shared" si="424"/>
        <v>6</v>
      </c>
      <c r="Y1663" s="49">
        <f t="shared" si="424"/>
        <v>11</v>
      </c>
      <c r="Z1663" s="49">
        <f t="shared" si="424"/>
        <v>4</v>
      </c>
      <c r="AA1663" s="49">
        <f t="shared" si="424"/>
        <v>5</v>
      </c>
      <c r="AB1663" s="49">
        <f t="shared" si="424"/>
        <v>1</v>
      </c>
      <c r="AC1663" s="49">
        <f t="shared" si="424"/>
        <v>0</v>
      </c>
      <c r="AD1663" s="53" t="e">
        <f>#REF!*D1663</f>
        <v>#REF!</v>
      </c>
      <c r="AE1663" s="53" t="e">
        <f>AD1663-#REF!</f>
        <v>#REF!</v>
      </c>
      <c r="AF1663" s="9"/>
      <c r="AG1663" s="33" t="e">
        <f>#REF!-D1663</f>
        <v>#REF!</v>
      </c>
    </row>
    <row r="1664" spans="1:37" s="20" customFormat="1" ht="20.399999999999999" outlineLevel="1" x14ac:dyDescent="0.2">
      <c r="A1664" s="61" t="s">
        <v>1933</v>
      </c>
      <c r="B1664" s="47" t="s">
        <v>2325</v>
      </c>
      <c r="C1664" s="8" t="s">
        <v>47</v>
      </c>
      <c r="D1664" s="25">
        <f t="shared" si="418"/>
        <v>6</v>
      </c>
      <c r="E1664" s="54"/>
      <c r="F1664" s="79"/>
      <c r="G1664" s="49">
        <f t="shared" ref="G1664:AC1664" si="425">G1657</f>
        <v>0</v>
      </c>
      <c r="H1664" s="49">
        <f t="shared" si="425"/>
        <v>0</v>
      </c>
      <c r="I1664" s="49">
        <f t="shared" si="425"/>
        <v>1</v>
      </c>
      <c r="J1664" s="49">
        <f t="shared" si="425"/>
        <v>2</v>
      </c>
      <c r="K1664" s="49">
        <f t="shared" si="425"/>
        <v>1</v>
      </c>
      <c r="L1664" s="49">
        <f t="shared" si="425"/>
        <v>1</v>
      </c>
      <c r="M1664" s="49">
        <f t="shared" si="425"/>
        <v>0</v>
      </c>
      <c r="N1664" s="49">
        <f t="shared" si="425"/>
        <v>0</v>
      </c>
      <c r="O1664" s="49">
        <f t="shared" si="425"/>
        <v>0</v>
      </c>
      <c r="P1664" s="49">
        <f t="shared" si="425"/>
        <v>1</v>
      </c>
      <c r="Q1664" s="49">
        <f t="shared" si="425"/>
        <v>0</v>
      </c>
      <c r="R1664" s="49">
        <f t="shared" si="425"/>
        <v>0</v>
      </c>
      <c r="S1664" s="49">
        <f t="shared" si="425"/>
        <v>0</v>
      </c>
      <c r="T1664" s="49">
        <f t="shared" si="425"/>
        <v>0</v>
      </c>
      <c r="U1664" s="49">
        <f t="shared" si="425"/>
        <v>0</v>
      </c>
      <c r="V1664" s="49">
        <f t="shared" si="425"/>
        <v>0</v>
      </c>
      <c r="W1664" s="49">
        <f t="shared" si="425"/>
        <v>0</v>
      </c>
      <c r="X1664" s="49">
        <f t="shared" si="425"/>
        <v>0</v>
      </c>
      <c r="Y1664" s="49">
        <f t="shared" si="425"/>
        <v>0</v>
      </c>
      <c r="Z1664" s="49">
        <f t="shared" si="425"/>
        <v>0</v>
      </c>
      <c r="AA1664" s="49">
        <f t="shared" si="425"/>
        <v>0</v>
      </c>
      <c r="AB1664" s="49">
        <f t="shared" si="425"/>
        <v>0</v>
      </c>
      <c r="AC1664" s="49">
        <f t="shared" si="425"/>
        <v>0</v>
      </c>
      <c r="AD1664" s="53" t="e">
        <f>#REF!*D1664</f>
        <v>#REF!</v>
      </c>
      <c r="AE1664" s="53" t="e">
        <f>AD1664-#REF!</f>
        <v>#REF!</v>
      </c>
      <c r="AF1664" s="9"/>
      <c r="AG1664" s="33" t="e">
        <f>#REF!-D1664</f>
        <v>#REF!</v>
      </c>
    </row>
    <row r="1665" spans="1:33" s="20" customFormat="1" ht="20.399999999999999" outlineLevel="1" x14ac:dyDescent="0.2">
      <c r="A1665" s="61" t="s">
        <v>1934</v>
      </c>
      <c r="B1665" s="47" t="s">
        <v>2315</v>
      </c>
      <c r="C1665" s="8" t="s">
        <v>47</v>
      </c>
      <c r="D1665" s="25">
        <f t="shared" si="418"/>
        <v>160</v>
      </c>
      <c r="E1665" s="54"/>
      <c r="F1665" s="79"/>
      <c r="G1665" s="49">
        <f t="shared" ref="G1665:AC1665" si="426">G1656+G1657</f>
        <v>0</v>
      </c>
      <c r="H1665" s="49">
        <f t="shared" si="426"/>
        <v>28</v>
      </c>
      <c r="I1665" s="49">
        <f t="shared" si="426"/>
        <v>7</v>
      </c>
      <c r="J1665" s="49">
        <f t="shared" si="426"/>
        <v>11</v>
      </c>
      <c r="K1665" s="49">
        <f t="shared" si="426"/>
        <v>7</v>
      </c>
      <c r="L1665" s="49">
        <f t="shared" si="426"/>
        <v>4</v>
      </c>
      <c r="M1665" s="49">
        <f t="shared" si="426"/>
        <v>6</v>
      </c>
      <c r="N1665" s="49">
        <f t="shared" si="426"/>
        <v>6</v>
      </c>
      <c r="O1665" s="49">
        <f t="shared" si="426"/>
        <v>11</v>
      </c>
      <c r="P1665" s="49">
        <f t="shared" si="426"/>
        <v>11</v>
      </c>
      <c r="Q1665" s="49">
        <f t="shared" si="426"/>
        <v>5</v>
      </c>
      <c r="R1665" s="49">
        <f t="shared" si="426"/>
        <v>0</v>
      </c>
      <c r="S1665" s="49">
        <f t="shared" si="426"/>
        <v>0</v>
      </c>
      <c r="T1665" s="49">
        <f t="shared" si="426"/>
        <v>0</v>
      </c>
      <c r="U1665" s="49">
        <f t="shared" si="426"/>
        <v>12</v>
      </c>
      <c r="V1665" s="49">
        <f t="shared" si="426"/>
        <v>8</v>
      </c>
      <c r="W1665" s="49">
        <f t="shared" si="426"/>
        <v>17</v>
      </c>
      <c r="X1665" s="49">
        <f t="shared" si="426"/>
        <v>6</v>
      </c>
      <c r="Y1665" s="49">
        <f t="shared" si="426"/>
        <v>11</v>
      </c>
      <c r="Z1665" s="49">
        <f t="shared" si="426"/>
        <v>4</v>
      </c>
      <c r="AA1665" s="49">
        <f t="shared" si="426"/>
        <v>5</v>
      </c>
      <c r="AB1665" s="49">
        <f t="shared" si="426"/>
        <v>1</v>
      </c>
      <c r="AC1665" s="49">
        <f t="shared" si="426"/>
        <v>0</v>
      </c>
      <c r="AD1665" s="53" t="e">
        <f>#REF!*D1665</f>
        <v>#REF!</v>
      </c>
      <c r="AE1665" s="53" t="e">
        <f>AD1665-#REF!</f>
        <v>#REF!</v>
      </c>
      <c r="AF1665" s="9"/>
      <c r="AG1665" s="33" t="e">
        <f>#REF!-D1665</f>
        <v>#REF!</v>
      </c>
    </row>
    <row r="1666" spans="1:33" s="20" customFormat="1" ht="11.4" outlineLevel="1" x14ac:dyDescent="0.2">
      <c r="A1666" s="61" t="s">
        <v>1935</v>
      </c>
      <c r="B1666" s="47" t="s">
        <v>2322</v>
      </c>
      <c r="C1666" s="8" t="s">
        <v>47</v>
      </c>
      <c r="D1666" s="25">
        <f t="shared" si="418"/>
        <v>160</v>
      </c>
      <c r="E1666" s="54"/>
      <c r="F1666" s="79"/>
      <c r="G1666" s="49">
        <f t="shared" ref="G1666:AC1666" si="427">G1656+G1657</f>
        <v>0</v>
      </c>
      <c r="H1666" s="49">
        <f t="shared" si="427"/>
        <v>28</v>
      </c>
      <c r="I1666" s="49">
        <f t="shared" si="427"/>
        <v>7</v>
      </c>
      <c r="J1666" s="49">
        <f t="shared" si="427"/>
        <v>11</v>
      </c>
      <c r="K1666" s="49">
        <f t="shared" si="427"/>
        <v>7</v>
      </c>
      <c r="L1666" s="49">
        <f t="shared" si="427"/>
        <v>4</v>
      </c>
      <c r="M1666" s="49">
        <f t="shared" si="427"/>
        <v>6</v>
      </c>
      <c r="N1666" s="49">
        <f t="shared" si="427"/>
        <v>6</v>
      </c>
      <c r="O1666" s="49">
        <f t="shared" si="427"/>
        <v>11</v>
      </c>
      <c r="P1666" s="49">
        <f t="shared" si="427"/>
        <v>11</v>
      </c>
      <c r="Q1666" s="49">
        <f t="shared" si="427"/>
        <v>5</v>
      </c>
      <c r="R1666" s="49">
        <f t="shared" si="427"/>
        <v>0</v>
      </c>
      <c r="S1666" s="49">
        <f t="shared" si="427"/>
        <v>0</v>
      </c>
      <c r="T1666" s="49">
        <f t="shared" si="427"/>
        <v>0</v>
      </c>
      <c r="U1666" s="49">
        <f t="shared" si="427"/>
        <v>12</v>
      </c>
      <c r="V1666" s="49">
        <f t="shared" si="427"/>
        <v>8</v>
      </c>
      <c r="W1666" s="49">
        <f t="shared" si="427"/>
        <v>17</v>
      </c>
      <c r="X1666" s="49">
        <f t="shared" si="427"/>
        <v>6</v>
      </c>
      <c r="Y1666" s="49">
        <f t="shared" si="427"/>
        <v>11</v>
      </c>
      <c r="Z1666" s="49">
        <f t="shared" si="427"/>
        <v>4</v>
      </c>
      <c r="AA1666" s="49">
        <f t="shared" si="427"/>
        <v>5</v>
      </c>
      <c r="AB1666" s="49">
        <f t="shared" si="427"/>
        <v>1</v>
      </c>
      <c r="AC1666" s="49">
        <f t="shared" si="427"/>
        <v>0</v>
      </c>
      <c r="AD1666" s="53" t="e">
        <f>#REF!*D1666</f>
        <v>#REF!</v>
      </c>
      <c r="AE1666" s="53" t="e">
        <f>AD1666-#REF!</f>
        <v>#REF!</v>
      </c>
      <c r="AF1666" s="9"/>
      <c r="AG1666" s="33" t="e">
        <f>#REF!-D1666</f>
        <v>#REF!</v>
      </c>
    </row>
    <row r="1667" spans="1:33" s="20" customFormat="1" ht="30.6" outlineLevel="1" x14ac:dyDescent="0.2">
      <c r="A1667" s="61" t="s">
        <v>1936</v>
      </c>
      <c r="B1667" s="47" t="s">
        <v>2821</v>
      </c>
      <c r="C1667" s="8" t="s">
        <v>47</v>
      </c>
      <c r="D1667" s="25">
        <f t="shared" si="418"/>
        <v>159</v>
      </c>
      <c r="E1667" s="54"/>
      <c r="F1667" s="79"/>
      <c r="G1667" s="9">
        <v>0</v>
      </c>
      <c r="H1667" s="9">
        <v>6</v>
      </c>
      <c r="I1667" s="9">
        <v>7</v>
      </c>
      <c r="J1667" s="9">
        <v>19</v>
      </c>
      <c r="K1667" s="9">
        <v>9</v>
      </c>
      <c r="L1667" s="9">
        <v>16</v>
      </c>
      <c r="M1667" s="9">
        <v>16</v>
      </c>
      <c r="N1667" s="9">
        <v>15</v>
      </c>
      <c r="O1667" s="9">
        <v>10</v>
      </c>
      <c r="P1667" s="9">
        <v>10</v>
      </c>
      <c r="Q1667" s="9">
        <v>3</v>
      </c>
      <c r="R1667" s="9">
        <v>0</v>
      </c>
      <c r="S1667" s="9">
        <v>0</v>
      </c>
      <c r="T1667" s="9">
        <v>0</v>
      </c>
      <c r="U1667" s="9">
        <v>4</v>
      </c>
      <c r="V1667" s="9">
        <v>1</v>
      </c>
      <c r="W1667" s="9">
        <v>1</v>
      </c>
      <c r="X1667" s="9">
        <v>11</v>
      </c>
      <c r="Y1667" s="9">
        <v>4</v>
      </c>
      <c r="Z1667" s="9">
        <v>15</v>
      </c>
      <c r="AA1667" s="9">
        <v>12</v>
      </c>
      <c r="AB1667" s="9">
        <v>0</v>
      </c>
      <c r="AC1667" s="9">
        <v>0</v>
      </c>
      <c r="AD1667" s="53" t="e">
        <f>#REF!*D1667</f>
        <v>#REF!</v>
      </c>
      <c r="AE1667" s="53" t="e">
        <f>AD1667-#REF!</f>
        <v>#REF!</v>
      </c>
      <c r="AF1667" s="9"/>
      <c r="AG1667" s="33" t="e">
        <f>#REF!-D1667</f>
        <v>#REF!</v>
      </c>
    </row>
    <row r="1668" spans="1:33" s="17" customFormat="1" ht="27" customHeight="1" outlineLevel="1" x14ac:dyDescent="0.2">
      <c r="A1668" s="61" t="s">
        <v>1937</v>
      </c>
      <c r="B1668" s="47" t="s">
        <v>2823</v>
      </c>
      <c r="C1668" s="8" t="s">
        <v>47</v>
      </c>
      <c r="D1668" s="25">
        <f t="shared" si="418"/>
        <v>16</v>
      </c>
      <c r="E1668" s="54"/>
      <c r="F1668" s="79"/>
      <c r="G1668" s="9">
        <v>0</v>
      </c>
      <c r="H1668" s="9">
        <v>0</v>
      </c>
      <c r="I1668" s="9">
        <v>3</v>
      </c>
      <c r="J1668" s="9">
        <v>0</v>
      </c>
      <c r="K1668" s="9">
        <v>1</v>
      </c>
      <c r="L1668" s="9">
        <v>4</v>
      </c>
      <c r="M1668" s="9">
        <v>2</v>
      </c>
      <c r="N1668" s="9">
        <v>2</v>
      </c>
      <c r="O1668" s="9">
        <v>2</v>
      </c>
      <c r="P1668" s="9">
        <v>2</v>
      </c>
      <c r="Q1668" s="9">
        <v>0</v>
      </c>
      <c r="R1668" s="9">
        <v>0</v>
      </c>
      <c r="S1668" s="9">
        <v>0</v>
      </c>
      <c r="T1668" s="9">
        <v>0</v>
      </c>
      <c r="U1668" s="9">
        <v>0</v>
      </c>
      <c r="V1668" s="9">
        <v>0</v>
      </c>
      <c r="W1668" s="9">
        <v>0</v>
      </c>
      <c r="X1668" s="9">
        <v>0</v>
      </c>
      <c r="Y1668" s="9">
        <v>0</v>
      </c>
      <c r="Z1668" s="9">
        <v>0</v>
      </c>
      <c r="AA1668" s="9">
        <v>0</v>
      </c>
      <c r="AB1668" s="9">
        <v>0</v>
      </c>
      <c r="AC1668" s="9">
        <v>0</v>
      </c>
      <c r="AD1668" s="53" t="e">
        <f>#REF!*D1668</f>
        <v>#REF!</v>
      </c>
      <c r="AE1668" s="53" t="e">
        <f>AD1668-#REF!</f>
        <v>#REF!</v>
      </c>
      <c r="AF1668" s="8"/>
      <c r="AG1668" s="33" t="e">
        <f>#REF!-D1668</f>
        <v>#REF!</v>
      </c>
    </row>
    <row r="1669" spans="1:33" s="17" customFormat="1" ht="20.399999999999999" outlineLevel="1" x14ac:dyDescent="0.2">
      <c r="A1669" s="61" t="s">
        <v>1938</v>
      </c>
      <c r="B1669" s="47" t="s">
        <v>2327</v>
      </c>
      <c r="C1669" s="8" t="s">
        <v>47</v>
      </c>
      <c r="D1669" s="25">
        <f t="shared" si="418"/>
        <v>175</v>
      </c>
      <c r="E1669" s="54"/>
      <c r="F1669" s="79"/>
      <c r="G1669" s="49">
        <f t="shared" ref="G1669:AC1669" si="428">G1667+G1668</f>
        <v>0</v>
      </c>
      <c r="H1669" s="49">
        <f t="shared" si="428"/>
        <v>6</v>
      </c>
      <c r="I1669" s="49">
        <f t="shared" si="428"/>
        <v>10</v>
      </c>
      <c r="J1669" s="49">
        <f t="shared" si="428"/>
        <v>19</v>
      </c>
      <c r="K1669" s="49">
        <f t="shared" si="428"/>
        <v>10</v>
      </c>
      <c r="L1669" s="49">
        <f t="shared" si="428"/>
        <v>20</v>
      </c>
      <c r="M1669" s="49">
        <f t="shared" si="428"/>
        <v>18</v>
      </c>
      <c r="N1669" s="49">
        <f t="shared" si="428"/>
        <v>17</v>
      </c>
      <c r="O1669" s="49">
        <f t="shared" si="428"/>
        <v>12</v>
      </c>
      <c r="P1669" s="49">
        <f t="shared" si="428"/>
        <v>12</v>
      </c>
      <c r="Q1669" s="49">
        <f t="shared" si="428"/>
        <v>3</v>
      </c>
      <c r="R1669" s="49">
        <f t="shared" si="428"/>
        <v>0</v>
      </c>
      <c r="S1669" s="49">
        <f t="shared" si="428"/>
        <v>0</v>
      </c>
      <c r="T1669" s="49">
        <f t="shared" si="428"/>
        <v>0</v>
      </c>
      <c r="U1669" s="49">
        <f t="shared" si="428"/>
        <v>4</v>
      </c>
      <c r="V1669" s="49">
        <f t="shared" si="428"/>
        <v>1</v>
      </c>
      <c r="W1669" s="49">
        <f t="shared" si="428"/>
        <v>1</v>
      </c>
      <c r="X1669" s="49">
        <f t="shared" si="428"/>
        <v>11</v>
      </c>
      <c r="Y1669" s="49">
        <f t="shared" si="428"/>
        <v>4</v>
      </c>
      <c r="Z1669" s="49">
        <f t="shared" si="428"/>
        <v>15</v>
      </c>
      <c r="AA1669" s="49">
        <f t="shared" si="428"/>
        <v>12</v>
      </c>
      <c r="AB1669" s="49">
        <f t="shared" si="428"/>
        <v>0</v>
      </c>
      <c r="AC1669" s="49">
        <f t="shared" si="428"/>
        <v>0</v>
      </c>
      <c r="AD1669" s="53" t="e">
        <f>#REF!*D1669</f>
        <v>#REF!</v>
      </c>
      <c r="AE1669" s="53" t="e">
        <f>AD1669-#REF!</f>
        <v>#REF!</v>
      </c>
      <c r="AF1669" s="8"/>
      <c r="AG1669" s="33" t="e">
        <f>#REF!-D1669</f>
        <v>#REF!</v>
      </c>
    </row>
    <row r="1670" spans="1:33" s="20" customFormat="1" ht="20.399999999999999" outlineLevel="1" x14ac:dyDescent="0.2">
      <c r="A1670" s="61" t="s">
        <v>1939</v>
      </c>
      <c r="B1670" s="47" t="s">
        <v>2522</v>
      </c>
      <c r="C1670" s="8" t="s">
        <v>47</v>
      </c>
      <c r="D1670" s="25">
        <f t="shared" si="418"/>
        <v>175</v>
      </c>
      <c r="E1670" s="54"/>
      <c r="F1670" s="79"/>
      <c r="G1670" s="49">
        <f t="shared" ref="G1670:AC1670" si="429">G1667+G1668</f>
        <v>0</v>
      </c>
      <c r="H1670" s="49">
        <f t="shared" si="429"/>
        <v>6</v>
      </c>
      <c r="I1670" s="49">
        <f t="shared" si="429"/>
        <v>10</v>
      </c>
      <c r="J1670" s="49">
        <f t="shared" si="429"/>
        <v>19</v>
      </c>
      <c r="K1670" s="49">
        <f t="shared" si="429"/>
        <v>10</v>
      </c>
      <c r="L1670" s="49">
        <f t="shared" si="429"/>
        <v>20</v>
      </c>
      <c r="M1670" s="49">
        <f t="shared" si="429"/>
        <v>18</v>
      </c>
      <c r="N1670" s="49">
        <f t="shared" si="429"/>
        <v>17</v>
      </c>
      <c r="O1670" s="49">
        <f t="shared" si="429"/>
        <v>12</v>
      </c>
      <c r="P1670" s="49">
        <f t="shared" si="429"/>
        <v>12</v>
      </c>
      <c r="Q1670" s="49">
        <f t="shared" si="429"/>
        <v>3</v>
      </c>
      <c r="R1670" s="49">
        <f t="shared" si="429"/>
        <v>0</v>
      </c>
      <c r="S1670" s="49">
        <f t="shared" si="429"/>
        <v>0</v>
      </c>
      <c r="T1670" s="49">
        <f t="shared" si="429"/>
        <v>0</v>
      </c>
      <c r="U1670" s="49">
        <f t="shared" si="429"/>
        <v>4</v>
      </c>
      <c r="V1670" s="49">
        <f t="shared" si="429"/>
        <v>1</v>
      </c>
      <c r="W1670" s="49">
        <f t="shared" si="429"/>
        <v>1</v>
      </c>
      <c r="X1670" s="49">
        <f t="shared" si="429"/>
        <v>11</v>
      </c>
      <c r="Y1670" s="49">
        <f t="shared" si="429"/>
        <v>4</v>
      </c>
      <c r="Z1670" s="49">
        <f t="shared" si="429"/>
        <v>15</v>
      </c>
      <c r="AA1670" s="49">
        <f t="shared" si="429"/>
        <v>12</v>
      </c>
      <c r="AB1670" s="49">
        <f t="shared" si="429"/>
        <v>0</v>
      </c>
      <c r="AC1670" s="49">
        <f t="shared" si="429"/>
        <v>0</v>
      </c>
      <c r="AD1670" s="53" t="e">
        <f>#REF!*D1670</f>
        <v>#REF!</v>
      </c>
      <c r="AE1670" s="53" t="e">
        <f>AD1670-#REF!</f>
        <v>#REF!</v>
      </c>
      <c r="AF1670" s="9"/>
      <c r="AG1670" s="33" t="e">
        <f>#REF!-D1670</f>
        <v>#REF!</v>
      </c>
    </row>
    <row r="1671" spans="1:33" s="20" customFormat="1" ht="20.399999999999999" outlineLevel="1" x14ac:dyDescent="0.2">
      <c r="A1671" s="61" t="s">
        <v>1940</v>
      </c>
      <c r="B1671" s="47" t="s">
        <v>2313</v>
      </c>
      <c r="C1671" s="8" t="s">
        <v>47</v>
      </c>
      <c r="D1671" s="25">
        <f t="shared" si="418"/>
        <v>175</v>
      </c>
      <c r="E1671" s="54"/>
      <c r="F1671" s="79"/>
      <c r="G1671" s="49">
        <f t="shared" ref="G1671:AC1671" si="430">G1667+G1668</f>
        <v>0</v>
      </c>
      <c r="H1671" s="49">
        <f t="shared" si="430"/>
        <v>6</v>
      </c>
      <c r="I1671" s="49">
        <f t="shared" si="430"/>
        <v>10</v>
      </c>
      <c r="J1671" s="49">
        <f t="shared" si="430"/>
        <v>19</v>
      </c>
      <c r="K1671" s="49">
        <f t="shared" si="430"/>
        <v>10</v>
      </c>
      <c r="L1671" s="49">
        <f t="shared" si="430"/>
        <v>20</v>
      </c>
      <c r="M1671" s="49">
        <f t="shared" si="430"/>
        <v>18</v>
      </c>
      <c r="N1671" s="49">
        <f t="shared" si="430"/>
        <v>17</v>
      </c>
      <c r="O1671" s="49">
        <f t="shared" si="430"/>
        <v>12</v>
      </c>
      <c r="P1671" s="49">
        <f t="shared" si="430"/>
        <v>12</v>
      </c>
      <c r="Q1671" s="49">
        <f t="shared" si="430"/>
        <v>3</v>
      </c>
      <c r="R1671" s="49">
        <f t="shared" si="430"/>
        <v>0</v>
      </c>
      <c r="S1671" s="49">
        <f t="shared" si="430"/>
        <v>0</v>
      </c>
      <c r="T1671" s="49">
        <f t="shared" si="430"/>
        <v>0</v>
      </c>
      <c r="U1671" s="49">
        <f t="shared" si="430"/>
        <v>4</v>
      </c>
      <c r="V1671" s="49">
        <f t="shared" si="430"/>
        <v>1</v>
      </c>
      <c r="W1671" s="49">
        <f t="shared" si="430"/>
        <v>1</v>
      </c>
      <c r="X1671" s="49">
        <f t="shared" si="430"/>
        <v>11</v>
      </c>
      <c r="Y1671" s="49">
        <f t="shared" si="430"/>
        <v>4</v>
      </c>
      <c r="Z1671" s="49">
        <f t="shared" si="430"/>
        <v>15</v>
      </c>
      <c r="AA1671" s="49">
        <f t="shared" si="430"/>
        <v>12</v>
      </c>
      <c r="AB1671" s="49">
        <f t="shared" si="430"/>
        <v>0</v>
      </c>
      <c r="AC1671" s="49">
        <f t="shared" si="430"/>
        <v>0</v>
      </c>
      <c r="AD1671" s="53" t="e">
        <f>#REF!*D1671</f>
        <v>#REF!</v>
      </c>
      <c r="AE1671" s="53" t="e">
        <f>AD1671-#REF!</f>
        <v>#REF!</v>
      </c>
      <c r="AF1671" s="9"/>
      <c r="AG1671" s="33" t="e">
        <f>#REF!-D1671</f>
        <v>#REF!</v>
      </c>
    </row>
    <row r="1672" spans="1:33" s="20" customFormat="1" ht="20.399999999999999" outlineLevel="1" x14ac:dyDescent="0.2">
      <c r="A1672" s="61" t="s">
        <v>1941</v>
      </c>
      <c r="B1672" s="47" t="s">
        <v>2326</v>
      </c>
      <c r="C1672" s="8" t="s">
        <v>47</v>
      </c>
      <c r="D1672" s="25">
        <f t="shared" si="418"/>
        <v>16</v>
      </c>
      <c r="E1672" s="54"/>
      <c r="F1672" s="79"/>
      <c r="G1672" s="49">
        <f t="shared" ref="G1672:AC1672" si="431">G1668</f>
        <v>0</v>
      </c>
      <c r="H1672" s="49">
        <f t="shared" si="431"/>
        <v>0</v>
      </c>
      <c r="I1672" s="49">
        <f t="shared" si="431"/>
        <v>3</v>
      </c>
      <c r="J1672" s="49">
        <f t="shared" si="431"/>
        <v>0</v>
      </c>
      <c r="K1672" s="49">
        <f t="shared" si="431"/>
        <v>1</v>
      </c>
      <c r="L1672" s="49">
        <f t="shared" si="431"/>
        <v>4</v>
      </c>
      <c r="M1672" s="49">
        <f t="shared" si="431"/>
        <v>2</v>
      </c>
      <c r="N1672" s="49">
        <f t="shared" si="431"/>
        <v>2</v>
      </c>
      <c r="O1672" s="49">
        <f t="shared" si="431"/>
        <v>2</v>
      </c>
      <c r="P1672" s="49">
        <f t="shared" si="431"/>
        <v>2</v>
      </c>
      <c r="Q1672" s="49">
        <f t="shared" si="431"/>
        <v>0</v>
      </c>
      <c r="R1672" s="49">
        <f t="shared" si="431"/>
        <v>0</v>
      </c>
      <c r="S1672" s="49">
        <f t="shared" si="431"/>
        <v>0</v>
      </c>
      <c r="T1672" s="49">
        <f t="shared" si="431"/>
        <v>0</v>
      </c>
      <c r="U1672" s="49">
        <f t="shared" si="431"/>
        <v>0</v>
      </c>
      <c r="V1672" s="49">
        <f t="shared" si="431"/>
        <v>0</v>
      </c>
      <c r="W1672" s="49">
        <f t="shared" si="431"/>
        <v>0</v>
      </c>
      <c r="X1672" s="49">
        <f t="shared" si="431"/>
        <v>0</v>
      </c>
      <c r="Y1672" s="49">
        <f t="shared" si="431"/>
        <v>0</v>
      </c>
      <c r="Z1672" s="49">
        <f t="shared" si="431"/>
        <v>0</v>
      </c>
      <c r="AA1672" s="49">
        <f t="shared" si="431"/>
        <v>0</v>
      </c>
      <c r="AB1672" s="49">
        <f t="shared" si="431"/>
        <v>0</v>
      </c>
      <c r="AC1672" s="49">
        <f t="shared" si="431"/>
        <v>0</v>
      </c>
      <c r="AD1672" s="53" t="e">
        <f>#REF!*D1672</f>
        <v>#REF!</v>
      </c>
      <c r="AE1672" s="53" t="e">
        <f>AD1672-#REF!</f>
        <v>#REF!</v>
      </c>
      <c r="AF1672" s="9"/>
      <c r="AG1672" s="33" t="e">
        <f>#REF!-D1672</f>
        <v>#REF!</v>
      </c>
    </row>
    <row r="1673" spans="1:33" s="20" customFormat="1" ht="24.75" customHeight="1" outlineLevel="1" x14ac:dyDescent="0.2">
      <c r="A1673" s="61" t="s">
        <v>1942</v>
      </c>
      <c r="B1673" s="47" t="s">
        <v>1904</v>
      </c>
      <c r="C1673" s="8" t="s">
        <v>47</v>
      </c>
      <c r="D1673" s="25">
        <f t="shared" si="418"/>
        <v>175</v>
      </c>
      <c r="E1673" s="54"/>
      <c r="F1673" s="79"/>
      <c r="G1673" s="49">
        <f t="shared" ref="G1673:AC1673" si="432">G1667+G1668</f>
        <v>0</v>
      </c>
      <c r="H1673" s="49">
        <f t="shared" si="432"/>
        <v>6</v>
      </c>
      <c r="I1673" s="49">
        <f t="shared" si="432"/>
        <v>10</v>
      </c>
      <c r="J1673" s="49">
        <f t="shared" si="432"/>
        <v>19</v>
      </c>
      <c r="K1673" s="49">
        <f t="shared" si="432"/>
        <v>10</v>
      </c>
      <c r="L1673" s="49">
        <f t="shared" si="432"/>
        <v>20</v>
      </c>
      <c r="M1673" s="49">
        <f t="shared" si="432"/>
        <v>18</v>
      </c>
      <c r="N1673" s="49">
        <f t="shared" si="432"/>
        <v>17</v>
      </c>
      <c r="O1673" s="49">
        <f t="shared" si="432"/>
        <v>12</v>
      </c>
      <c r="P1673" s="49">
        <f t="shared" si="432"/>
        <v>12</v>
      </c>
      <c r="Q1673" s="49">
        <f t="shared" si="432"/>
        <v>3</v>
      </c>
      <c r="R1673" s="49">
        <f t="shared" si="432"/>
        <v>0</v>
      </c>
      <c r="S1673" s="49">
        <f t="shared" si="432"/>
        <v>0</v>
      </c>
      <c r="T1673" s="49">
        <f t="shared" si="432"/>
        <v>0</v>
      </c>
      <c r="U1673" s="49">
        <f t="shared" si="432"/>
        <v>4</v>
      </c>
      <c r="V1673" s="49">
        <f t="shared" si="432"/>
        <v>1</v>
      </c>
      <c r="W1673" s="49">
        <f t="shared" si="432"/>
        <v>1</v>
      </c>
      <c r="X1673" s="49">
        <f t="shared" si="432"/>
        <v>11</v>
      </c>
      <c r="Y1673" s="49">
        <f t="shared" si="432"/>
        <v>4</v>
      </c>
      <c r="Z1673" s="49">
        <f t="shared" si="432"/>
        <v>15</v>
      </c>
      <c r="AA1673" s="49">
        <f t="shared" si="432"/>
        <v>12</v>
      </c>
      <c r="AB1673" s="49">
        <f t="shared" si="432"/>
        <v>0</v>
      </c>
      <c r="AC1673" s="49">
        <f t="shared" si="432"/>
        <v>0</v>
      </c>
      <c r="AD1673" s="53" t="e">
        <f>#REF!*D1673</f>
        <v>#REF!</v>
      </c>
      <c r="AE1673" s="53" t="e">
        <f>AD1673-#REF!</f>
        <v>#REF!</v>
      </c>
      <c r="AF1673" s="9"/>
      <c r="AG1673" s="33" t="e">
        <f>#REF!-D1673</f>
        <v>#REF!</v>
      </c>
    </row>
    <row r="1674" spans="1:33" s="17" customFormat="1" ht="20.399999999999999" outlineLevel="1" x14ac:dyDescent="0.2">
      <c r="A1674" s="61" t="s">
        <v>1943</v>
      </c>
      <c r="B1674" s="47" t="s">
        <v>1896</v>
      </c>
      <c r="C1674" s="8" t="s">
        <v>47</v>
      </c>
      <c r="D1674" s="25">
        <f t="shared" si="418"/>
        <v>159</v>
      </c>
      <c r="E1674" s="54"/>
      <c r="F1674" s="79"/>
      <c r="G1674" s="49">
        <f t="shared" ref="G1674:AC1674" si="433">G1667</f>
        <v>0</v>
      </c>
      <c r="H1674" s="49">
        <f t="shared" si="433"/>
        <v>6</v>
      </c>
      <c r="I1674" s="49">
        <f t="shared" si="433"/>
        <v>7</v>
      </c>
      <c r="J1674" s="49">
        <f t="shared" si="433"/>
        <v>19</v>
      </c>
      <c r="K1674" s="49">
        <f t="shared" si="433"/>
        <v>9</v>
      </c>
      <c r="L1674" s="49">
        <f t="shared" si="433"/>
        <v>16</v>
      </c>
      <c r="M1674" s="49">
        <f t="shared" si="433"/>
        <v>16</v>
      </c>
      <c r="N1674" s="49">
        <f t="shared" si="433"/>
        <v>15</v>
      </c>
      <c r="O1674" s="49">
        <f t="shared" si="433"/>
        <v>10</v>
      </c>
      <c r="P1674" s="49">
        <f t="shared" si="433"/>
        <v>10</v>
      </c>
      <c r="Q1674" s="49">
        <f t="shared" si="433"/>
        <v>3</v>
      </c>
      <c r="R1674" s="49">
        <f t="shared" si="433"/>
        <v>0</v>
      </c>
      <c r="S1674" s="49">
        <f t="shared" si="433"/>
        <v>0</v>
      </c>
      <c r="T1674" s="49">
        <f t="shared" si="433"/>
        <v>0</v>
      </c>
      <c r="U1674" s="49">
        <f t="shared" si="433"/>
        <v>4</v>
      </c>
      <c r="V1674" s="49">
        <f t="shared" si="433"/>
        <v>1</v>
      </c>
      <c r="W1674" s="49">
        <f t="shared" si="433"/>
        <v>1</v>
      </c>
      <c r="X1674" s="49">
        <f t="shared" si="433"/>
        <v>11</v>
      </c>
      <c r="Y1674" s="49">
        <f t="shared" si="433"/>
        <v>4</v>
      </c>
      <c r="Z1674" s="49">
        <f t="shared" si="433"/>
        <v>15</v>
      </c>
      <c r="AA1674" s="49">
        <f t="shared" si="433"/>
        <v>12</v>
      </c>
      <c r="AB1674" s="49">
        <f t="shared" si="433"/>
        <v>0</v>
      </c>
      <c r="AC1674" s="49">
        <f t="shared" si="433"/>
        <v>0</v>
      </c>
      <c r="AD1674" s="53" t="e">
        <f>#REF!*D1674</f>
        <v>#REF!</v>
      </c>
      <c r="AE1674" s="53" t="e">
        <f>AD1674-#REF!</f>
        <v>#REF!</v>
      </c>
      <c r="AF1674" s="8"/>
      <c r="AG1674" s="33" t="e">
        <f>#REF!-D1674</f>
        <v>#REF!</v>
      </c>
    </row>
    <row r="1675" spans="1:33" s="20" customFormat="1" ht="20.399999999999999" outlineLevel="1" x14ac:dyDescent="0.2">
      <c r="A1675" s="61" t="s">
        <v>1944</v>
      </c>
      <c r="B1675" s="47" t="s">
        <v>2325</v>
      </c>
      <c r="C1675" s="8" t="s">
        <v>47</v>
      </c>
      <c r="D1675" s="25">
        <f t="shared" si="418"/>
        <v>16</v>
      </c>
      <c r="E1675" s="54"/>
      <c r="F1675" s="79"/>
      <c r="G1675" s="49">
        <f t="shared" ref="G1675:AC1675" si="434">G1668</f>
        <v>0</v>
      </c>
      <c r="H1675" s="49">
        <f t="shared" si="434"/>
        <v>0</v>
      </c>
      <c r="I1675" s="49">
        <f t="shared" si="434"/>
        <v>3</v>
      </c>
      <c r="J1675" s="49">
        <f t="shared" si="434"/>
        <v>0</v>
      </c>
      <c r="K1675" s="49">
        <f t="shared" si="434"/>
        <v>1</v>
      </c>
      <c r="L1675" s="49">
        <f t="shared" si="434"/>
        <v>4</v>
      </c>
      <c r="M1675" s="49">
        <f t="shared" si="434"/>
        <v>2</v>
      </c>
      <c r="N1675" s="49">
        <f t="shared" si="434"/>
        <v>2</v>
      </c>
      <c r="O1675" s="49">
        <f t="shared" si="434"/>
        <v>2</v>
      </c>
      <c r="P1675" s="49">
        <f t="shared" si="434"/>
        <v>2</v>
      </c>
      <c r="Q1675" s="49">
        <f t="shared" si="434"/>
        <v>0</v>
      </c>
      <c r="R1675" s="49">
        <f t="shared" si="434"/>
        <v>0</v>
      </c>
      <c r="S1675" s="49">
        <f t="shared" si="434"/>
        <v>0</v>
      </c>
      <c r="T1675" s="49">
        <f t="shared" si="434"/>
        <v>0</v>
      </c>
      <c r="U1675" s="49">
        <f t="shared" si="434"/>
        <v>0</v>
      </c>
      <c r="V1675" s="49">
        <f t="shared" si="434"/>
        <v>0</v>
      </c>
      <c r="W1675" s="49">
        <f t="shared" si="434"/>
        <v>0</v>
      </c>
      <c r="X1675" s="49">
        <f t="shared" si="434"/>
        <v>0</v>
      </c>
      <c r="Y1675" s="49">
        <f t="shared" si="434"/>
        <v>0</v>
      </c>
      <c r="Z1675" s="49">
        <f t="shared" si="434"/>
        <v>0</v>
      </c>
      <c r="AA1675" s="49">
        <f t="shared" si="434"/>
        <v>0</v>
      </c>
      <c r="AB1675" s="49">
        <f t="shared" si="434"/>
        <v>0</v>
      </c>
      <c r="AC1675" s="49">
        <f t="shared" si="434"/>
        <v>0</v>
      </c>
      <c r="AD1675" s="53" t="e">
        <f>#REF!*D1675</f>
        <v>#REF!</v>
      </c>
      <c r="AE1675" s="53" t="e">
        <f>AD1675-#REF!</f>
        <v>#REF!</v>
      </c>
      <c r="AF1675" s="9"/>
      <c r="AG1675" s="33" t="e">
        <f>#REF!-D1675</f>
        <v>#REF!</v>
      </c>
    </row>
    <row r="1676" spans="1:33" s="20" customFormat="1" ht="20.399999999999999" outlineLevel="1" x14ac:dyDescent="0.2">
      <c r="A1676" s="61" t="s">
        <v>1945</v>
      </c>
      <c r="B1676" s="47" t="s">
        <v>2315</v>
      </c>
      <c r="C1676" s="8" t="s">
        <v>47</v>
      </c>
      <c r="D1676" s="25">
        <f t="shared" si="418"/>
        <v>175</v>
      </c>
      <c r="E1676" s="54"/>
      <c r="F1676" s="79"/>
      <c r="G1676" s="49">
        <f t="shared" ref="G1676:AC1676" si="435">G1667+G1668</f>
        <v>0</v>
      </c>
      <c r="H1676" s="49">
        <f t="shared" si="435"/>
        <v>6</v>
      </c>
      <c r="I1676" s="49">
        <f t="shared" si="435"/>
        <v>10</v>
      </c>
      <c r="J1676" s="49">
        <f t="shared" si="435"/>
        <v>19</v>
      </c>
      <c r="K1676" s="49">
        <f t="shared" si="435"/>
        <v>10</v>
      </c>
      <c r="L1676" s="49">
        <f t="shared" si="435"/>
        <v>20</v>
      </c>
      <c r="M1676" s="49">
        <f t="shared" si="435"/>
        <v>18</v>
      </c>
      <c r="N1676" s="49">
        <f t="shared" si="435"/>
        <v>17</v>
      </c>
      <c r="O1676" s="49">
        <f t="shared" si="435"/>
        <v>12</v>
      </c>
      <c r="P1676" s="49">
        <f t="shared" si="435"/>
        <v>12</v>
      </c>
      <c r="Q1676" s="49">
        <f t="shared" si="435"/>
        <v>3</v>
      </c>
      <c r="R1676" s="49">
        <f t="shared" si="435"/>
        <v>0</v>
      </c>
      <c r="S1676" s="49">
        <f t="shared" si="435"/>
        <v>0</v>
      </c>
      <c r="T1676" s="49">
        <f t="shared" si="435"/>
        <v>0</v>
      </c>
      <c r="U1676" s="49">
        <f t="shared" si="435"/>
        <v>4</v>
      </c>
      <c r="V1676" s="49">
        <f t="shared" si="435"/>
        <v>1</v>
      </c>
      <c r="W1676" s="49">
        <f t="shared" si="435"/>
        <v>1</v>
      </c>
      <c r="X1676" s="49">
        <f t="shared" si="435"/>
        <v>11</v>
      </c>
      <c r="Y1676" s="49">
        <f t="shared" si="435"/>
        <v>4</v>
      </c>
      <c r="Z1676" s="49">
        <f t="shared" si="435"/>
        <v>15</v>
      </c>
      <c r="AA1676" s="49">
        <f t="shared" si="435"/>
        <v>12</v>
      </c>
      <c r="AB1676" s="49">
        <f t="shared" si="435"/>
        <v>0</v>
      </c>
      <c r="AC1676" s="49">
        <f t="shared" si="435"/>
        <v>0</v>
      </c>
      <c r="AD1676" s="53" t="e">
        <f>#REF!*D1676</f>
        <v>#REF!</v>
      </c>
      <c r="AE1676" s="53" t="e">
        <f>AD1676-#REF!</f>
        <v>#REF!</v>
      </c>
      <c r="AF1676" s="9"/>
      <c r="AG1676" s="33" t="e">
        <f>#REF!-D1676</f>
        <v>#REF!</v>
      </c>
    </row>
    <row r="1677" spans="1:33" s="20" customFormat="1" ht="11.4" outlineLevel="1" x14ac:dyDescent="0.2">
      <c r="A1677" s="61" t="s">
        <v>1946</v>
      </c>
      <c r="B1677" s="47" t="s">
        <v>2322</v>
      </c>
      <c r="C1677" s="8" t="s">
        <v>47</v>
      </c>
      <c r="D1677" s="25">
        <f t="shared" si="418"/>
        <v>175</v>
      </c>
      <c r="E1677" s="54"/>
      <c r="F1677" s="79"/>
      <c r="G1677" s="49">
        <f t="shared" ref="G1677:AC1677" si="436">G1676</f>
        <v>0</v>
      </c>
      <c r="H1677" s="49">
        <f t="shared" si="436"/>
        <v>6</v>
      </c>
      <c r="I1677" s="49">
        <f t="shared" si="436"/>
        <v>10</v>
      </c>
      <c r="J1677" s="49">
        <f t="shared" si="436"/>
        <v>19</v>
      </c>
      <c r="K1677" s="49">
        <f t="shared" si="436"/>
        <v>10</v>
      </c>
      <c r="L1677" s="49">
        <f t="shared" si="436"/>
        <v>20</v>
      </c>
      <c r="M1677" s="49">
        <f t="shared" si="436"/>
        <v>18</v>
      </c>
      <c r="N1677" s="49">
        <f t="shared" si="436"/>
        <v>17</v>
      </c>
      <c r="O1677" s="49">
        <f t="shared" si="436"/>
        <v>12</v>
      </c>
      <c r="P1677" s="49">
        <f t="shared" si="436"/>
        <v>12</v>
      </c>
      <c r="Q1677" s="49">
        <f t="shared" si="436"/>
        <v>3</v>
      </c>
      <c r="R1677" s="49">
        <f t="shared" si="436"/>
        <v>0</v>
      </c>
      <c r="S1677" s="49">
        <f t="shared" si="436"/>
        <v>0</v>
      </c>
      <c r="T1677" s="49">
        <f t="shared" si="436"/>
        <v>0</v>
      </c>
      <c r="U1677" s="49">
        <f t="shared" si="436"/>
        <v>4</v>
      </c>
      <c r="V1677" s="49">
        <f t="shared" si="436"/>
        <v>1</v>
      </c>
      <c r="W1677" s="49">
        <f t="shared" si="436"/>
        <v>1</v>
      </c>
      <c r="X1677" s="49">
        <f t="shared" si="436"/>
        <v>11</v>
      </c>
      <c r="Y1677" s="49">
        <f t="shared" si="436"/>
        <v>4</v>
      </c>
      <c r="Z1677" s="49">
        <f t="shared" si="436"/>
        <v>15</v>
      </c>
      <c r="AA1677" s="49">
        <f t="shared" si="436"/>
        <v>12</v>
      </c>
      <c r="AB1677" s="49">
        <f t="shared" si="436"/>
        <v>0</v>
      </c>
      <c r="AC1677" s="49">
        <f t="shared" si="436"/>
        <v>0</v>
      </c>
      <c r="AD1677" s="53" t="e">
        <f>#REF!*D1677</f>
        <v>#REF!</v>
      </c>
      <c r="AE1677" s="53" t="e">
        <f>AD1677-#REF!</f>
        <v>#REF!</v>
      </c>
      <c r="AF1677" s="9"/>
      <c r="AG1677" s="33" t="e">
        <f>#REF!-D1677</f>
        <v>#REF!</v>
      </c>
    </row>
    <row r="1678" spans="1:33" s="20" customFormat="1" ht="30.6" outlineLevel="1" x14ac:dyDescent="0.2">
      <c r="A1678" s="61" t="s">
        <v>1947</v>
      </c>
      <c r="B1678" s="47" t="s">
        <v>2317</v>
      </c>
      <c r="C1678" s="8" t="s">
        <v>47</v>
      </c>
      <c r="D1678" s="25">
        <f t="shared" si="418"/>
        <v>175</v>
      </c>
      <c r="E1678" s="54"/>
      <c r="F1678" s="79"/>
      <c r="G1678" s="49">
        <f t="shared" ref="G1678:AC1678" si="437">G1668+G1667</f>
        <v>0</v>
      </c>
      <c r="H1678" s="49">
        <f t="shared" si="437"/>
        <v>6</v>
      </c>
      <c r="I1678" s="49">
        <f t="shared" si="437"/>
        <v>10</v>
      </c>
      <c r="J1678" s="49">
        <f t="shared" si="437"/>
        <v>19</v>
      </c>
      <c r="K1678" s="49">
        <f t="shared" si="437"/>
        <v>10</v>
      </c>
      <c r="L1678" s="49">
        <f t="shared" si="437"/>
        <v>20</v>
      </c>
      <c r="M1678" s="49">
        <f t="shared" si="437"/>
        <v>18</v>
      </c>
      <c r="N1678" s="49">
        <f t="shared" si="437"/>
        <v>17</v>
      </c>
      <c r="O1678" s="49">
        <f t="shared" si="437"/>
        <v>12</v>
      </c>
      <c r="P1678" s="49">
        <f t="shared" si="437"/>
        <v>12</v>
      </c>
      <c r="Q1678" s="49">
        <f t="shared" si="437"/>
        <v>3</v>
      </c>
      <c r="R1678" s="49">
        <f t="shared" si="437"/>
        <v>0</v>
      </c>
      <c r="S1678" s="49">
        <f t="shared" si="437"/>
        <v>0</v>
      </c>
      <c r="T1678" s="49">
        <f t="shared" si="437"/>
        <v>0</v>
      </c>
      <c r="U1678" s="49">
        <f t="shared" si="437"/>
        <v>4</v>
      </c>
      <c r="V1678" s="49">
        <f t="shared" si="437"/>
        <v>1</v>
      </c>
      <c r="W1678" s="49">
        <f t="shared" si="437"/>
        <v>1</v>
      </c>
      <c r="X1678" s="49">
        <f t="shared" si="437"/>
        <v>11</v>
      </c>
      <c r="Y1678" s="49">
        <f t="shared" si="437"/>
        <v>4</v>
      </c>
      <c r="Z1678" s="49">
        <f t="shared" si="437"/>
        <v>15</v>
      </c>
      <c r="AA1678" s="49">
        <f t="shared" si="437"/>
        <v>12</v>
      </c>
      <c r="AB1678" s="49">
        <f t="shared" si="437"/>
        <v>0</v>
      </c>
      <c r="AC1678" s="49">
        <f t="shared" si="437"/>
        <v>0</v>
      </c>
      <c r="AD1678" s="53" t="e">
        <f>#REF!*D1678</f>
        <v>#REF!</v>
      </c>
      <c r="AE1678" s="53" t="e">
        <f>AD1678-#REF!</f>
        <v>#REF!</v>
      </c>
      <c r="AF1678" s="9"/>
      <c r="AG1678" s="33" t="e">
        <f>#REF!-D1678</f>
        <v>#REF!</v>
      </c>
    </row>
    <row r="1679" spans="1:33" s="20" customFormat="1" ht="30.6" outlineLevel="1" x14ac:dyDescent="0.2">
      <c r="A1679" s="61" t="s">
        <v>1948</v>
      </c>
      <c r="B1679" s="47" t="s">
        <v>2318</v>
      </c>
      <c r="C1679" s="8" t="s">
        <v>47</v>
      </c>
      <c r="D1679" s="25">
        <f t="shared" si="418"/>
        <v>175</v>
      </c>
      <c r="E1679" s="54"/>
      <c r="F1679" s="79"/>
      <c r="G1679" s="49">
        <f t="shared" ref="G1679:AC1679" si="438">G1678</f>
        <v>0</v>
      </c>
      <c r="H1679" s="49">
        <f t="shared" si="438"/>
        <v>6</v>
      </c>
      <c r="I1679" s="49">
        <f t="shared" si="438"/>
        <v>10</v>
      </c>
      <c r="J1679" s="49">
        <f t="shared" si="438"/>
        <v>19</v>
      </c>
      <c r="K1679" s="49">
        <f t="shared" si="438"/>
        <v>10</v>
      </c>
      <c r="L1679" s="49">
        <f t="shared" si="438"/>
        <v>20</v>
      </c>
      <c r="M1679" s="49">
        <f t="shared" si="438"/>
        <v>18</v>
      </c>
      <c r="N1679" s="49">
        <f t="shared" si="438"/>
        <v>17</v>
      </c>
      <c r="O1679" s="49">
        <f t="shared" si="438"/>
        <v>12</v>
      </c>
      <c r="P1679" s="49">
        <f t="shared" si="438"/>
        <v>12</v>
      </c>
      <c r="Q1679" s="49">
        <f t="shared" si="438"/>
        <v>3</v>
      </c>
      <c r="R1679" s="49">
        <f t="shared" si="438"/>
        <v>0</v>
      </c>
      <c r="S1679" s="49">
        <f t="shared" si="438"/>
        <v>0</v>
      </c>
      <c r="T1679" s="49">
        <f t="shared" si="438"/>
        <v>0</v>
      </c>
      <c r="U1679" s="49">
        <f t="shared" si="438"/>
        <v>4</v>
      </c>
      <c r="V1679" s="49">
        <f t="shared" si="438"/>
        <v>1</v>
      </c>
      <c r="W1679" s="49">
        <f t="shared" si="438"/>
        <v>1</v>
      </c>
      <c r="X1679" s="49">
        <f t="shared" si="438"/>
        <v>11</v>
      </c>
      <c r="Y1679" s="49">
        <f t="shared" si="438"/>
        <v>4</v>
      </c>
      <c r="Z1679" s="49">
        <f t="shared" si="438"/>
        <v>15</v>
      </c>
      <c r="AA1679" s="49">
        <f t="shared" si="438"/>
        <v>12</v>
      </c>
      <c r="AB1679" s="49">
        <f t="shared" si="438"/>
        <v>0</v>
      </c>
      <c r="AC1679" s="49">
        <f t="shared" si="438"/>
        <v>0</v>
      </c>
      <c r="AD1679" s="53" t="e">
        <f>#REF!*D1679</f>
        <v>#REF!</v>
      </c>
      <c r="AE1679" s="53" t="e">
        <f>AD1679-#REF!</f>
        <v>#REF!</v>
      </c>
      <c r="AF1679" s="9"/>
      <c r="AG1679" s="33" t="e">
        <f>#REF!-D1679</f>
        <v>#REF!</v>
      </c>
    </row>
    <row r="1680" spans="1:33" s="19" customFormat="1" ht="31.8" outlineLevel="1" x14ac:dyDescent="0.25">
      <c r="A1680" s="61" t="s">
        <v>1949</v>
      </c>
      <c r="B1680" s="47" t="s">
        <v>2316</v>
      </c>
      <c r="C1680" s="9" t="s">
        <v>47</v>
      </c>
      <c r="D1680" s="25">
        <f t="shared" si="418"/>
        <v>124</v>
      </c>
      <c r="E1680" s="54"/>
      <c r="F1680" s="79"/>
      <c r="G1680" s="9">
        <v>0</v>
      </c>
      <c r="H1680" s="9">
        <v>2</v>
      </c>
      <c r="I1680" s="9">
        <v>2</v>
      </c>
      <c r="J1680" s="9">
        <v>8</v>
      </c>
      <c r="K1680" s="9">
        <v>0</v>
      </c>
      <c r="L1680" s="9">
        <v>19</v>
      </c>
      <c r="M1680" s="9">
        <v>17</v>
      </c>
      <c r="N1680" s="9">
        <v>17</v>
      </c>
      <c r="O1680" s="9">
        <v>18</v>
      </c>
      <c r="P1680" s="9">
        <v>14</v>
      </c>
      <c r="Q1680" s="9">
        <v>8</v>
      </c>
      <c r="R1680" s="9">
        <v>0</v>
      </c>
      <c r="S1680" s="9">
        <v>0</v>
      </c>
      <c r="T1680" s="9">
        <v>0</v>
      </c>
      <c r="U1680" s="9">
        <v>0</v>
      </c>
      <c r="V1680" s="9">
        <v>2</v>
      </c>
      <c r="W1680" s="9">
        <v>2</v>
      </c>
      <c r="X1680" s="9">
        <v>10</v>
      </c>
      <c r="Y1680" s="9">
        <v>3</v>
      </c>
      <c r="Z1680" s="9">
        <v>2</v>
      </c>
      <c r="AA1680" s="9">
        <v>0</v>
      </c>
      <c r="AB1680" s="9">
        <v>0</v>
      </c>
      <c r="AC1680" s="9">
        <v>0</v>
      </c>
      <c r="AD1680" s="53" t="e">
        <f>#REF!*D1680</f>
        <v>#REF!</v>
      </c>
      <c r="AE1680" s="53" t="e">
        <f>AD1680-#REF!</f>
        <v>#REF!</v>
      </c>
      <c r="AF1680" s="8"/>
      <c r="AG1680" s="33" t="e">
        <f>#REF!-D1680</f>
        <v>#REF!</v>
      </c>
    </row>
    <row r="1681" spans="1:33" s="20" customFormat="1" ht="20.399999999999999" outlineLevel="1" x14ac:dyDescent="0.2">
      <c r="A1681" s="61" t="s">
        <v>1950</v>
      </c>
      <c r="B1681" s="47" t="s">
        <v>1897</v>
      </c>
      <c r="C1681" s="8" t="s">
        <v>47</v>
      </c>
      <c r="D1681" s="25">
        <f t="shared" si="418"/>
        <v>419</v>
      </c>
      <c r="E1681" s="54"/>
      <c r="F1681" s="79"/>
      <c r="G1681" s="49">
        <f t="shared" ref="G1681:AC1681" si="439">G1682</f>
        <v>0</v>
      </c>
      <c r="H1681" s="49">
        <f t="shared" si="439"/>
        <v>14</v>
      </c>
      <c r="I1681" s="49">
        <f t="shared" si="439"/>
        <v>20</v>
      </c>
      <c r="J1681" s="49">
        <f t="shared" si="439"/>
        <v>38</v>
      </c>
      <c r="K1681" s="49">
        <f t="shared" si="439"/>
        <v>26</v>
      </c>
      <c r="L1681" s="49">
        <f t="shared" si="439"/>
        <v>48</v>
      </c>
      <c r="M1681" s="49">
        <f t="shared" si="439"/>
        <v>41</v>
      </c>
      <c r="N1681" s="49">
        <f t="shared" si="439"/>
        <v>41</v>
      </c>
      <c r="O1681" s="49">
        <f t="shared" si="439"/>
        <v>36</v>
      </c>
      <c r="P1681" s="49">
        <f t="shared" si="439"/>
        <v>41</v>
      </c>
      <c r="Q1681" s="49">
        <f t="shared" si="439"/>
        <v>4</v>
      </c>
      <c r="R1681" s="49">
        <f t="shared" si="439"/>
        <v>0</v>
      </c>
      <c r="S1681" s="49">
        <f t="shared" si="439"/>
        <v>0</v>
      </c>
      <c r="T1681" s="49">
        <f t="shared" si="439"/>
        <v>0</v>
      </c>
      <c r="U1681" s="49">
        <f t="shared" si="439"/>
        <v>16</v>
      </c>
      <c r="V1681" s="49">
        <f t="shared" si="439"/>
        <v>10</v>
      </c>
      <c r="W1681" s="49">
        <f t="shared" si="439"/>
        <v>5</v>
      </c>
      <c r="X1681" s="49">
        <f t="shared" si="439"/>
        <v>29</v>
      </c>
      <c r="Y1681" s="49">
        <f t="shared" si="439"/>
        <v>14</v>
      </c>
      <c r="Z1681" s="49">
        <f t="shared" si="439"/>
        <v>17</v>
      </c>
      <c r="AA1681" s="49">
        <f t="shared" si="439"/>
        <v>17</v>
      </c>
      <c r="AB1681" s="49">
        <f t="shared" si="439"/>
        <v>2</v>
      </c>
      <c r="AC1681" s="49">
        <f t="shared" si="439"/>
        <v>0</v>
      </c>
      <c r="AD1681" s="53" t="e">
        <f>#REF!*D1681</f>
        <v>#REF!</v>
      </c>
      <c r="AE1681" s="53" t="e">
        <f>AD1681-#REF!</f>
        <v>#REF!</v>
      </c>
      <c r="AF1681" s="9"/>
      <c r="AG1681" s="33" t="e">
        <f>#REF!-D1681</f>
        <v>#REF!</v>
      </c>
    </row>
    <row r="1682" spans="1:33" s="20" customFormat="1" ht="20.399999999999999" outlineLevel="1" x14ac:dyDescent="0.2">
      <c r="A1682" s="61" t="s">
        <v>1951</v>
      </c>
      <c r="B1682" s="47" t="s">
        <v>2330</v>
      </c>
      <c r="C1682" s="9" t="s">
        <v>47</v>
      </c>
      <c r="D1682" s="25">
        <f t="shared" si="418"/>
        <v>419</v>
      </c>
      <c r="E1682" s="54"/>
      <c r="F1682" s="79"/>
      <c r="G1682" s="9">
        <v>0</v>
      </c>
      <c r="H1682" s="9">
        <f>22-8</f>
        <v>14</v>
      </c>
      <c r="I1682" s="9">
        <v>20</v>
      </c>
      <c r="J1682" s="9">
        <f>45-7</f>
        <v>38</v>
      </c>
      <c r="K1682" s="9">
        <f>37+9-20</f>
        <v>26</v>
      </c>
      <c r="L1682" s="9">
        <f>61-13</f>
        <v>48</v>
      </c>
      <c r="M1682" s="9">
        <v>41</v>
      </c>
      <c r="N1682" s="9">
        <v>41</v>
      </c>
      <c r="O1682" s="9">
        <v>36</v>
      </c>
      <c r="P1682" s="9">
        <v>41</v>
      </c>
      <c r="Q1682" s="9">
        <v>4</v>
      </c>
      <c r="R1682" s="9">
        <v>0</v>
      </c>
      <c r="S1682" s="9">
        <v>0</v>
      </c>
      <c r="T1682" s="9">
        <v>0</v>
      </c>
      <c r="U1682" s="9">
        <f>4+12</f>
        <v>16</v>
      </c>
      <c r="V1682" s="9">
        <f>1+9</f>
        <v>10</v>
      </c>
      <c r="W1682" s="9">
        <f>1+4</f>
        <v>5</v>
      </c>
      <c r="X1682" s="9">
        <f>11+18</f>
        <v>29</v>
      </c>
      <c r="Y1682" s="9">
        <v>14</v>
      </c>
      <c r="Z1682" s="9">
        <f>2+15</f>
        <v>17</v>
      </c>
      <c r="AA1682" s="9">
        <f>5+12</f>
        <v>17</v>
      </c>
      <c r="AB1682" s="9">
        <v>2</v>
      </c>
      <c r="AC1682" s="9">
        <v>0</v>
      </c>
      <c r="AD1682" s="53" t="e">
        <f>#REF!*D1682</f>
        <v>#REF!</v>
      </c>
      <c r="AE1682" s="53" t="e">
        <f>AD1682-#REF!</f>
        <v>#REF!</v>
      </c>
      <c r="AF1682" s="9"/>
      <c r="AG1682" s="33" t="e">
        <f>#REF!-D1682</f>
        <v>#REF!</v>
      </c>
    </row>
    <row r="1683" spans="1:33" s="17" customFormat="1" ht="20.399999999999999" outlineLevel="1" x14ac:dyDescent="0.2">
      <c r="A1683" s="61" t="s">
        <v>1952</v>
      </c>
      <c r="B1683" s="47" t="s">
        <v>2328</v>
      </c>
      <c r="C1683" s="9" t="s">
        <v>47</v>
      </c>
      <c r="D1683" s="25">
        <f t="shared" si="418"/>
        <v>64</v>
      </c>
      <c r="E1683" s="54"/>
      <c r="F1683" s="79"/>
      <c r="G1683" s="9">
        <v>0</v>
      </c>
      <c r="H1683" s="9">
        <f>25-5</f>
        <v>20</v>
      </c>
      <c r="I1683" s="9">
        <v>2</v>
      </c>
      <c r="J1683" s="9">
        <v>2</v>
      </c>
      <c r="K1683" s="9">
        <v>2</v>
      </c>
      <c r="L1683" s="9">
        <v>0</v>
      </c>
      <c r="M1683" s="9">
        <v>0</v>
      </c>
      <c r="N1683" s="9">
        <v>0</v>
      </c>
      <c r="O1683" s="9">
        <v>8</v>
      </c>
      <c r="P1683" s="9">
        <v>7</v>
      </c>
      <c r="Q1683" s="9">
        <v>7</v>
      </c>
      <c r="R1683" s="9">
        <v>0</v>
      </c>
      <c r="S1683" s="9">
        <v>0</v>
      </c>
      <c r="T1683" s="9">
        <v>0</v>
      </c>
      <c r="U1683" s="9">
        <v>8</v>
      </c>
      <c r="V1683" s="9">
        <v>4</v>
      </c>
      <c r="W1683" s="9">
        <v>4</v>
      </c>
      <c r="X1683" s="9">
        <v>0</v>
      </c>
      <c r="Y1683" s="9">
        <v>0</v>
      </c>
      <c r="Z1683" s="9">
        <v>0</v>
      </c>
      <c r="AA1683" s="9">
        <v>0</v>
      </c>
      <c r="AB1683" s="9">
        <v>0</v>
      </c>
      <c r="AC1683" s="9">
        <v>0</v>
      </c>
      <c r="AD1683" s="53" t="e">
        <f>#REF!*D1683</f>
        <v>#REF!</v>
      </c>
      <c r="AE1683" s="53" t="e">
        <f>AD1683-#REF!</f>
        <v>#REF!</v>
      </c>
      <c r="AF1683" s="8"/>
      <c r="AG1683" s="33" t="e">
        <f>#REF!-D1683</f>
        <v>#REF!</v>
      </c>
    </row>
    <row r="1684" spans="1:33" s="17" customFormat="1" ht="20.399999999999999" outlineLevel="1" x14ac:dyDescent="0.2">
      <c r="A1684" s="61" t="s">
        <v>1953</v>
      </c>
      <c r="B1684" s="47" t="s">
        <v>2807</v>
      </c>
      <c r="C1684" s="9" t="s">
        <v>47</v>
      </c>
      <c r="D1684" s="25">
        <f t="shared" si="418"/>
        <v>14</v>
      </c>
      <c r="E1684" s="54"/>
      <c r="F1684" s="79"/>
      <c r="G1684" s="9">
        <v>0</v>
      </c>
      <c r="H1684" s="9">
        <v>0</v>
      </c>
      <c r="I1684" s="9">
        <v>0</v>
      </c>
      <c r="J1684" s="9">
        <v>0</v>
      </c>
      <c r="K1684" s="9">
        <v>0</v>
      </c>
      <c r="L1684" s="9">
        <v>0</v>
      </c>
      <c r="M1684" s="9">
        <v>0</v>
      </c>
      <c r="N1684" s="9">
        <v>0</v>
      </c>
      <c r="O1684" s="9">
        <v>0</v>
      </c>
      <c r="P1684" s="9">
        <v>0</v>
      </c>
      <c r="Q1684" s="9">
        <v>0</v>
      </c>
      <c r="R1684" s="9">
        <v>0</v>
      </c>
      <c r="S1684" s="9">
        <v>0</v>
      </c>
      <c r="T1684" s="9">
        <v>0</v>
      </c>
      <c r="U1684" s="9">
        <v>0</v>
      </c>
      <c r="V1684" s="9">
        <v>14</v>
      </c>
      <c r="W1684" s="9">
        <v>0</v>
      </c>
      <c r="X1684" s="9">
        <v>0</v>
      </c>
      <c r="Y1684" s="9">
        <v>0</v>
      </c>
      <c r="Z1684" s="9">
        <v>0</v>
      </c>
      <c r="AA1684" s="9">
        <v>0</v>
      </c>
      <c r="AB1684" s="9">
        <v>0</v>
      </c>
      <c r="AC1684" s="9">
        <v>0</v>
      </c>
      <c r="AD1684" s="53" t="e">
        <f>#REF!*D1684</f>
        <v>#REF!</v>
      </c>
      <c r="AE1684" s="53" t="e">
        <f>AD1684-#REF!</f>
        <v>#REF!</v>
      </c>
      <c r="AF1684" s="8"/>
      <c r="AG1684" s="33" t="e">
        <f>#REF!-D1684</f>
        <v>#REF!</v>
      </c>
    </row>
    <row r="1685" spans="1:33" s="17" customFormat="1" ht="20.399999999999999" outlineLevel="1" x14ac:dyDescent="0.2">
      <c r="A1685" s="61" t="s">
        <v>1954</v>
      </c>
      <c r="B1685" s="47" t="s">
        <v>2809</v>
      </c>
      <c r="C1685" s="9" t="s">
        <v>47</v>
      </c>
      <c r="D1685" s="25">
        <f t="shared" si="418"/>
        <v>30</v>
      </c>
      <c r="E1685" s="54"/>
      <c r="F1685" s="79"/>
      <c r="G1685" s="9">
        <v>0</v>
      </c>
      <c r="H1685" s="9">
        <v>0</v>
      </c>
      <c r="I1685" s="9">
        <v>0</v>
      </c>
      <c r="J1685" s="9">
        <v>0</v>
      </c>
      <c r="K1685" s="9">
        <v>0</v>
      </c>
      <c r="L1685" s="9">
        <v>0</v>
      </c>
      <c r="M1685" s="9">
        <v>0</v>
      </c>
      <c r="N1685" s="9">
        <v>0</v>
      </c>
      <c r="O1685" s="9">
        <v>0</v>
      </c>
      <c r="P1685" s="9">
        <v>0</v>
      </c>
      <c r="Q1685" s="9">
        <v>0</v>
      </c>
      <c r="R1685" s="9">
        <v>0</v>
      </c>
      <c r="S1685" s="9">
        <v>0</v>
      </c>
      <c r="T1685" s="9">
        <v>0</v>
      </c>
      <c r="U1685" s="9">
        <v>0</v>
      </c>
      <c r="V1685" s="9">
        <v>0</v>
      </c>
      <c r="W1685" s="9">
        <v>0</v>
      </c>
      <c r="X1685" s="9">
        <v>0</v>
      </c>
      <c r="Y1685" s="9">
        <v>8</v>
      </c>
      <c r="Z1685" s="9">
        <v>12</v>
      </c>
      <c r="AA1685" s="9">
        <v>10</v>
      </c>
      <c r="AB1685" s="9">
        <v>0</v>
      </c>
      <c r="AC1685" s="9">
        <v>0</v>
      </c>
      <c r="AD1685" s="53" t="e">
        <f>#REF!*D1685</f>
        <v>#REF!</v>
      </c>
      <c r="AE1685" s="53" t="e">
        <f>AD1685-#REF!</f>
        <v>#REF!</v>
      </c>
      <c r="AF1685" s="8"/>
      <c r="AG1685" s="33" t="e">
        <f>#REF!-D1685</f>
        <v>#REF!</v>
      </c>
    </row>
    <row r="1686" spans="1:33" s="17" customFormat="1" ht="20.399999999999999" outlineLevel="1" x14ac:dyDescent="0.2">
      <c r="A1686" s="61" t="s">
        <v>1955</v>
      </c>
      <c r="B1686" s="47" t="s">
        <v>2329</v>
      </c>
      <c r="C1686" s="9" t="s">
        <v>47</v>
      </c>
      <c r="D1686" s="25">
        <f t="shared" si="418"/>
        <v>2</v>
      </c>
      <c r="E1686" s="54"/>
      <c r="F1686" s="79"/>
      <c r="G1686" s="9">
        <v>0</v>
      </c>
      <c r="H1686" s="9">
        <v>2</v>
      </c>
      <c r="I1686" s="9">
        <v>0</v>
      </c>
      <c r="J1686" s="9">
        <v>0</v>
      </c>
      <c r="K1686" s="9">
        <v>0</v>
      </c>
      <c r="L1686" s="9">
        <v>0</v>
      </c>
      <c r="M1686" s="9">
        <v>0</v>
      </c>
      <c r="N1686" s="9">
        <v>0</v>
      </c>
      <c r="O1686" s="9">
        <v>0</v>
      </c>
      <c r="P1686" s="9">
        <v>0</v>
      </c>
      <c r="Q1686" s="9">
        <v>0</v>
      </c>
      <c r="R1686" s="9">
        <v>0</v>
      </c>
      <c r="S1686" s="9">
        <v>0</v>
      </c>
      <c r="T1686" s="9">
        <v>0</v>
      </c>
      <c r="U1686" s="9">
        <v>0</v>
      </c>
      <c r="V1686" s="9">
        <v>0</v>
      </c>
      <c r="W1686" s="9">
        <v>0</v>
      </c>
      <c r="X1686" s="9">
        <v>0</v>
      </c>
      <c r="Y1686" s="9">
        <v>0</v>
      </c>
      <c r="Z1686" s="9">
        <v>0</v>
      </c>
      <c r="AA1686" s="9">
        <v>0</v>
      </c>
      <c r="AB1686" s="9">
        <v>0</v>
      </c>
      <c r="AC1686" s="9">
        <v>0</v>
      </c>
      <c r="AD1686" s="53" t="e">
        <f>#REF!*D1686</f>
        <v>#REF!</v>
      </c>
      <c r="AE1686" s="53" t="e">
        <f>AD1686-#REF!</f>
        <v>#REF!</v>
      </c>
      <c r="AF1686" s="8"/>
      <c r="AG1686" s="33" t="e">
        <f>#REF!-D1686</f>
        <v>#REF!</v>
      </c>
    </row>
    <row r="1687" spans="1:33" s="20" customFormat="1" ht="20.399999999999999" outlineLevel="1" x14ac:dyDescent="0.2">
      <c r="A1687" s="61" t="s">
        <v>1956</v>
      </c>
      <c r="B1687" s="47" t="s">
        <v>2331</v>
      </c>
      <c r="C1687" s="9" t="s">
        <v>47</v>
      </c>
      <c r="D1687" s="25">
        <f t="shared" si="418"/>
        <v>2</v>
      </c>
      <c r="E1687" s="54"/>
      <c r="F1687" s="79"/>
      <c r="G1687" s="9">
        <v>0</v>
      </c>
      <c r="H1687" s="9">
        <v>0</v>
      </c>
      <c r="I1687" s="9">
        <v>0</v>
      </c>
      <c r="J1687" s="9">
        <v>0</v>
      </c>
      <c r="K1687" s="9">
        <v>0</v>
      </c>
      <c r="L1687" s="9">
        <v>0</v>
      </c>
      <c r="M1687" s="9">
        <v>0</v>
      </c>
      <c r="N1687" s="9">
        <v>0</v>
      </c>
      <c r="O1687" s="9">
        <v>0</v>
      </c>
      <c r="P1687" s="9">
        <v>0</v>
      </c>
      <c r="Q1687" s="9">
        <v>0</v>
      </c>
      <c r="R1687" s="9">
        <v>0</v>
      </c>
      <c r="S1687" s="9">
        <v>0</v>
      </c>
      <c r="T1687" s="9">
        <v>0</v>
      </c>
      <c r="U1687" s="9">
        <v>0</v>
      </c>
      <c r="V1687" s="9">
        <v>0</v>
      </c>
      <c r="W1687" s="9">
        <v>2</v>
      </c>
      <c r="X1687" s="9">
        <v>0</v>
      </c>
      <c r="Y1687" s="9">
        <v>0</v>
      </c>
      <c r="Z1687" s="9">
        <v>0</v>
      </c>
      <c r="AA1687" s="9">
        <v>0</v>
      </c>
      <c r="AB1687" s="9">
        <v>0</v>
      </c>
      <c r="AC1687" s="9">
        <v>0</v>
      </c>
      <c r="AD1687" s="53" t="e">
        <f>#REF!*D1687</f>
        <v>#REF!</v>
      </c>
      <c r="AE1687" s="53" t="e">
        <f>AD1687-#REF!</f>
        <v>#REF!</v>
      </c>
      <c r="AF1687" s="9"/>
      <c r="AG1687" s="33" t="e">
        <f>#REF!-D1687</f>
        <v>#REF!</v>
      </c>
    </row>
    <row r="1688" spans="1:33" s="20" customFormat="1" ht="20.399999999999999" outlineLevel="1" x14ac:dyDescent="0.2">
      <c r="A1688" s="61" t="s">
        <v>1957</v>
      </c>
      <c r="B1688" s="47" t="s">
        <v>2332</v>
      </c>
      <c r="C1688" s="9" t="s">
        <v>47</v>
      </c>
      <c r="D1688" s="25">
        <f t="shared" ref="D1688:D1714" si="440">SUM(G1688:AC1688)</f>
        <v>2</v>
      </c>
      <c r="E1688" s="54"/>
      <c r="F1688" s="79"/>
      <c r="G1688" s="49">
        <f t="shared" ref="G1688:AC1688" si="441">G1687</f>
        <v>0</v>
      </c>
      <c r="H1688" s="49">
        <f t="shared" si="441"/>
        <v>0</v>
      </c>
      <c r="I1688" s="49">
        <f t="shared" si="441"/>
        <v>0</v>
      </c>
      <c r="J1688" s="49">
        <f t="shared" si="441"/>
        <v>0</v>
      </c>
      <c r="K1688" s="49">
        <f t="shared" si="441"/>
        <v>0</v>
      </c>
      <c r="L1688" s="49">
        <f t="shared" si="441"/>
        <v>0</v>
      </c>
      <c r="M1688" s="49">
        <f t="shared" si="441"/>
        <v>0</v>
      </c>
      <c r="N1688" s="49">
        <f t="shared" si="441"/>
        <v>0</v>
      </c>
      <c r="O1688" s="49">
        <f t="shared" si="441"/>
        <v>0</v>
      </c>
      <c r="P1688" s="49">
        <f t="shared" si="441"/>
        <v>0</v>
      </c>
      <c r="Q1688" s="49">
        <f t="shared" si="441"/>
        <v>0</v>
      </c>
      <c r="R1688" s="49">
        <f t="shared" si="441"/>
        <v>0</v>
      </c>
      <c r="S1688" s="49">
        <f t="shared" si="441"/>
        <v>0</v>
      </c>
      <c r="T1688" s="49">
        <f t="shared" si="441"/>
        <v>0</v>
      </c>
      <c r="U1688" s="49">
        <f t="shared" si="441"/>
        <v>0</v>
      </c>
      <c r="V1688" s="49">
        <f t="shared" si="441"/>
        <v>0</v>
      </c>
      <c r="W1688" s="49">
        <f t="shared" si="441"/>
        <v>2</v>
      </c>
      <c r="X1688" s="49">
        <f t="shared" si="441"/>
        <v>0</v>
      </c>
      <c r="Y1688" s="49">
        <f t="shared" si="441"/>
        <v>0</v>
      </c>
      <c r="Z1688" s="49">
        <f t="shared" si="441"/>
        <v>0</v>
      </c>
      <c r="AA1688" s="49">
        <f t="shared" si="441"/>
        <v>0</v>
      </c>
      <c r="AB1688" s="49">
        <f t="shared" si="441"/>
        <v>0</v>
      </c>
      <c r="AC1688" s="49">
        <f t="shared" si="441"/>
        <v>0</v>
      </c>
      <c r="AD1688" s="53" t="e">
        <f>#REF!*D1688</f>
        <v>#REF!</v>
      </c>
      <c r="AE1688" s="53" t="e">
        <f>AD1688-#REF!</f>
        <v>#REF!</v>
      </c>
      <c r="AF1688" s="9"/>
      <c r="AG1688" s="33" t="e">
        <f>#REF!-D1688</f>
        <v>#REF!</v>
      </c>
    </row>
    <row r="1689" spans="1:33" s="20" customFormat="1" ht="20.399999999999999" outlineLevel="1" x14ac:dyDescent="0.2">
      <c r="A1689" s="61" t="s">
        <v>1958</v>
      </c>
      <c r="B1689" s="47" t="s">
        <v>2343</v>
      </c>
      <c r="C1689" s="9" t="s">
        <v>47</v>
      </c>
      <c r="D1689" s="25">
        <f t="shared" si="440"/>
        <v>36</v>
      </c>
      <c r="E1689" s="54"/>
      <c r="F1689" s="79"/>
      <c r="G1689" s="9">
        <v>0</v>
      </c>
      <c r="H1689" s="9">
        <f>10-6</f>
        <v>4</v>
      </c>
      <c r="I1689" s="9">
        <v>2</v>
      </c>
      <c r="J1689" s="9">
        <v>1</v>
      </c>
      <c r="K1689" s="9">
        <v>2</v>
      </c>
      <c r="L1689" s="9">
        <v>1</v>
      </c>
      <c r="M1689" s="9">
        <v>1</v>
      </c>
      <c r="N1689" s="9">
        <v>1</v>
      </c>
      <c r="O1689" s="9">
        <v>1</v>
      </c>
      <c r="P1689" s="9">
        <v>1</v>
      </c>
      <c r="Q1689" s="9">
        <v>1</v>
      </c>
      <c r="R1689" s="9">
        <v>0</v>
      </c>
      <c r="S1689" s="9">
        <v>0</v>
      </c>
      <c r="T1689" s="9">
        <v>0</v>
      </c>
      <c r="U1689" s="9">
        <v>11</v>
      </c>
      <c r="V1689" s="9">
        <v>3</v>
      </c>
      <c r="W1689" s="9">
        <v>1</v>
      </c>
      <c r="X1689" s="9">
        <v>1</v>
      </c>
      <c r="Y1689" s="9">
        <v>2</v>
      </c>
      <c r="Z1689" s="9">
        <v>1</v>
      </c>
      <c r="AA1689" s="9">
        <v>1</v>
      </c>
      <c r="AB1689" s="9">
        <v>1</v>
      </c>
      <c r="AC1689" s="9">
        <v>0</v>
      </c>
      <c r="AD1689" s="53" t="e">
        <f>#REF!*D1689</f>
        <v>#REF!</v>
      </c>
      <c r="AE1689" s="53" t="e">
        <f>AD1689-#REF!</f>
        <v>#REF!</v>
      </c>
      <c r="AF1689" s="9"/>
      <c r="AG1689" s="33" t="e">
        <f>#REF!-D1689</f>
        <v>#REF!</v>
      </c>
    </row>
    <row r="1690" spans="1:33" s="20" customFormat="1" ht="11.4" outlineLevel="1" x14ac:dyDescent="0.2">
      <c r="A1690" s="61" t="s">
        <v>1959</v>
      </c>
      <c r="B1690" s="11" t="s">
        <v>2333</v>
      </c>
      <c r="C1690" s="9" t="s">
        <v>47</v>
      </c>
      <c r="D1690" s="25">
        <f t="shared" si="440"/>
        <v>455</v>
      </c>
      <c r="E1690" s="54"/>
      <c r="F1690" s="79"/>
      <c r="G1690" s="49">
        <f t="shared" ref="G1690:AC1690" si="442">G1682+G1689</f>
        <v>0</v>
      </c>
      <c r="H1690" s="49">
        <f t="shared" si="442"/>
        <v>18</v>
      </c>
      <c r="I1690" s="49">
        <f t="shared" si="442"/>
        <v>22</v>
      </c>
      <c r="J1690" s="49">
        <f t="shared" si="442"/>
        <v>39</v>
      </c>
      <c r="K1690" s="49">
        <f t="shared" si="442"/>
        <v>28</v>
      </c>
      <c r="L1690" s="49">
        <f t="shared" si="442"/>
        <v>49</v>
      </c>
      <c r="M1690" s="49">
        <f t="shared" si="442"/>
        <v>42</v>
      </c>
      <c r="N1690" s="49">
        <f t="shared" si="442"/>
        <v>42</v>
      </c>
      <c r="O1690" s="49">
        <f t="shared" si="442"/>
        <v>37</v>
      </c>
      <c r="P1690" s="49">
        <f t="shared" si="442"/>
        <v>42</v>
      </c>
      <c r="Q1690" s="49">
        <f t="shared" si="442"/>
        <v>5</v>
      </c>
      <c r="R1690" s="49">
        <f t="shared" si="442"/>
        <v>0</v>
      </c>
      <c r="S1690" s="49">
        <f t="shared" si="442"/>
        <v>0</v>
      </c>
      <c r="T1690" s="49">
        <f t="shared" si="442"/>
        <v>0</v>
      </c>
      <c r="U1690" s="49">
        <f t="shared" si="442"/>
        <v>27</v>
      </c>
      <c r="V1690" s="49">
        <f t="shared" si="442"/>
        <v>13</v>
      </c>
      <c r="W1690" s="49">
        <f t="shared" si="442"/>
        <v>6</v>
      </c>
      <c r="X1690" s="49">
        <f t="shared" si="442"/>
        <v>30</v>
      </c>
      <c r="Y1690" s="49">
        <f t="shared" si="442"/>
        <v>16</v>
      </c>
      <c r="Z1690" s="49">
        <f t="shared" si="442"/>
        <v>18</v>
      </c>
      <c r="AA1690" s="49">
        <f t="shared" si="442"/>
        <v>18</v>
      </c>
      <c r="AB1690" s="49">
        <f t="shared" si="442"/>
        <v>3</v>
      </c>
      <c r="AC1690" s="49">
        <f t="shared" si="442"/>
        <v>0</v>
      </c>
      <c r="AD1690" s="53" t="e">
        <f>#REF!*D1690</f>
        <v>#REF!</v>
      </c>
      <c r="AE1690" s="53" t="e">
        <f>AD1690-#REF!</f>
        <v>#REF!</v>
      </c>
      <c r="AF1690" s="9"/>
      <c r="AG1690" s="33" t="e">
        <f>#REF!-D1690</f>
        <v>#REF!</v>
      </c>
    </row>
    <row r="1691" spans="1:33" s="20" customFormat="1" ht="11.4" outlineLevel="1" x14ac:dyDescent="0.2">
      <c r="A1691" s="61" t="s">
        <v>1960</v>
      </c>
      <c r="B1691" s="11" t="s">
        <v>2334</v>
      </c>
      <c r="C1691" s="9" t="s">
        <v>47</v>
      </c>
      <c r="D1691" s="25">
        <f t="shared" si="440"/>
        <v>491</v>
      </c>
      <c r="E1691" s="54"/>
      <c r="F1691" s="79"/>
      <c r="G1691" s="49">
        <f t="shared" ref="G1691:AC1691" si="443">G1690+G1689</f>
        <v>0</v>
      </c>
      <c r="H1691" s="49">
        <f t="shared" si="443"/>
        <v>22</v>
      </c>
      <c r="I1691" s="49">
        <f t="shared" si="443"/>
        <v>24</v>
      </c>
      <c r="J1691" s="49">
        <f t="shared" si="443"/>
        <v>40</v>
      </c>
      <c r="K1691" s="49">
        <f t="shared" si="443"/>
        <v>30</v>
      </c>
      <c r="L1691" s="49">
        <f t="shared" si="443"/>
        <v>50</v>
      </c>
      <c r="M1691" s="49">
        <f t="shared" si="443"/>
        <v>43</v>
      </c>
      <c r="N1691" s="49">
        <f t="shared" si="443"/>
        <v>43</v>
      </c>
      <c r="O1691" s="49">
        <f t="shared" si="443"/>
        <v>38</v>
      </c>
      <c r="P1691" s="49">
        <f t="shared" si="443"/>
        <v>43</v>
      </c>
      <c r="Q1691" s="49">
        <f t="shared" si="443"/>
        <v>6</v>
      </c>
      <c r="R1691" s="49">
        <f t="shared" si="443"/>
        <v>0</v>
      </c>
      <c r="S1691" s="49">
        <f t="shared" si="443"/>
        <v>0</v>
      </c>
      <c r="T1691" s="49">
        <f t="shared" si="443"/>
        <v>0</v>
      </c>
      <c r="U1691" s="49">
        <f t="shared" si="443"/>
        <v>38</v>
      </c>
      <c r="V1691" s="49">
        <f t="shared" si="443"/>
        <v>16</v>
      </c>
      <c r="W1691" s="49">
        <f t="shared" si="443"/>
        <v>7</v>
      </c>
      <c r="X1691" s="49">
        <f t="shared" si="443"/>
        <v>31</v>
      </c>
      <c r="Y1691" s="49">
        <f t="shared" si="443"/>
        <v>18</v>
      </c>
      <c r="Z1691" s="49">
        <f t="shared" si="443"/>
        <v>19</v>
      </c>
      <c r="AA1691" s="49">
        <f t="shared" si="443"/>
        <v>19</v>
      </c>
      <c r="AB1691" s="49">
        <f t="shared" si="443"/>
        <v>4</v>
      </c>
      <c r="AC1691" s="49">
        <f t="shared" si="443"/>
        <v>0</v>
      </c>
      <c r="AD1691" s="53" t="e">
        <f>#REF!*D1691</f>
        <v>#REF!</v>
      </c>
      <c r="AE1691" s="53" t="e">
        <f>AD1691-#REF!</f>
        <v>#REF!</v>
      </c>
      <c r="AF1691" s="9"/>
      <c r="AG1691" s="33" t="e">
        <f>#REF!-D1691</f>
        <v>#REF!</v>
      </c>
    </row>
    <row r="1692" spans="1:33" s="20" customFormat="1" ht="20.399999999999999" outlineLevel="1" x14ac:dyDescent="0.2">
      <c r="A1692" s="61" t="s">
        <v>1961</v>
      </c>
      <c r="B1692" s="47" t="s">
        <v>2335</v>
      </c>
      <c r="C1692" s="8" t="s">
        <v>47</v>
      </c>
      <c r="D1692" s="25">
        <f t="shared" si="440"/>
        <v>42</v>
      </c>
      <c r="E1692" s="54"/>
      <c r="F1692" s="79"/>
      <c r="G1692" s="49">
        <f>G1686+G1684+G1682</f>
        <v>0</v>
      </c>
      <c r="H1692" s="49">
        <v>0</v>
      </c>
      <c r="I1692" s="49">
        <v>0</v>
      </c>
      <c r="J1692" s="49">
        <v>0</v>
      </c>
      <c r="K1692" s="49">
        <v>0</v>
      </c>
      <c r="L1692" s="49">
        <v>0</v>
      </c>
      <c r="M1692" s="49">
        <v>0</v>
      </c>
      <c r="N1692" s="49">
        <v>0</v>
      </c>
      <c r="O1692" s="49">
        <v>0</v>
      </c>
      <c r="P1692" s="49">
        <v>38</v>
      </c>
      <c r="Q1692" s="49">
        <f>Q1686+Q1684+Q1682</f>
        <v>4</v>
      </c>
      <c r="R1692" s="49">
        <f>R1686+R1684+R1682</f>
        <v>0</v>
      </c>
      <c r="S1692" s="49">
        <f>S1686+S1684+S1682</f>
        <v>0</v>
      </c>
      <c r="T1692" s="49">
        <f>T1686+T1684+T1682</f>
        <v>0</v>
      </c>
      <c r="U1692" s="49">
        <v>0</v>
      </c>
      <c r="V1692" s="49">
        <v>0</v>
      </c>
      <c r="W1692" s="49">
        <v>0</v>
      </c>
      <c r="X1692" s="49">
        <v>0</v>
      </c>
      <c r="Y1692" s="49">
        <v>0</v>
      </c>
      <c r="Z1692" s="9">
        <v>0</v>
      </c>
      <c r="AA1692" s="9">
        <v>0</v>
      </c>
      <c r="AB1692" s="9">
        <v>0</v>
      </c>
      <c r="AC1692" s="9">
        <v>0</v>
      </c>
      <c r="AD1692" s="53" t="e">
        <f>#REF!*D1692</f>
        <v>#REF!</v>
      </c>
      <c r="AE1692" s="53" t="e">
        <f>AD1692-#REF!</f>
        <v>#REF!</v>
      </c>
      <c r="AF1692" s="9"/>
      <c r="AG1692" s="33" t="e">
        <f>#REF!-D1692</f>
        <v>#REF!</v>
      </c>
    </row>
    <row r="1693" spans="1:33" s="20" customFormat="1" ht="27" customHeight="1" outlineLevel="1" x14ac:dyDescent="0.2">
      <c r="A1693" s="61" t="s">
        <v>1962</v>
      </c>
      <c r="B1693" s="47" t="s">
        <v>2337</v>
      </c>
      <c r="C1693" s="8" t="s">
        <v>47</v>
      </c>
      <c r="D1693" s="25">
        <f t="shared" si="440"/>
        <v>10</v>
      </c>
      <c r="E1693" s="54"/>
      <c r="F1693" s="79"/>
      <c r="G1693" s="49">
        <v>0</v>
      </c>
      <c r="H1693" s="49">
        <v>0</v>
      </c>
      <c r="I1693" s="49">
        <v>0</v>
      </c>
      <c r="J1693" s="49">
        <v>0</v>
      </c>
      <c r="K1693" s="49">
        <v>0</v>
      </c>
      <c r="L1693" s="49">
        <v>0</v>
      </c>
      <c r="M1693" s="49">
        <v>0</v>
      </c>
      <c r="N1693" s="49">
        <v>0</v>
      </c>
      <c r="O1693" s="49">
        <v>0</v>
      </c>
      <c r="P1693" s="49">
        <v>10</v>
      </c>
      <c r="Q1693" s="49">
        <v>0</v>
      </c>
      <c r="R1693" s="49">
        <v>0</v>
      </c>
      <c r="S1693" s="49">
        <v>0</v>
      </c>
      <c r="T1693" s="49">
        <v>0</v>
      </c>
      <c r="U1693" s="49">
        <v>0</v>
      </c>
      <c r="V1693" s="49">
        <v>0</v>
      </c>
      <c r="W1693" s="49">
        <v>0</v>
      </c>
      <c r="X1693" s="49">
        <v>0</v>
      </c>
      <c r="Y1693" s="49">
        <v>0</v>
      </c>
      <c r="Z1693" s="9">
        <v>0</v>
      </c>
      <c r="AA1693" s="9">
        <v>0</v>
      </c>
      <c r="AB1693" s="9">
        <v>0</v>
      </c>
      <c r="AC1693" s="9">
        <v>0</v>
      </c>
      <c r="AD1693" s="53" t="e">
        <f>#REF!*D1693</f>
        <v>#REF!</v>
      </c>
      <c r="AE1693" s="53" t="e">
        <f>AD1693-#REF!</f>
        <v>#REF!</v>
      </c>
      <c r="AF1693" s="9"/>
      <c r="AG1693" s="33" t="e">
        <f>#REF!-D1693</f>
        <v>#REF!</v>
      </c>
    </row>
    <row r="1694" spans="1:33" s="20" customFormat="1" ht="20.399999999999999" outlineLevel="1" x14ac:dyDescent="0.2">
      <c r="A1694" s="61" t="s">
        <v>1963</v>
      </c>
      <c r="B1694" s="47" t="s">
        <v>2336</v>
      </c>
      <c r="C1694" s="8" t="s">
        <v>47</v>
      </c>
      <c r="D1694" s="25">
        <f t="shared" si="440"/>
        <v>436</v>
      </c>
      <c r="E1694" s="54"/>
      <c r="F1694" s="79"/>
      <c r="G1694" s="49">
        <v>0</v>
      </c>
      <c r="H1694" s="49">
        <f t="shared" ref="H1694:O1694" si="444">H1686+H1684+H1682</f>
        <v>16</v>
      </c>
      <c r="I1694" s="49">
        <f t="shared" si="444"/>
        <v>20</v>
      </c>
      <c r="J1694" s="49">
        <f t="shared" si="444"/>
        <v>38</v>
      </c>
      <c r="K1694" s="49">
        <f t="shared" si="444"/>
        <v>26</v>
      </c>
      <c r="L1694" s="49">
        <f t="shared" si="444"/>
        <v>48</v>
      </c>
      <c r="M1694" s="49">
        <f t="shared" si="444"/>
        <v>41</v>
      </c>
      <c r="N1694" s="49">
        <f t="shared" si="444"/>
        <v>41</v>
      </c>
      <c r="O1694" s="49">
        <f t="shared" si="444"/>
        <v>36</v>
      </c>
      <c r="P1694" s="49">
        <v>0</v>
      </c>
      <c r="Q1694" s="49">
        <v>0</v>
      </c>
      <c r="R1694" s="49">
        <v>0</v>
      </c>
      <c r="S1694" s="49">
        <v>0</v>
      </c>
      <c r="T1694" s="49">
        <v>0</v>
      </c>
      <c r="U1694" s="49">
        <f t="shared" ref="U1694:AC1694" si="445">U1686+U1684+U1682+U1683+U1685</f>
        <v>24</v>
      </c>
      <c r="V1694" s="49">
        <f t="shared" si="445"/>
        <v>28</v>
      </c>
      <c r="W1694" s="49">
        <f t="shared" si="445"/>
        <v>9</v>
      </c>
      <c r="X1694" s="49">
        <f t="shared" si="445"/>
        <v>29</v>
      </c>
      <c r="Y1694" s="49">
        <f t="shared" si="445"/>
        <v>22</v>
      </c>
      <c r="Z1694" s="49">
        <f t="shared" si="445"/>
        <v>29</v>
      </c>
      <c r="AA1694" s="49">
        <f t="shared" si="445"/>
        <v>27</v>
      </c>
      <c r="AB1694" s="49">
        <f t="shared" si="445"/>
        <v>2</v>
      </c>
      <c r="AC1694" s="49">
        <f t="shared" si="445"/>
        <v>0</v>
      </c>
      <c r="AD1694" s="53" t="e">
        <f>#REF!*D1694</f>
        <v>#REF!</v>
      </c>
      <c r="AE1694" s="53" t="e">
        <f>AD1694-#REF!</f>
        <v>#REF!</v>
      </c>
      <c r="AF1694" s="9"/>
      <c r="AG1694" s="33" t="e">
        <f>#REF!-D1694</f>
        <v>#REF!</v>
      </c>
    </row>
    <row r="1695" spans="1:33" s="19" customFormat="1" ht="30.6" outlineLevel="1" x14ac:dyDescent="0.25">
      <c r="A1695" s="61" t="s">
        <v>1964</v>
      </c>
      <c r="B1695" s="47" t="s">
        <v>2338</v>
      </c>
      <c r="C1695" s="8" t="s">
        <v>47</v>
      </c>
      <c r="D1695" s="25">
        <f t="shared" si="440"/>
        <v>18</v>
      </c>
      <c r="E1695" s="54"/>
      <c r="F1695" s="79"/>
      <c r="G1695" s="9">
        <v>0</v>
      </c>
      <c r="H1695" s="9">
        <v>0</v>
      </c>
      <c r="I1695" s="9">
        <v>0</v>
      </c>
      <c r="J1695" s="9">
        <v>2</v>
      </c>
      <c r="K1695" s="9">
        <v>0</v>
      </c>
      <c r="L1695" s="9">
        <v>4</v>
      </c>
      <c r="M1695" s="9">
        <v>0</v>
      </c>
      <c r="N1695" s="9">
        <v>0</v>
      </c>
      <c r="O1695" s="9">
        <v>0</v>
      </c>
      <c r="P1695" s="9">
        <v>2</v>
      </c>
      <c r="Q1695" s="9">
        <v>10</v>
      </c>
      <c r="R1695" s="9">
        <v>0</v>
      </c>
      <c r="S1695" s="9">
        <v>0</v>
      </c>
      <c r="T1695" s="9">
        <v>0</v>
      </c>
      <c r="U1695" s="9">
        <v>0</v>
      </c>
      <c r="V1695" s="9">
        <v>0</v>
      </c>
      <c r="W1695" s="9">
        <v>0</v>
      </c>
      <c r="X1695" s="9">
        <v>0</v>
      </c>
      <c r="Y1695" s="9">
        <v>0</v>
      </c>
      <c r="Z1695" s="9">
        <v>0</v>
      </c>
      <c r="AA1695" s="9">
        <v>0</v>
      </c>
      <c r="AB1695" s="9">
        <v>0</v>
      </c>
      <c r="AC1695" s="9">
        <v>0</v>
      </c>
      <c r="AD1695" s="53" t="e">
        <f>#REF!*D1695</f>
        <v>#REF!</v>
      </c>
      <c r="AE1695" s="53" t="e">
        <f>AD1695-#REF!</f>
        <v>#REF!</v>
      </c>
      <c r="AF1695" s="8"/>
      <c r="AG1695" s="33" t="e">
        <f>#REF!-D1695</f>
        <v>#REF!</v>
      </c>
    </row>
    <row r="1696" spans="1:33" s="17" customFormat="1" ht="20.399999999999999" outlineLevel="1" x14ac:dyDescent="0.2">
      <c r="A1696" s="61" t="s">
        <v>1965</v>
      </c>
      <c r="B1696" s="47" t="s">
        <v>2339</v>
      </c>
      <c r="C1696" s="8" t="s">
        <v>47</v>
      </c>
      <c r="D1696" s="25">
        <f t="shared" si="440"/>
        <v>488</v>
      </c>
      <c r="E1696" s="54"/>
      <c r="F1696" s="79"/>
      <c r="G1696" s="49">
        <f t="shared" ref="G1696:AC1696" si="446">G1692+G1693+G1694</f>
        <v>0</v>
      </c>
      <c r="H1696" s="49">
        <f t="shared" si="446"/>
        <v>16</v>
      </c>
      <c r="I1696" s="49">
        <f t="shared" si="446"/>
        <v>20</v>
      </c>
      <c r="J1696" s="49">
        <f t="shared" si="446"/>
        <v>38</v>
      </c>
      <c r="K1696" s="49">
        <f t="shared" si="446"/>
        <v>26</v>
      </c>
      <c r="L1696" s="49">
        <f t="shared" si="446"/>
        <v>48</v>
      </c>
      <c r="M1696" s="49">
        <f t="shared" si="446"/>
        <v>41</v>
      </c>
      <c r="N1696" s="49">
        <f t="shared" si="446"/>
        <v>41</v>
      </c>
      <c r="O1696" s="49">
        <f t="shared" si="446"/>
        <v>36</v>
      </c>
      <c r="P1696" s="49">
        <f t="shared" si="446"/>
        <v>48</v>
      </c>
      <c r="Q1696" s="49">
        <f t="shared" si="446"/>
        <v>4</v>
      </c>
      <c r="R1696" s="49">
        <f t="shared" si="446"/>
        <v>0</v>
      </c>
      <c r="S1696" s="49">
        <f t="shared" si="446"/>
        <v>0</v>
      </c>
      <c r="T1696" s="49">
        <f t="shared" si="446"/>
        <v>0</v>
      </c>
      <c r="U1696" s="49">
        <f t="shared" si="446"/>
        <v>24</v>
      </c>
      <c r="V1696" s="49">
        <f t="shared" si="446"/>
        <v>28</v>
      </c>
      <c r="W1696" s="49">
        <f t="shared" si="446"/>
        <v>9</v>
      </c>
      <c r="X1696" s="49">
        <f t="shared" si="446"/>
        <v>29</v>
      </c>
      <c r="Y1696" s="49">
        <f t="shared" si="446"/>
        <v>22</v>
      </c>
      <c r="Z1696" s="49">
        <f t="shared" si="446"/>
        <v>29</v>
      </c>
      <c r="AA1696" s="49">
        <f t="shared" si="446"/>
        <v>27</v>
      </c>
      <c r="AB1696" s="49">
        <f t="shared" si="446"/>
        <v>2</v>
      </c>
      <c r="AC1696" s="49">
        <f t="shared" si="446"/>
        <v>0</v>
      </c>
      <c r="AD1696" s="53" t="e">
        <f>#REF!*D1696</f>
        <v>#REF!</v>
      </c>
      <c r="AE1696" s="53" t="e">
        <f>AD1696-#REF!</f>
        <v>#REF!</v>
      </c>
      <c r="AF1696" s="8"/>
      <c r="AG1696" s="33" t="e">
        <f>#REF!-D1696</f>
        <v>#REF!</v>
      </c>
    </row>
    <row r="1697" spans="1:33" s="17" customFormat="1" ht="20.399999999999999" outlineLevel="1" x14ac:dyDescent="0.2">
      <c r="A1697" s="61" t="s">
        <v>1966</v>
      </c>
      <c r="B1697" s="47" t="s">
        <v>2340</v>
      </c>
      <c r="C1697" s="8" t="s">
        <v>47</v>
      </c>
      <c r="D1697" s="25">
        <f t="shared" si="440"/>
        <v>506</v>
      </c>
      <c r="E1697" s="54"/>
      <c r="F1697" s="79"/>
      <c r="G1697" s="49">
        <f t="shared" ref="G1697:AC1697" si="447">G1696+G1695</f>
        <v>0</v>
      </c>
      <c r="H1697" s="49">
        <f t="shared" si="447"/>
        <v>16</v>
      </c>
      <c r="I1697" s="49">
        <f t="shared" si="447"/>
        <v>20</v>
      </c>
      <c r="J1697" s="49">
        <f t="shared" si="447"/>
        <v>40</v>
      </c>
      <c r="K1697" s="49">
        <f t="shared" si="447"/>
        <v>26</v>
      </c>
      <c r="L1697" s="49">
        <f t="shared" si="447"/>
        <v>52</v>
      </c>
      <c r="M1697" s="49">
        <f t="shared" si="447"/>
        <v>41</v>
      </c>
      <c r="N1697" s="49">
        <f t="shared" si="447"/>
        <v>41</v>
      </c>
      <c r="O1697" s="49">
        <f t="shared" si="447"/>
        <v>36</v>
      </c>
      <c r="P1697" s="49">
        <f t="shared" si="447"/>
        <v>50</v>
      </c>
      <c r="Q1697" s="49">
        <f t="shared" si="447"/>
        <v>14</v>
      </c>
      <c r="R1697" s="49">
        <f t="shared" si="447"/>
        <v>0</v>
      </c>
      <c r="S1697" s="49">
        <f t="shared" si="447"/>
        <v>0</v>
      </c>
      <c r="T1697" s="49">
        <f t="shared" si="447"/>
        <v>0</v>
      </c>
      <c r="U1697" s="49">
        <f t="shared" si="447"/>
        <v>24</v>
      </c>
      <c r="V1697" s="49">
        <f t="shared" si="447"/>
        <v>28</v>
      </c>
      <c r="W1697" s="49">
        <f t="shared" si="447"/>
        <v>9</v>
      </c>
      <c r="X1697" s="49">
        <f t="shared" si="447"/>
        <v>29</v>
      </c>
      <c r="Y1697" s="49">
        <f t="shared" si="447"/>
        <v>22</v>
      </c>
      <c r="Z1697" s="49">
        <f t="shared" si="447"/>
        <v>29</v>
      </c>
      <c r="AA1697" s="49">
        <f t="shared" si="447"/>
        <v>27</v>
      </c>
      <c r="AB1697" s="49">
        <f t="shared" si="447"/>
        <v>2</v>
      </c>
      <c r="AC1697" s="49">
        <f t="shared" si="447"/>
        <v>0</v>
      </c>
      <c r="AD1697" s="53" t="e">
        <f>#REF!*D1697</f>
        <v>#REF!</v>
      </c>
      <c r="AE1697" s="53" t="e">
        <f>AD1697-#REF!</f>
        <v>#REF!</v>
      </c>
      <c r="AF1697" s="8"/>
      <c r="AG1697" s="33" t="e">
        <f>#REF!-D1697</f>
        <v>#REF!</v>
      </c>
    </row>
    <row r="1698" spans="1:33" s="20" customFormat="1" ht="20.399999999999999" outlineLevel="1" x14ac:dyDescent="0.2">
      <c r="A1698" s="61" t="s">
        <v>1967</v>
      </c>
      <c r="B1698" s="47" t="s">
        <v>2341</v>
      </c>
      <c r="C1698" s="9" t="s">
        <v>47</v>
      </c>
      <c r="D1698" s="25">
        <f t="shared" si="440"/>
        <v>506</v>
      </c>
      <c r="E1698" s="54"/>
      <c r="F1698" s="79"/>
      <c r="G1698" s="49">
        <f t="shared" ref="G1698:AC1698" si="448">G1697</f>
        <v>0</v>
      </c>
      <c r="H1698" s="49">
        <f t="shared" si="448"/>
        <v>16</v>
      </c>
      <c r="I1698" s="49">
        <f t="shared" si="448"/>
        <v>20</v>
      </c>
      <c r="J1698" s="49">
        <f t="shared" si="448"/>
        <v>40</v>
      </c>
      <c r="K1698" s="49">
        <f t="shared" si="448"/>
        <v>26</v>
      </c>
      <c r="L1698" s="49">
        <f t="shared" si="448"/>
        <v>52</v>
      </c>
      <c r="M1698" s="49">
        <f t="shared" si="448"/>
        <v>41</v>
      </c>
      <c r="N1698" s="49">
        <f t="shared" si="448"/>
        <v>41</v>
      </c>
      <c r="O1698" s="49">
        <f t="shared" si="448"/>
        <v>36</v>
      </c>
      <c r="P1698" s="49">
        <f t="shared" si="448"/>
        <v>50</v>
      </c>
      <c r="Q1698" s="49">
        <f t="shared" si="448"/>
        <v>14</v>
      </c>
      <c r="R1698" s="49">
        <f t="shared" si="448"/>
        <v>0</v>
      </c>
      <c r="S1698" s="49">
        <f t="shared" si="448"/>
        <v>0</v>
      </c>
      <c r="T1698" s="49">
        <f t="shared" si="448"/>
        <v>0</v>
      </c>
      <c r="U1698" s="49">
        <f t="shared" si="448"/>
        <v>24</v>
      </c>
      <c r="V1698" s="49">
        <f t="shared" si="448"/>
        <v>28</v>
      </c>
      <c r="W1698" s="49">
        <f t="shared" si="448"/>
        <v>9</v>
      </c>
      <c r="X1698" s="49">
        <f t="shared" si="448"/>
        <v>29</v>
      </c>
      <c r="Y1698" s="49">
        <f t="shared" si="448"/>
        <v>22</v>
      </c>
      <c r="Z1698" s="49">
        <f t="shared" si="448"/>
        <v>29</v>
      </c>
      <c r="AA1698" s="49">
        <f t="shared" si="448"/>
        <v>27</v>
      </c>
      <c r="AB1698" s="49">
        <f t="shared" si="448"/>
        <v>2</v>
      </c>
      <c r="AC1698" s="49">
        <f t="shared" si="448"/>
        <v>0</v>
      </c>
      <c r="AD1698" s="53" t="e">
        <f>#REF!*D1698</f>
        <v>#REF!</v>
      </c>
      <c r="AE1698" s="53" t="e">
        <f>AD1698-#REF!</f>
        <v>#REF!</v>
      </c>
      <c r="AF1698" s="9"/>
      <c r="AG1698" s="33" t="e">
        <f>#REF!-D1698</f>
        <v>#REF!</v>
      </c>
    </row>
    <row r="1699" spans="1:33" s="20" customFormat="1" ht="20.399999999999999" outlineLevel="1" x14ac:dyDescent="0.2">
      <c r="A1699" s="61" t="s">
        <v>1968</v>
      </c>
      <c r="B1699" s="47" t="s">
        <v>2342</v>
      </c>
      <c r="C1699" s="8" t="s">
        <v>47</v>
      </c>
      <c r="D1699" s="25">
        <f t="shared" si="440"/>
        <v>137</v>
      </c>
      <c r="E1699" s="54"/>
      <c r="F1699" s="79"/>
      <c r="G1699" s="49">
        <f t="shared" ref="G1699:AC1699" si="449">G1700+G1701+G1702</f>
        <v>0</v>
      </c>
      <c r="H1699" s="49">
        <f t="shared" si="449"/>
        <v>30</v>
      </c>
      <c r="I1699" s="49">
        <f t="shared" si="449"/>
        <v>10</v>
      </c>
      <c r="J1699" s="49">
        <f t="shared" si="449"/>
        <v>6</v>
      </c>
      <c r="K1699" s="49">
        <f t="shared" si="449"/>
        <v>8</v>
      </c>
      <c r="L1699" s="49">
        <f t="shared" si="449"/>
        <v>6</v>
      </c>
      <c r="M1699" s="49">
        <f t="shared" si="449"/>
        <v>5</v>
      </c>
      <c r="N1699" s="49">
        <f t="shared" si="449"/>
        <v>5</v>
      </c>
      <c r="O1699" s="49">
        <f t="shared" si="449"/>
        <v>6</v>
      </c>
      <c r="P1699" s="49">
        <f t="shared" si="449"/>
        <v>7</v>
      </c>
      <c r="Q1699" s="49">
        <f t="shared" si="449"/>
        <v>6</v>
      </c>
      <c r="R1699" s="49">
        <f t="shared" si="449"/>
        <v>0</v>
      </c>
      <c r="S1699" s="49">
        <f t="shared" si="449"/>
        <v>0</v>
      </c>
      <c r="T1699" s="49">
        <f t="shared" si="449"/>
        <v>0</v>
      </c>
      <c r="U1699" s="49">
        <f t="shared" si="449"/>
        <v>12</v>
      </c>
      <c r="V1699" s="49">
        <f t="shared" si="449"/>
        <v>12</v>
      </c>
      <c r="W1699" s="49">
        <f t="shared" si="449"/>
        <v>2</v>
      </c>
      <c r="X1699" s="49">
        <f t="shared" si="449"/>
        <v>5</v>
      </c>
      <c r="Y1699" s="49">
        <f t="shared" si="449"/>
        <v>7</v>
      </c>
      <c r="Z1699" s="49">
        <f t="shared" si="449"/>
        <v>3</v>
      </c>
      <c r="AA1699" s="49">
        <f t="shared" si="449"/>
        <v>3</v>
      </c>
      <c r="AB1699" s="49">
        <f t="shared" si="449"/>
        <v>4</v>
      </c>
      <c r="AC1699" s="49">
        <f t="shared" si="449"/>
        <v>0</v>
      </c>
      <c r="AD1699" s="53" t="e">
        <f>#REF!*D1699</f>
        <v>#REF!</v>
      </c>
      <c r="AE1699" s="53" t="e">
        <f>AD1699-#REF!</f>
        <v>#REF!</v>
      </c>
      <c r="AF1699" s="9"/>
      <c r="AG1699" s="33" t="e">
        <f>#REF!-D1699</f>
        <v>#REF!</v>
      </c>
    </row>
    <row r="1700" spans="1:33" s="20" customFormat="1" ht="20.399999999999999" outlineLevel="1" x14ac:dyDescent="0.2">
      <c r="A1700" s="61" t="s">
        <v>1969</v>
      </c>
      <c r="B1700" s="47" t="s">
        <v>2345</v>
      </c>
      <c r="C1700" s="8" t="s">
        <v>47</v>
      </c>
      <c r="D1700" s="25">
        <f t="shared" si="440"/>
        <v>98</v>
      </c>
      <c r="E1700" s="54"/>
      <c r="F1700" s="79"/>
      <c r="G1700" s="9">
        <v>0</v>
      </c>
      <c r="H1700" s="9">
        <f>24-2</f>
        <v>22</v>
      </c>
      <c r="I1700" s="9">
        <v>8</v>
      </c>
      <c r="J1700" s="9">
        <v>6</v>
      </c>
      <c r="K1700" s="9">
        <v>6</v>
      </c>
      <c r="L1700" s="9">
        <v>5</v>
      </c>
      <c r="M1700" s="9">
        <v>4</v>
      </c>
      <c r="N1700" s="9">
        <v>4</v>
      </c>
      <c r="O1700" s="9">
        <v>5</v>
      </c>
      <c r="P1700" s="9">
        <v>6</v>
      </c>
      <c r="Q1700" s="9">
        <v>5</v>
      </c>
      <c r="R1700" s="9">
        <v>0</v>
      </c>
      <c r="S1700" s="9">
        <v>0</v>
      </c>
      <c r="T1700" s="9">
        <v>0</v>
      </c>
      <c r="U1700" s="9">
        <v>1</v>
      </c>
      <c r="V1700" s="9">
        <v>9</v>
      </c>
      <c r="W1700" s="9">
        <v>1</v>
      </c>
      <c r="X1700" s="9">
        <v>4</v>
      </c>
      <c r="Y1700" s="9">
        <v>5</v>
      </c>
      <c r="Z1700" s="9">
        <v>2</v>
      </c>
      <c r="AA1700" s="9">
        <v>2</v>
      </c>
      <c r="AB1700" s="9">
        <v>3</v>
      </c>
      <c r="AC1700" s="9">
        <v>0</v>
      </c>
      <c r="AD1700" s="53" t="e">
        <f>#REF!*D1700</f>
        <v>#REF!</v>
      </c>
      <c r="AE1700" s="53" t="e">
        <f>AD1700-#REF!</f>
        <v>#REF!</v>
      </c>
      <c r="AF1700" s="9"/>
      <c r="AG1700" s="33" t="e">
        <f>#REF!-D1700</f>
        <v>#REF!</v>
      </c>
    </row>
    <row r="1701" spans="1:33" s="20" customFormat="1" ht="20.399999999999999" outlineLevel="1" x14ac:dyDescent="0.2">
      <c r="A1701" s="61" t="s">
        <v>1971</v>
      </c>
      <c r="B1701" s="47" t="s">
        <v>2346</v>
      </c>
      <c r="C1701" s="8" t="s">
        <v>47</v>
      </c>
      <c r="D1701" s="25">
        <f t="shared" si="440"/>
        <v>4</v>
      </c>
      <c r="E1701" s="54"/>
      <c r="F1701" s="79"/>
      <c r="G1701" s="9">
        <v>0</v>
      </c>
      <c r="H1701" s="9">
        <v>4</v>
      </c>
      <c r="I1701" s="9">
        <v>0</v>
      </c>
      <c r="J1701" s="9">
        <v>0</v>
      </c>
      <c r="K1701" s="9">
        <v>0</v>
      </c>
      <c r="L1701" s="9">
        <v>0</v>
      </c>
      <c r="M1701" s="9">
        <v>0</v>
      </c>
      <c r="N1701" s="9">
        <v>0</v>
      </c>
      <c r="O1701" s="9">
        <v>0</v>
      </c>
      <c r="P1701" s="9">
        <v>0</v>
      </c>
      <c r="Q1701" s="9">
        <v>0</v>
      </c>
      <c r="R1701" s="9">
        <v>0</v>
      </c>
      <c r="S1701" s="9">
        <v>0</v>
      </c>
      <c r="T1701" s="9">
        <v>0</v>
      </c>
      <c r="U1701" s="9">
        <v>0</v>
      </c>
      <c r="V1701" s="9">
        <v>0</v>
      </c>
      <c r="W1701" s="9">
        <v>0</v>
      </c>
      <c r="X1701" s="9">
        <v>0</v>
      </c>
      <c r="Y1701" s="101">
        <v>0</v>
      </c>
      <c r="Z1701" s="9">
        <v>0</v>
      </c>
      <c r="AA1701" s="9">
        <v>0</v>
      </c>
      <c r="AB1701" s="9">
        <v>0</v>
      </c>
      <c r="AC1701" s="9">
        <v>0</v>
      </c>
      <c r="AD1701" s="53" t="e">
        <f>#REF!*D1701</f>
        <v>#REF!</v>
      </c>
      <c r="AE1701" s="53" t="e">
        <f>AD1701-#REF!</f>
        <v>#REF!</v>
      </c>
      <c r="AF1701" s="9"/>
      <c r="AG1701" s="33" t="e">
        <f>#REF!-D1701</f>
        <v>#REF!</v>
      </c>
    </row>
    <row r="1702" spans="1:33" s="20" customFormat="1" ht="20.399999999999999" outlineLevel="1" x14ac:dyDescent="0.2">
      <c r="A1702" s="61" t="s">
        <v>1981</v>
      </c>
      <c r="B1702" s="47" t="s">
        <v>2344</v>
      </c>
      <c r="C1702" s="8" t="s">
        <v>47</v>
      </c>
      <c r="D1702" s="25">
        <f t="shared" si="440"/>
        <v>35</v>
      </c>
      <c r="E1702" s="54"/>
      <c r="F1702" s="79"/>
      <c r="G1702" s="9">
        <v>0</v>
      </c>
      <c r="H1702" s="9">
        <f>10-6</f>
        <v>4</v>
      </c>
      <c r="I1702" s="9">
        <v>2</v>
      </c>
      <c r="J1702" s="9">
        <v>0</v>
      </c>
      <c r="K1702" s="9">
        <v>2</v>
      </c>
      <c r="L1702" s="9">
        <v>1</v>
      </c>
      <c r="M1702" s="9">
        <v>1</v>
      </c>
      <c r="N1702" s="9">
        <v>1</v>
      </c>
      <c r="O1702" s="9">
        <v>1</v>
      </c>
      <c r="P1702" s="9">
        <v>1</v>
      </c>
      <c r="Q1702" s="9">
        <v>1</v>
      </c>
      <c r="R1702" s="9">
        <v>0</v>
      </c>
      <c r="S1702" s="9">
        <v>0</v>
      </c>
      <c r="T1702" s="9">
        <v>0</v>
      </c>
      <c r="U1702" s="49">
        <f t="shared" ref="U1702:AC1702" si="450">U1689</f>
        <v>11</v>
      </c>
      <c r="V1702" s="49">
        <f t="shared" si="450"/>
        <v>3</v>
      </c>
      <c r="W1702" s="49">
        <f t="shared" si="450"/>
        <v>1</v>
      </c>
      <c r="X1702" s="49">
        <f t="shared" si="450"/>
        <v>1</v>
      </c>
      <c r="Y1702" s="49">
        <f t="shared" si="450"/>
        <v>2</v>
      </c>
      <c r="Z1702" s="49">
        <f t="shared" si="450"/>
        <v>1</v>
      </c>
      <c r="AA1702" s="49">
        <f t="shared" si="450"/>
        <v>1</v>
      </c>
      <c r="AB1702" s="49">
        <f t="shared" si="450"/>
        <v>1</v>
      </c>
      <c r="AC1702" s="49">
        <f t="shared" si="450"/>
        <v>0</v>
      </c>
      <c r="AD1702" s="53" t="e">
        <f>#REF!*D1702</f>
        <v>#REF!</v>
      </c>
      <c r="AE1702" s="53" t="e">
        <f>AD1702-#REF!</f>
        <v>#REF!</v>
      </c>
      <c r="AF1702" s="9"/>
      <c r="AG1702" s="33" t="e">
        <f>#REF!-D1702</f>
        <v>#REF!</v>
      </c>
    </row>
    <row r="1703" spans="1:33" s="17" customFormat="1" ht="20.399999999999999" outlineLevel="1" x14ac:dyDescent="0.2">
      <c r="A1703" s="61" t="s">
        <v>2319</v>
      </c>
      <c r="B1703" s="47" t="s">
        <v>2348</v>
      </c>
      <c r="C1703" s="8" t="s">
        <v>47</v>
      </c>
      <c r="D1703" s="25">
        <f t="shared" si="440"/>
        <v>29</v>
      </c>
      <c r="E1703" s="54"/>
      <c r="F1703" s="79"/>
      <c r="G1703" s="9">
        <v>0</v>
      </c>
      <c r="H1703" s="9">
        <v>12</v>
      </c>
      <c r="I1703" s="9">
        <v>0</v>
      </c>
      <c r="J1703" s="9">
        <v>0</v>
      </c>
      <c r="K1703" s="9">
        <v>0</v>
      </c>
      <c r="L1703" s="9">
        <v>0</v>
      </c>
      <c r="M1703" s="9">
        <v>2</v>
      </c>
      <c r="N1703" s="9">
        <v>2</v>
      </c>
      <c r="O1703" s="9">
        <v>6</v>
      </c>
      <c r="P1703" s="9">
        <v>6</v>
      </c>
      <c r="Q1703" s="9">
        <v>0</v>
      </c>
      <c r="R1703" s="9">
        <v>0</v>
      </c>
      <c r="S1703" s="9">
        <v>0</v>
      </c>
      <c r="T1703" s="9">
        <v>0</v>
      </c>
      <c r="U1703" s="9">
        <v>0</v>
      </c>
      <c r="V1703" s="9">
        <v>0</v>
      </c>
      <c r="W1703" s="9">
        <v>0</v>
      </c>
      <c r="X1703" s="9">
        <v>0</v>
      </c>
      <c r="Y1703" s="9">
        <v>0</v>
      </c>
      <c r="Z1703" s="9">
        <v>0</v>
      </c>
      <c r="AA1703" s="9">
        <v>0</v>
      </c>
      <c r="AB1703" s="9">
        <v>1</v>
      </c>
      <c r="AC1703" s="9">
        <v>0</v>
      </c>
      <c r="AD1703" s="53" t="e">
        <f>#REF!*D1703</f>
        <v>#REF!</v>
      </c>
      <c r="AE1703" s="53" t="e">
        <f>AD1703-#REF!</f>
        <v>#REF!</v>
      </c>
      <c r="AF1703" s="8"/>
      <c r="AG1703" s="33" t="e">
        <f>#REF!-D1703</f>
        <v>#REF!</v>
      </c>
    </row>
    <row r="1704" spans="1:33" s="17" customFormat="1" ht="30.6" outlineLevel="1" x14ac:dyDescent="0.2">
      <c r="A1704" s="61" t="s">
        <v>2320</v>
      </c>
      <c r="B1704" s="47" t="s">
        <v>2347</v>
      </c>
      <c r="C1704" s="8" t="s">
        <v>47</v>
      </c>
      <c r="D1704" s="25">
        <f t="shared" si="440"/>
        <v>176</v>
      </c>
      <c r="E1704" s="54"/>
      <c r="F1704" s="79"/>
      <c r="G1704" s="9">
        <v>0</v>
      </c>
      <c r="H1704" s="9">
        <v>3</v>
      </c>
      <c r="I1704" s="9">
        <v>4</v>
      </c>
      <c r="J1704" s="9">
        <v>9</v>
      </c>
      <c r="K1704" s="9">
        <v>0</v>
      </c>
      <c r="L1704" s="9">
        <v>20</v>
      </c>
      <c r="M1704" s="9">
        <v>18</v>
      </c>
      <c r="N1704" s="9">
        <v>17</v>
      </c>
      <c r="O1704" s="9">
        <v>12</v>
      </c>
      <c r="P1704" s="9">
        <v>12</v>
      </c>
      <c r="Q1704" s="9">
        <v>5</v>
      </c>
      <c r="R1704" s="9">
        <v>0</v>
      </c>
      <c r="S1704" s="9">
        <v>0</v>
      </c>
      <c r="T1704" s="9">
        <v>0</v>
      </c>
      <c r="U1704" s="9">
        <v>0</v>
      </c>
      <c r="V1704" s="9">
        <v>2</v>
      </c>
      <c r="W1704" s="9">
        <v>10</v>
      </c>
      <c r="X1704" s="9">
        <v>14</v>
      </c>
      <c r="Y1704" s="9">
        <v>17</v>
      </c>
      <c r="Z1704" s="9">
        <v>18</v>
      </c>
      <c r="AA1704" s="9">
        <v>15</v>
      </c>
      <c r="AB1704" s="9">
        <v>0</v>
      </c>
      <c r="AC1704" s="9">
        <v>0</v>
      </c>
      <c r="AD1704" s="53" t="e">
        <f>#REF!*D1704</f>
        <v>#REF!</v>
      </c>
      <c r="AE1704" s="53" t="e">
        <f>AD1704-#REF!</f>
        <v>#REF!</v>
      </c>
      <c r="AF1704" s="8"/>
      <c r="AG1704" s="33" t="e">
        <f>#REF!-D1704</f>
        <v>#REF!</v>
      </c>
    </row>
    <row r="1705" spans="1:33" s="17" customFormat="1" ht="20.399999999999999" outlineLevel="1" x14ac:dyDescent="0.2">
      <c r="A1705" s="61" t="s">
        <v>2321</v>
      </c>
      <c r="B1705" s="47" t="s">
        <v>2349</v>
      </c>
      <c r="C1705" s="8" t="s">
        <v>47</v>
      </c>
      <c r="D1705" s="25">
        <f t="shared" si="440"/>
        <v>46</v>
      </c>
      <c r="E1705" s="54"/>
      <c r="F1705" s="79"/>
      <c r="G1705" s="9">
        <v>0</v>
      </c>
      <c r="H1705" s="9">
        <f>10-7</f>
        <v>3</v>
      </c>
      <c r="I1705" s="9">
        <v>10</v>
      </c>
      <c r="J1705" s="9">
        <v>1</v>
      </c>
      <c r="K1705" s="9">
        <v>2</v>
      </c>
      <c r="L1705" s="9">
        <v>3</v>
      </c>
      <c r="M1705" s="9">
        <v>2</v>
      </c>
      <c r="N1705" s="9">
        <v>2</v>
      </c>
      <c r="O1705" s="9">
        <v>1</v>
      </c>
      <c r="P1705" s="9">
        <v>1</v>
      </c>
      <c r="Q1705" s="9">
        <v>3</v>
      </c>
      <c r="R1705" s="9">
        <v>0</v>
      </c>
      <c r="S1705" s="9">
        <v>0</v>
      </c>
      <c r="T1705" s="9">
        <v>0</v>
      </c>
      <c r="U1705" s="9">
        <v>7</v>
      </c>
      <c r="V1705" s="9">
        <v>1</v>
      </c>
      <c r="W1705" s="9">
        <v>2</v>
      </c>
      <c r="X1705" s="9">
        <v>4</v>
      </c>
      <c r="Y1705" s="9">
        <v>1</v>
      </c>
      <c r="Z1705" s="9">
        <v>1</v>
      </c>
      <c r="AA1705" s="9">
        <v>1</v>
      </c>
      <c r="AB1705" s="9">
        <v>1</v>
      </c>
      <c r="AC1705" s="9">
        <v>0</v>
      </c>
      <c r="AD1705" s="53" t="e">
        <f>#REF!*D1705</f>
        <v>#REF!</v>
      </c>
      <c r="AE1705" s="53" t="e">
        <f>AD1705-#REF!</f>
        <v>#REF!</v>
      </c>
      <c r="AF1705" s="8"/>
      <c r="AG1705" s="33" t="e">
        <f>#REF!-D1705</f>
        <v>#REF!</v>
      </c>
    </row>
    <row r="1706" spans="1:33" s="20" customFormat="1" ht="20.399999999999999" outlineLevel="1" x14ac:dyDescent="0.2">
      <c r="A1706" s="61" t="s">
        <v>2323</v>
      </c>
      <c r="B1706" s="47" t="s">
        <v>1922</v>
      </c>
      <c r="C1706" s="8" t="s">
        <v>47</v>
      </c>
      <c r="D1706" s="25">
        <f t="shared" si="440"/>
        <v>18</v>
      </c>
      <c r="E1706" s="54"/>
      <c r="F1706" s="79"/>
      <c r="G1706" s="9">
        <v>0</v>
      </c>
      <c r="H1706" s="9">
        <v>0</v>
      </c>
      <c r="I1706" s="9">
        <v>2</v>
      </c>
      <c r="J1706" s="9">
        <v>2</v>
      </c>
      <c r="K1706" s="9">
        <v>1</v>
      </c>
      <c r="L1706" s="9">
        <v>1</v>
      </c>
      <c r="M1706" s="9">
        <v>1</v>
      </c>
      <c r="N1706" s="9">
        <v>1</v>
      </c>
      <c r="O1706" s="9">
        <v>1</v>
      </c>
      <c r="P1706" s="9">
        <v>2</v>
      </c>
      <c r="Q1706" s="9">
        <v>1</v>
      </c>
      <c r="R1706" s="9">
        <v>0</v>
      </c>
      <c r="S1706" s="9">
        <v>0</v>
      </c>
      <c r="T1706" s="9">
        <v>0</v>
      </c>
      <c r="U1706" s="9">
        <v>0</v>
      </c>
      <c r="V1706" s="9">
        <v>2</v>
      </c>
      <c r="W1706" s="9">
        <v>0</v>
      </c>
      <c r="X1706" s="9">
        <v>0</v>
      </c>
      <c r="Y1706" s="9">
        <v>2</v>
      </c>
      <c r="Z1706" s="9">
        <v>1</v>
      </c>
      <c r="AA1706" s="9">
        <v>1</v>
      </c>
      <c r="AB1706" s="9">
        <v>0</v>
      </c>
      <c r="AC1706" s="9">
        <v>0</v>
      </c>
      <c r="AD1706" s="53" t="e">
        <f>#REF!*D1706</f>
        <v>#REF!</v>
      </c>
      <c r="AE1706" s="53" t="e">
        <f>AD1706-#REF!</f>
        <v>#REF!</v>
      </c>
      <c r="AF1706" s="9"/>
      <c r="AG1706" s="33" t="e">
        <f>#REF!-D1706</f>
        <v>#REF!</v>
      </c>
    </row>
    <row r="1707" spans="1:33" s="17" customFormat="1" ht="20.399999999999999" outlineLevel="1" x14ac:dyDescent="0.2">
      <c r="A1707" s="61" t="s">
        <v>2324</v>
      </c>
      <c r="B1707" s="47" t="s">
        <v>1923</v>
      </c>
      <c r="C1707" s="8" t="s">
        <v>47</v>
      </c>
      <c r="D1707" s="25">
        <f t="shared" si="440"/>
        <v>18</v>
      </c>
      <c r="E1707" s="54"/>
      <c r="F1707" s="79"/>
      <c r="G1707" s="49">
        <f t="shared" ref="G1707:AC1707" si="451">G1706</f>
        <v>0</v>
      </c>
      <c r="H1707" s="49">
        <f t="shared" si="451"/>
        <v>0</v>
      </c>
      <c r="I1707" s="49">
        <f t="shared" si="451"/>
        <v>2</v>
      </c>
      <c r="J1707" s="49">
        <f t="shared" si="451"/>
        <v>2</v>
      </c>
      <c r="K1707" s="49">
        <f t="shared" si="451"/>
        <v>1</v>
      </c>
      <c r="L1707" s="49">
        <f t="shared" si="451"/>
        <v>1</v>
      </c>
      <c r="M1707" s="49">
        <f t="shared" si="451"/>
        <v>1</v>
      </c>
      <c r="N1707" s="49">
        <f t="shared" si="451"/>
        <v>1</v>
      </c>
      <c r="O1707" s="49">
        <f t="shared" si="451"/>
        <v>1</v>
      </c>
      <c r="P1707" s="49">
        <f t="shared" si="451"/>
        <v>2</v>
      </c>
      <c r="Q1707" s="49">
        <f t="shared" si="451"/>
        <v>1</v>
      </c>
      <c r="R1707" s="49">
        <f t="shared" si="451"/>
        <v>0</v>
      </c>
      <c r="S1707" s="49">
        <f t="shared" si="451"/>
        <v>0</v>
      </c>
      <c r="T1707" s="49">
        <f t="shared" si="451"/>
        <v>0</v>
      </c>
      <c r="U1707" s="49">
        <f t="shared" si="451"/>
        <v>0</v>
      </c>
      <c r="V1707" s="49">
        <f t="shared" si="451"/>
        <v>2</v>
      </c>
      <c r="W1707" s="49">
        <f t="shared" si="451"/>
        <v>0</v>
      </c>
      <c r="X1707" s="49">
        <f t="shared" si="451"/>
        <v>0</v>
      </c>
      <c r="Y1707" s="49">
        <f t="shared" si="451"/>
        <v>2</v>
      </c>
      <c r="Z1707" s="49">
        <f t="shared" si="451"/>
        <v>1</v>
      </c>
      <c r="AA1707" s="49">
        <f t="shared" si="451"/>
        <v>1</v>
      </c>
      <c r="AB1707" s="49">
        <f t="shared" si="451"/>
        <v>0</v>
      </c>
      <c r="AC1707" s="49">
        <f t="shared" si="451"/>
        <v>0</v>
      </c>
      <c r="AD1707" s="53" t="e">
        <f>#REF!*D1707</f>
        <v>#REF!</v>
      </c>
      <c r="AE1707" s="53" t="e">
        <f>AD1707-#REF!</f>
        <v>#REF!</v>
      </c>
      <c r="AF1707" s="8"/>
      <c r="AG1707" s="33" t="e">
        <f>#REF!-D1707</f>
        <v>#REF!</v>
      </c>
    </row>
    <row r="1708" spans="1:33" s="17" customFormat="1" ht="20.399999999999999" outlineLevel="1" x14ac:dyDescent="0.2">
      <c r="A1708" s="61" t="s">
        <v>2355</v>
      </c>
      <c r="B1708" s="47" t="s">
        <v>2350</v>
      </c>
      <c r="C1708" s="8" t="s">
        <v>47</v>
      </c>
      <c r="D1708" s="25">
        <f t="shared" si="440"/>
        <v>740</v>
      </c>
      <c r="E1708" s="54"/>
      <c r="F1708" s="79"/>
      <c r="G1708" s="49">
        <f t="shared" ref="G1708:AC1708" si="452">G1152++G1128+G1129</f>
        <v>0</v>
      </c>
      <c r="H1708" s="49">
        <f t="shared" si="452"/>
        <v>50</v>
      </c>
      <c r="I1708" s="49">
        <f t="shared" si="452"/>
        <v>36</v>
      </c>
      <c r="J1708" s="49">
        <f t="shared" si="452"/>
        <v>58</v>
      </c>
      <c r="K1708" s="49">
        <f t="shared" si="452"/>
        <v>39</v>
      </c>
      <c r="L1708" s="49">
        <f t="shared" si="452"/>
        <v>57</v>
      </c>
      <c r="M1708" s="49">
        <f t="shared" si="452"/>
        <v>52</v>
      </c>
      <c r="N1708" s="49">
        <f t="shared" si="452"/>
        <v>52</v>
      </c>
      <c r="O1708" s="49">
        <f t="shared" si="452"/>
        <v>55</v>
      </c>
      <c r="P1708" s="49">
        <f t="shared" si="452"/>
        <v>68</v>
      </c>
      <c r="Q1708" s="49">
        <f t="shared" si="452"/>
        <v>3</v>
      </c>
      <c r="R1708" s="49">
        <f t="shared" si="452"/>
        <v>0</v>
      </c>
      <c r="S1708" s="49">
        <f t="shared" si="452"/>
        <v>0</v>
      </c>
      <c r="T1708" s="49">
        <f t="shared" si="452"/>
        <v>0</v>
      </c>
      <c r="U1708" s="49">
        <f t="shared" si="452"/>
        <v>27</v>
      </c>
      <c r="V1708" s="49">
        <f t="shared" si="452"/>
        <v>25</v>
      </c>
      <c r="W1708" s="49">
        <f t="shared" si="452"/>
        <v>14</v>
      </c>
      <c r="X1708" s="49">
        <f t="shared" si="452"/>
        <v>50</v>
      </c>
      <c r="Y1708" s="49">
        <f t="shared" si="452"/>
        <v>48</v>
      </c>
      <c r="Z1708" s="49">
        <f t="shared" si="452"/>
        <v>51</v>
      </c>
      <c r="AA1708" s="49">
        <f t="shared" si="452"/>
        <v>49</v>
      </c>
      <c r="AB1708" s="49">
        <f t="shared" si="452"/>
        <v>6</v>
      </c>
      <c r="AC1708" s="49">
        <f t="shared" si="452"/>
        <v>0</v>
      </c>
      <c r="AD1708" s="53" t="e">
        <f>#REF!*D1708</f>
        <v>#REF!</v>
      </c>
      <c r="AE1708" s="53" t="e">
        <f>AD1708-#REF!</f>
        <v>#REF!</v>
      </c>
      <c r="AF1708" s="8"/>
      <c r="AG1708" s="33" t="e">
        <f>#REF!-D1708</f>
        <v>#REF!</v>
      </c>
    </row>
    <row r="1709" spans="1:33" s="17" customFormat="1" ht="20.399999999999999" outlineLevel="1" x14ac:dyDescent="0.2">
      <c r="A1709" s="61" t="s">
        <v>2356</v>
      </c>
      <c r="B1709" s="47" t="s">
        <v>2351</v>
      </c>
      <c r="C1709" s="8" t="s">
        <v>47</v>
      </c>
      <c r="D1709" s="25">
        <f t="shared" si="440"/>
        <v>17</v>
      </c>
      <c r="E1709" s="54"/>
      <c r="F1709" s="79"/>
      <c r="G1709" s="49">
        <f t="shared" ref="G1709:AC1709" si="453">G1130</f>
        <v>0</v>
      </c>
      <c r="H1709" s="49">
        <f t="shared" si="453"/>
        <v>6</v>
      </c>
      <c r="I1709" s="49">
        <f t="shared" si="453"/>
        <v>0</v>
      </c>
      <c r="J1709" s="49">
        <f t="shared" si="453"/>
        <v>0</v>
      </c>
      <c r="K1709" s="49">
        <f t="shared" si="453"/>
        <v>0</v>
      </c>
      <c r="L1709" s="49">
        <f t="shared" si="453"/>
        <v>0</v>
      </c>
      <c r="M1709" s="49">
        <f t="shared" si="453"/>
        <v>0</v>
      </c>
      <c r="N1709" s="49">
        <f t="shared" si="453"/>
        <v>0</v>
      </c>
      <c r="O1709" s="49">
        <f t="shared" si="453"/>
        <v>2</v>
      </c>
      <c r="P1709" s="49">
        <f t="shared" si="453"/>
        <v>2</v>
      </c>
      <c r="Q1709" s="49">
        <f t="shared" si="453"/>
        <v>3</v>
      </c>
      <c r="R1709" s="49">
        <f t="shared" si="453"/>
        <v>0</v>
      </c>
      <c r="S1709" s="49">
        <f t="shared" si="453"/>
        <v>0</v>
      </c>
      <c r="T1709" s="49">
        <f t="shared" si="453"/>
        <v>0</v>
      </c>
      <c r="U1709" s="49">
        <f t="shared" si="453"/>
        <v>0</v>
      </c>
      <c r="V1709" s="49">
        <f t="shared" si="453"/>
        <v>1</v>
      </c>
      <c r="W1709" s="49">
        <f t="shared" si="453"/>
        <v>2</v>
      </c>
      <c r="X1709" s="49">
        <f t="shared" si="453"/>
        <v>0</v>
      </c>
      <c r="Y1709" s="49">
        <f t="shared" si="453"/>
        <v>0</v>
      </c>
      <c r="Z1709" s="49">
        <f t="shared" si="453"/>
        <v>1</v>
      </c>
      <c r="AA1709" s="49">
        <f t="shared" si="453"/>
        <v>0</v>
      </c>
      <c r="AB1709" s="49">
        <f t="shared" si="453"/>
        <v>0</v>
      </c>
      <c r="AC1709" s="49">
        <f t="shared" si="453"/>
        <v>0</v>
      </c>
      <c r="AD1709" s="53" t="e">
        <f>#REF!*D1709</f>
        <v>#REF!</v>
      </c>
      <c r="AE1709" s="53" t="e">
        <f>AD1709-#REF!</f>
        <v>#REF!</v>
      </c>
      <c r="AF1709" s="8"/>
      <c r="AG1709" s="33" t="e">
        <f>#REF!-D1709</f>
        <v>#REF!</v>
      </c>
    </row>
    <row r="1710" spans="1:33" s="17" customFormat="1" ht="20.399999999999999" outlineLevel="1" x14ac:dyDescent="0.2">
      <c r="A1710" s="61" t="s">
        <v>2357</v>
      </c>
      <c r="B1710" s="47" t="s">
        <v>2352</v>
      </c>
      <c r="C1710" s="8" t="s">
        <v>47</v>
      </c>
      <c r="D1710" s="25">
        <f t="shared" si="440"/>
        <v>26</v>
      </c>
      <c r="E1710" s="54"/>
      <c r="F1710" s="79"/>
      <c r="G1710" s="49">
        <f t="shared" ref="G1710:AC1710" si="454">G1131</f>
        <v>0</v>
      </c>
      <c r="H1710" s="49">
        <f t="shared" si="454"/>
        <v>7</v>
      </c>
      <c r="I1710" s="49">
        <f t="shared" si="454"/>
        <v>1</v>
      </c>
      <c r="J1710" s="49">
        <f t="shared" si="454"/>
        <v>2</v>
      </c>
      <c r="K1710" s="49">
        <f t="shared" si="454"/>
        <v>1</v>
      </c>
      <c r="L1710" s="49">
        <f t="shared" si="454"/>
        <v>1</v>
      </c>
      <c r="M1710" s="49">
        <f t="shared" si="454"/>
        <v>1</v>
      </c>
      <c r="N1710" s="49">
        <f t="shared" si="454"/>
        <v>1</v>
      </c>
      <c r="O1710" s="49">
        <f t="shared" si="454"/>
        <v>1</v>
      </c>
      <c r="P1710" s="49">
        <f t="shared" si="454"/>
        <v>2</v>
      </c>
      <c r="Q1710" s="49">
        <f t="shared" si="454"/>
        <v>1</v>
      </c>
      <c r="R1710" s="49">
        <f t="shared" si="454"/>
        <v>0</v>
      </c>
      <c r="S1710" s="49">
        <f t="shared" si="454"/>
        <v>0</v>
      </c>
      <c r="T1710" s="49">
        <f t="shared" si="454"/>
        <v>0</v>
      </c>
      <c r="U1710" s="49">
        <f t="shared" si="454"/>
        <v>0</v>
      </c>
      <c r="V1710" s="49">
        <f t="shared" si="454"/>
        <v>1</v>
      </c>
      <c r="W1710" s="49">
        <f t="shared" si="454"/>
        <v>2</v>
      </c>
      <c r="X1710" s="49">
        <f t="shared" si="454"/>
        <v>1</v>
      </c>
      <c r="Y1710" s="49">
        <f t="shared" si="454"/>
        <v>2</v>
      </c>
      <c r="Z1710" s="49">
        <f t="shared" si="454"/>
        <v>1</v>
      </c>
      <c r="AA1710" s="49">
        <f t="shared" si="454"/>
        <v>1</v>
      </c>
      <c r="AB1710" s="49">
        <f t="shared" si="454"/>
        <v>0</v>
      </c>
      <c r="AC1710" s="49">
        <f t="shared" si="454"/>
        <v>0</v>
      </c>
      <c r="AD1710" s="53" t="e">
        <f>#REF!*D1710</f>
        <v>#REF!</v>
      </c>
      <c r="AE1710" s="53" t="e">
        <f>AD1710-#REF!</f>
        <v>#REF!</v>
      </c>
      <c r="AF1710" s="8"/>
      <c r="AG1710" s="33" t="e">
        <f>#REF!-D1710</f>
        <v>#REF!</v>
      </c>
    </row>
    <row r="1711" spans="1:33" s="17" customFormat="1" ht="20.399999999999999" outlineLevel="1" x14ac:dyDescent="0.2">
      <c r="A1711" s="61" t="s">
        <v>2358</v>
      </c>
      <c r="B1711" s="47" t="s">
        <v>2353</v>
      </c>
      <c r="C1711" s="8" t="s">
        <v>47</v>
      </c>
      <c r="D1711" s="25">
        <f t="shared" si="440"/>
        <v>1</v>
      </c>
      <c r="E1711" s="54"/>
      <c r="F1711" s="79"/>
      <c r="G1711" s="9">
        <v>0</v>
      </c>
      <c r="H1711" s="9">
        <v>0</v>
      </c>
      <c r="I1711" s="9">
        <v>0</v>
      </c>
      <c r="J1711" s="9">
        <v>0</v>
      </c>
      <c r="K1711" s="9">
        <v>0</v>
      </c>
      <c r="L1711" s="9">
        <v>0</v>
      </c>
      <c r="M1711" s="9">
        <v>0</v>
      </c>
      <c r="N1711" s="9">
        <v>0</v>
      </c>
      <c r="O1711" s="9">
        <v>0</v>
      </c>
      <c r="P1711" s="9">
        <v>0</v>
      </c>
      <c r="Q1711" s="9">
        <v>0</v>
      </c>
      <c r="R1711" s="9">
        <v>0</v>
      </c>
      <c r="S1711" s="9">
        <v>0</v>
      </c>
      <c r="T1711" s="9">
        <v>0</v>
      </c>
      <c r="U1711" s="9">
        <v>0</v>
      </c>
      <c r="V1711" s="9">
        <v>1</v>
      </c>
      <c r="W1711" s="9">
        <v>0</v>
      </c>
      <c r="X1711" s="9">
        <v>0</v>
      </c>
      <c r="Y1711" s="9">
        <v>0</v>
      </c>
      <c r="Z1711" s="9">
        <v>0</v>
      </c>
      <c r="AA1711" s="9">
        <v>0</v>
      </c>
      <c r="AB1711" s="9">
        <v>0</v>
      </c>
      <c r="AC1711" s="9">
        <v>0</v>
      </c>
      <c r="AD1711" s="53" t="e">
        <f>#REF!*D1711</f>
        <v>#REF!</v>
      </c>
      <c r="AE1711" s="53" t="e">
        <f>AD1711-#REF!</f>
        <v>#REF!</v>
      </c>
      <c r="AF1711" s="8"/>
      <c r="AG1711" s="33" t="e">
        <f>#REF!-D1711</f>
        <v>#REF!</v>
      </c>
    </row>
    <row r="1712" spans="1:33" s="17" customFormat="1" ht="10.199999999999999" outlineLevel="1" x14ac:dyDescent="0.2">
      <c r="A1712" s="61" t="s">
        <v>2359</v>
      </c>
      <c r="B1712" s="47" t="s">
        <v>1970</v>
      </c>
      <c r="C1712" s="8" t="s">
        <v>47</v>
      </c>
      <c r="D1712" s="25">
        <f t="shared" si="440"/>
        <v>18</v>
      </c>
      <c r="E1712" s="54"/>
      <c r="F1712" s="79"/>
      <c r="G1712" s="49">
        <f t="shared" ref="G1712:AC1712" si="455">G1707</f>
        <v>0</v>
      </c>
      <c r="H1712" s="49">
        <f t="shared" si="455"/>
        <v>0</v>
      </c>
      <c r="I1712" s="49">
        <f t="shared" si="455"/>
        <v>2</v>
      </c>
      <c r="J1712" s="49">
        <f t="shared" si="455"/>
        <v>2</v>
      </c>
      <c r="K1712" s="49">
        <f t="shared" si="455"/>
        <v>1</v>
      </c>
      <c r="L1712" s="49">
        <f t="shared" si="455"/>
        <v>1</v>
      </c>
      <c r="M1712" s="49">
        <f t="shared" si="455"/>
        <v>1</v>
      </c>
      <c r="N1712" s="49">
        <f t="shared" si="455"/>
        <v>1</v>
      </c>
      <c r="O1712" s="49">
        <f t="shared" si="455"/>
        <v>1</v>
      </c>
      <c r="P1712" s="49">
        <f t="shared" si="455"/>
        <v>2</v>
      </c>
      <c r="Q1712" s="49">
        <f t="shared" si="455"/>
        <v>1</v>
      </c>
      <c r="R1712" s="49">
        <f t="shared" si="455"/>
        <v>0</v>
      </c>
      <c r="S1712" s="49">
        <f t="shared" si="455"/>
        <v>0</v>
      </c>
      <c r="T1712" s="49">
        <f t="shared" si="455"/>
        <v>0</v>
      </c>
      <c r="U1712" s="49">
        <f t="shared" si="455"/>
        <v>0</v>
      </c>
      <c r="V1712" s="49">
        <f t="shared" si="455"/>
        <v>2</v>
      </c>
      <c r="W1712" s="49">
        <f t="shared" si="455"/>
        <v>0</v>
      </c>
      <c r="X1712" s="49">
        <f t="shared" si="455"/>
        <v>0</v>
      </c>
      <c r="Y1712" s="49">
        <f t="shared" si="455"/>
        <v>2</v>
      </c>
      <c r="Z1712" s="49">
        <f t="shared" si="455"/>
        <v>1</v>
      </c>
      <c r="AA1712" s="49">
        <f t="shared" si="455"/>
        <v>1</v>
      </c>
      <c r="AB1712" s="49">
        <f t="shared" si="455"/>
        <v>0</v>
      </c>
      <c r="AC1712" s="49">
        <f t="shared" si="455"/>
        <v>0</v>
      </c>
      <c r="AD1712" s="53" t="e">
        <f>#REF!*D1712</f>
        <v>#REF!</v>
      </c>
      <c r="AE1712" s="53" t="e">
        <f>AD1712-#REF!</f>
        <v>#REF!</v>
      </c>
      <c r="AF1712" s="8"/>
      <c r="AG1712" s="33" t="e">
        <f>#REF!-D1712</f>
        <v>#REF!</v>
      </c>
    </row>
    <row r="1713" spans="1:37" s="17" customFormat="1" ht="20.399999999999999" outlineLevel="1" x14ac:dyDescent="0.2">
      <c r="A1713" s="61" t="s">
        <v>2808</v>
      </c>
      <c r="B1713" s="47" t="s">
        <v>2354</v>
      </c>
      <c r="C1713" s="8" t="s">
        <v>47</v>
      </c>
      <c r="D1713" s="25">
        <f t="shared" si="440"/>
        <v>176</v>
      </c>
      <c r="E1713" s="54"/>
      <c r="F1713" s="79"/>
      <c r="G1713" s="49">
        <f t="shared" ref="G1713:AC1713" si="456">G1704</f>
        <v>0</v>
      </c>
      <c r="H1713" s="49">
        <f t="shared" si="456"/>
        <v>3</v>
      </c>
      <c r="I1713" s="49">
        <f t="shared" si="456"/>
        <v>4</v>
      </c>
      <c r="J1713" s="49">
        <f t="shared" si="456"/>
        <v>9</v>
      </c>
      <c r="K1713" s="49">
        <f t="shared" si="456"/>
        <v>0</v>
      </c>
      <c r="L1713" s="49">
        <f t="shared" si="456"/>
        <v>20</v>
      </c>
      <c r="M1713" s="49">
        <f t="shared" si="456"/>
        <v>18</v>
      </c>
      <c r="N1713" s="49">
        <f t="shared" si="456"/>
        <v>17</v>
      </c>
      <c r="O1713" s="49">
        <f t="shared" si="456"/>
        <v>12</v>
      </c>
      <c r="P1713" s="49">
        <f t="shared" si="456"/>
        <v>12</v>
      </c>
      <c r="Q1713" s="49">
        <f t="shared" si="456"/>
        <v>5</v>
      </c>
      <c r="R1713" s="49">
        <f t="shared" si="456"/>
        <v>0</v>
      </c>
      <c r="S1713" s="49">
        <f t="shared" si="456"/>
        <v>0</v>
      </c>
      <c r="T1713" s="49">
        <f t="shared" si="456"/>
        <v>0</v>
      </c>
      <c r="U1713" s="49">
        <f t="shared" si="456"/>
        <v>0</v>
      </c>
      <c r="V1713" s="49">
        <f t="shared" si="456"/>
        <v>2</v>
      </c>
      <c r="W1713" s="49">
        <f t="shared" si="456"/>
        <v>10</v>
      </c>
      <c r="X1713" s="49">
        <f t="shared" si="456"/>
        <v>14</v>
      </c>
      <c r="Y1713" s="49">
        <f t="shared" si="456"/>
        <v>17</v>
      </c>
      <c r="Z1713" s="49">
        <f t="shared" si="456"/>
        <v>18</v>
      </c>
      <c r="AA1713" s="49">
        <f t="shared" si="456"/>
        <v>15</v>
      </c>
      <c r="AB1713" s="49">
        <f t="shared" si="456"/>
        <v>0</v>
      </c>
      <c r="AC1713" s="49">
        <f t="shared" si="456"/>
        <v>0</v>
      </c>
      <c r="AD1713" s="53" t="e">
        <f>#REF!*D1713</f>
        <v>#REF!</v>
      </c>
      <c r="AE1713" s="53" t="e">
        <f>AD1713-#REF!</f>
        <v>#REF!</v>
      </c>
      <c r="AF1713" s="8"/>
      <c r="AG1713" s="33" t="e">
        <f>#REF!-D1713</f>
        <v>#REF!</v>
      </c>
    </row>
    <row r="1714" spans="1:37" s="17" customFormat="1" ht="30.6" outlineLevel="1" x14ac:dyDescent="0.2">
      <c r="A1714" s="61" t="s">
        <v>2810</v>
      </c>
      <c r="B1714" s="47" t="s">
        <v>1898</v>
      </c>
      <c r="C1714" s="8" t="s">
        <v>47</v>
      </c>
      <c r="D1714" s="25">
        <f t="shared" si="440"/>
        <v>335</v>
      </c>
      <c r="E1714" s="54"/>
      <c r="F1714" s="79"/>
      <c r="G1714" s="49">
        <f t="shared" ref="G1714:AC1714" si="457">G1667+G1656+G1657+G1668</f>
        <v>0</v>
      </c>
      <c r="H1714" s="49">
        <f t="shared" si="457"/>
        <v>34</v>
      </c>
      <c r="I1714" s="49">
        <f t="shared" si="457"/>
        <v>17</v>
      </c>
      <c r="J1714" s="49">
        <f t="shared" si="457"/>
        <v>30</v>
      </c>
      <c r="K1714" s="49">
        <f t="shared" si="457"/>
        <v>17</v>
      </c>
      <c r="L1714" s="49">
        <f t="shared" si="457"/>
        <v>24</v>
      </c>
      <c r="M1714" s="49">
        <f t="shared" si="457"/>
        <v>24</v>
      </c>
      <c r="N1714" s="49">
        <f t="shared" si="457"/>
        <v>23</v>
      </c>
      <c r="O1714" s="49">
        <f t="shared" si="457"/>
        <v>23</v>
      </c>
      <c r="P1714" s="49">
        <f t="shared" si="457"/>
        <v>23</v>
      </c>
      <c r="Q1714" s="49">
        <f t="shared" si="457"/>
        <v>8</v>
      </c>
      <c r="R1714" s="49">
        <f t="shared" si="457"/>
        <v>0</v>
      </c>
      <c r="S1714" s="49">
        <f t="shared" si="457"/>
        <v>0</v>
      </c>
      <c r="T1714" s="49">
        <f t="shared" si="457"/>
        <v>0</v>
      </c>
      <c r="U1714" s="49">
        <f t="shared" si="457"/>
        <v>16</v>
      </c>
      <c r="V1714" s="49">
        <f t="shared" si="457"/>
        <v>9</v>
      </c>
      <c r="W1714" s="49">
        <f t="shared" si="457"/>
        <v>18</v>
      </c>
      <c r="X1714" s="49">
        <f t="shared" si="457"/>
        <v>17</v>
      </c>
      <c r="Y1714" s="49">
        <f t="shared" si="457"/>
        <v>15</v>
      </c>
      <c r="Z1714" s="49">
        <f t="shared" si="457"/>
        <v>19</v>
      </c>
      <c r="AA1714" s="49">
        <f t="shared" si="457"/>
        <v>17</v>
      </c>
      <c r="AB1714" s="49">
        <f t="shared" si="457"/>
        <v>1</v>
      </c>
      <c r="AC1714" s="49">
        <f t="shared" si="457"/>
        <v>0</v>
      </c>
      <c r="AD1714" s="53" t="e">
        <f>#REF!*D1714</f>
        <v>#REF!</v>
      </c>
      <c r="AE1714" s="53" t="e">
        <f>AD1714-#REF!</f>
        <v>#REF!</v>
      </c>
      <c r="AF1714" s="9"/>
      <c r="AG1714" s="33" t="e">
        <f>#REF!-D1714</f>
        <v>#REF!</v>
      </c>
    </row>
    <row r="1715" spans="1:37" s="12" customFormat="1" ht="10.199999999999999" outlineLevel="1" x14ac:dyDescent="0.2">
      <c r="A1715" s="102" t="s">
        <v>1103</v>
      </c>
      <c r="B1715" s="63" t="s">
        <v>2361</v>
      </c>
      <c r="C1715" s="9"/>
      <c r="D1715" s="25"/>
      <c r="E1715" s="54"/>
      <c r="F1715" s="9"/>
      <c r="G1715" s="9"/>
      <c r="H1715" s="9"/>
      <c r="I1715" s="9"/>
      <c r="J1715" s="9"/>
      <c r="K1715" s="9"/>
      <c r="L1715" s="9"/>
      <c r="M1715" s="9"/>
      <c r="N1715" s="9"/>
      <c r="O1715" s="9"/>
      <c r="P1715" s="9"/>
      <c r="Q1715" s="9"/>
      <c r="R1715" s="9"/>
      <c r="S1715" s="9"/>
      <c r="T1715" s="9"/>
      <c r="U1715" s="9"/>
      <c r="V1715" s="9"/>
      <c r="W1715" s="9"/>
      <c r="X1715" s="9"/>
      <c r="Y1715" s="9"/>
      <c r="Z1715" s="9"/>
      <c r="AA1715" s="9"/>
      <c r="AB1715" s="9"/>
      <c r="AC1715" s="9"/>
      <c r="AD1715" s="53" t="e">
        <f>#REF!*D1715</f>
        <v>#REF!</v>
      </c>
      <c r="AE1715" s="53" t="e">
        <f>AD1715-#REF!</f>
        <v>#REF!</v>
      </c>
      <c r="AF1715" s="9"/>
      <c r="AG1715" s="33" t="e">
        <f>#REF!-D1715</f>
        <v>#REF!</v>
      </c>
      <c r="AH1715" s="9"/>
      <c r="AI1715" s="9"/>
      <c r="AJ1715" s="9"/>
      <c r="AK1715" s="9"/>
    </row>
    <row r="1716" spans="1:37" x14ac:dyDescent="0.25">
      <c r="E1716" s="54"/>
      <c r="G1716" s="9"/>
      <c r="H1716" s="76"/>
      <c r="I1716" s="76"/>
      <c r="J1716" s="76"/>
      <c r="K1716" s="76"/>
      <c r="L1716" s="76"/>
      <c r="M1716" s="76"/>
      <c r="N1716" s="76"/>
      <c r="O1716" s="76"/>
      <c r="P1716" s="76"/>
      <c r="Q1716" s="76"/>
      <c r="R1716" s="76"/>
      <c r="S1716" s="76"/>
      <c r="T1716" s="76"/>
      <c r="U1716" s="76"/>
      <c r="V1716" s="76"/>
      <c r="W1716" s="76"/>
      <c r="X1716" s="76"/>
      <c r="Y1716" s="76"/>
      <c r="Z1716" s="76"/>
      <c r="AA1716" s="76"/>
      <c r="AB1716" s="76"/>
      <c r="AC1716" s="76"/>
      <c r="AD1716" s="53" t="e">
        <f>#REF!*D1716</f>
        <v>#REF!</v>
      </c>
      <c r="AE1716" s="53" t="e">
        <f>AD1716-#REF!</f>
        <v>#REF!</v>
      </c>
      <c r="AG1716" s="33" t="e">
        <f>#REF!-D1716</f>
        <v>#REF!</v>
      </c>
      <c r="AH1716" s="2"/>
      <c r="AI1716" s="2"/>
      <c r="AJ1716" s="2"/>
      <c r="AK1716" s="2"/>
    </row>
    <row r="1717" spans="1:37" x14ac:dyDescent="0.25">
      <c r="A1717" s="58">
        <v>10</v>
      </c>
      <c r="B1717" s="59" t="s">
        <v>233</v>
      </c>
      <c r="C1717" s="58" t="s">
        <v>41</v>
      </c>
      <c r="D1717" s="60" t="e">
        <f>#REF!/#REF!*100</f>
        <v>#REF!</v>
      </c>
      <c r="E1717" s="200" t="s">
        <v>2806</v>
      </c>
      <c r="G1717" s="9"/>
      <c r="H1717" s="76"/>
      <c r="I1717" s="76"/>
      <c r="J1717" s="76"/>
      <c r="K1717" s="76"/>
      <c r="L1717" s="76"/>
      <c r="M1717" s="76"/>
      <c r="N1717" s="76"/>
      <c r="O1717" s="76"/>
      <c r="P1717" s="76"/>
      <c r="Q1717" s="76"/>
      <c r="R1717" s="76"/>
      <c r="S1717" s="76"/>
      <c r="T1717" s="76"/>
      <c r="U1717" s="9"/>
      <c r="V1717" s="9"/>
      <c r="W1717" s="9"/>
      <c r="X1717" s="9"/>
      <c r="Y1717" s="9"/>
      <c r="Z1717" s="9"/>
      <c r="AA1717" s="9"/>
      <c r="AB1717" s="9"/>
      <c r="AC1717" s="76"/>
      <c r="AD1717" s="53" t="e">
        <f>#REF!*D1717</f>
        <v>#REF!</v>
      </c>
      <c r="AE1717" s="53" t="e">
        <f>AD1717-#REF!</f>
        <v>#REF!</v>
      </c>
      <c r="AG1717" s="33" t="e">
        <f>#REF!-D1717</f>
        <v>#REF!</v>
      </c>
    </row>
    <row r="1718" spans="1:37" x14ac:dyDescent="0.25">
      <c r="A1718" s="18" t="s">
        <v>513</v>
      </c>
      <c r="B1718" s="35" t="s">
        <v>1993</v>
      </c>
      <c r="C1718" s="18" t="s">
        <v>41</v>
      </c>
      <c r="D1718" s="52" t="e">
        <f>#REF!/#REF!*100</f>
        <v>#REF!</v>
      </c>
      <c r="G1718" s="9"/>
      <c r="H1718" s="81"/>
      <c r="I1718" s="81"/>
      <c r="J1718" s="76"/>
      <c r="K1718" s="76"/>
      <c r="L1718" s="76"/>
      <c r="M1718" s="76"/>
      <c r="N1718" s="81"/>
      <c r="O1718" s="76"/>
      <c r="P1718" s="76"/>
      <c r="Q1718" s="76"/>
      <c r="R1718" s="76"/>
      <c r="S1718" s="76"/>
      <c r="T1718" s="76"/>
      <c r="U1718" s="81"/>
      <c r="V1718" s="81"/>
      <c r="W1718" s="76"/>
      <c r="X1718" s="76"/>
      <c r="Y1718" s="76"/>
      <c r="Z1718" s="76"/>
      <c r="AA1718" s="81"/>
      <c r="AB1718" s="214" t="s">
        <v>375</v>
      </c>
      <c r="AC1718" s="76"/>
      <c r="AD1718" s="53" t="e">
        <f>#REF!*D1718</f>
        <v>#REF!</v>
      </c>
      <c r="AE1718" s="53" t="e">
        <f>AD1718-#REF!</f>
        <v>#REF!</v>
      </c>
      <c r="AG1718" s="33" t="e">
        <f>#REF!-D1718</f>
        <v>#REF!</v>
      </c>
    </row>
    <row r="1719" spans="1:37" s="12" customFormat="1" ht="30.6" outlineLevel="1" x14ac:dyDescent="0.2">
      <c r="A1719" s="61" t="s">
        <v>1995</v>
      </c>
      <c r="B1719" s="14" t="s">
        <v>230</v>
      </c>
      <c r="C1719" s="8" t="s">
        <v>48</v>
      </c>
      <c r="D1719" s="25">
        <f>SUM(G1719:AC1719)*6</f>
        <v>6</v>
      </c>
      <c r="E1719" s="54"/>
      <c r="F1719" s="78"/>
      <c r="G1719" s="9">
        <v>0</v>
      </c>
      <c r="H1719" s="9">
        <v>0</v>
      </c>
      <c r="I1719" s="9">
        <v>0</v>
      </c>
      <c r="J1719" s="9">
        <v>0</v>
      </c>
      <c r="K1719" s="9">
        <v>0</v>
      </c>
      <c r="L1719" s="9">
        <v>0</v>
      </c>
      <c r="M1719" s="9">
        <v>0</v>
      </c>
      <c r="N1719" s="9">
        <v>0</v>
      </c>
      <c r="O1719" s="9">
        <v>0</v>
      </c>
      <c r="P1719" s="9">
        <v>0</v>
      </c>
      <c r="Q1719" s="9">
        <v>0</v>
      </c>
      <c r="R1719" s="9">
        <v>1</v>
      </c>
      <c r="S1719" s="9">
        <v>0</v>
      </c>
      <c r="T1719" s="9">
        <v>0</v>
      </c>
      <c r="U1719" s="9">
        <v>0</v>
      </c>
      <c r="V1719" s="9">
        <v>0</v>
      </c>
      <c r="W1719" s="9">
        <v>0</v>
      </c>
      <c r="X1719" s="9">
        <v>0</v>
      </c>
      <c r="Y1719" s="9">
        <v>0</v>
      </c>
      <c r="Z1719" s="9">
        <v>0</v>
      </c>
      <c r="AA1719" s="9">
        <v>0</v>
      </c>
      <c r="AB1719" s="9">
        <v>0</v>
      </c>
      <c r="AC1719" s="9">
        <v>0</v>
      </c>
      <c r="AD1719" s="53" t="e">
        <f>#REF!*D1719</f>
        <v>#REF!</v>
      </c>
      <c r="AE1719" s="53" t="e">
        <f>AD1719-#REF!</f>
        <v>#REF!</v>
      </c>
      <c r="AF1719" s="8"/>
      <c r="AG1719" s="33" t="e">
        <f>#REF!-D1719</f>
        <v>#REF!</v>
      </c>
      <c r="AH1719" s="8"/>
      <c r="AI1719" s="8"/>
    </row>
    <row r="1720" spans="1:37" s="12" customFormat="1" ht="30.6" outlineLevel="1" x14ac:dyDescent="0.2">
      <c r="A1720" s="61" t="s">
        <v>1996</v>
      </c>
      <c r="B1720" s="14" t="s">
        <v>175</v>
      </c>
      <c r="C1720" s="8" t="s">
        <v>48</v>
      </c>
      <c r="D1720" s="25">
        <f>SUM(G1720:AC1720)*6</f>
        <v>1272</v>
      </c>
      <c r="E1720" s="54"/>
      <c r="F1720" s="9"/>
      <c r="G1720" s="9">
        <f>42/6</f>
        <v>7</v>
      </c>
      <c r="H1720" s="9">
        <f>46-11-7</f>
        <v>28</v>
      </c>
      <c r="I1720" s="9">
        <f>13-2.5</f>
        <v>10.5</v>
      </c>
      <c r="J1720" s="9">
        <f>21-6</f>
        <v>15</v>
      </c>
      <c r="K1720" s="9">
        <f>19-5.5</f>
        <v>13.5</v>
      </c>
      <c r="L1720" s="9">
        <v>17</v>
      </c>
      <c r="M1720" s="9">
        <v>7.5</v>
      </c>
      <c r="N1720" s="9">
        <v>7.5</v>
      </c>
      <c r="O1720" s="9">
        <v>7.5</v>
      </c>
      <c r="P1720" s="9">
        <v>8</v>
      </c>
      <c r="Q1720" s="9">
        <v>0</v>
      </c>
      <c r="R1720" s="9">
        <v>2</v>
      </c>
      <c r="S1720" s="9">
        <v>0</v>
      </c>
      <c r="T1720" s="9">
        <v>4.5</v>
      </c>
      <c r="U1720" s="9">
        <v>14</v>
      </c>
      <c r="V1720" s="9">
        <v>15</v>
      </c>
      <c r="W1720" s="9">
        <v>13</v>
      </c>
      <c r="X1720" s="9">
        <v>7</v>
      </c>
      <c r="Y1720" s="9">
        <v>7</v>
      </c>
      <c r="Z1720" s="9">
        <v>7</v>
      </c>
      <c r="AA1720" s="9">
        <v>11</v>
      </c>
      <c r="AB1720" s="9">
        <v>10</v>
      </c>
      <c r="AC1720" s="9">
        <v>0</v>
      </c>
      <c r="AD1720" s="53" t="e">
        <f>#REF!*D1720</f>
        <v>#REF!</v>
      </c>
      <c r="AE1720" s="53" t="e">
        <f>AD1720-#REF!</f>
        <v>#REF!</v>
      </c>
      <c r="AF1720" s="8"/>
      <c r="AG1720" s="33" t="e">
        <f>#REF!-D1720</f>
        <v>#REF!</v>
      </c>
      <c r="AH1720" s="8"/>
      <c r="AI1720" s="8"/>
    </row>
    <row r="1721" spans="1:37" s="17" customFormat="1" ht="20.399999999999999" outlineLevel="1" x14ac:dyDescent="0.2">
      <c r="A1721" s="61" t="s">
        <v>1997</v>
      </c>
      <c r="B1721" s="14" t="s">
        <v>231</v>
      </c>
      <c r="C1721" s="8" t="s">
        <v>47</v>
      </c>
      <c r="D1721" s="25">
        <f t="shared" ref="D1721:D1753" si="458">SUM(G1721:AC1721)</f>
        <v>1</v>
      </c>
      <c r="E1721" s="54"/>
      <c r="F1721" s="9"/>
      <c r="G1721" s="49">
        <f t="shared" ref="G1721:AC1721" si="459">G1719</f>
        <v>0</v>
      </c>
      <c r="H1721" s="49">
        <f t="shared" si="459"/>
        <v>0</v>
      </c>
      <c r="I1721" s="49">
        <f t="shared" si="459"/>
        <v>0</v>
      </c>
      <c r="J1721" s="49">
        <f t="shared" si="459"/>
        <v>0</v>
      </c>
      <c r="K1721" s="49">
        <f t="shared" si="459"/>
        <v>0</v>
      </c>
      <c r="L1721" s="49">
        <f t="shared" si="459"/>
        <v>0</v>
      </c>
      <c r="M1721" s="49">
        <f t="shared" si="459"/>
        <v>0</v>
      </c>
      <c r="N1721" s="49">
        <f t="shared" si="459"/>
        <v>0</v>
      </c>
      <c r="O1721" s="49">
        <f t="shared" si="459"/>
        <v>0</v>
      </c>
      <c r="P1721" s="49">
        <f t="shared" si="459"/>
        <v>0</v>
      </c>
      <c r="Q1721" s="49">
        <f t="shared" si="459"/>
        <v>0</v>
      </c>
      <c r="R1721" s="49">
        <f t="shared" si="459"/>
        <v>1</v>
      </c>
      <c r="S1721" s="49">
        <f t="shared" si="459"/>
        <v>0</v>
      </c>
      <c r="T1721" s="49">
        <f t="shared" si="459"/>
        <v>0</v>
      </c>
      <c r="U1721" s="49">
        <f t="shared" si="459"/>
        <v>0</v>
      </c>
      <c r="V1721" s="49">
        <f t="shared" si="459"/>
        <v>0</v>
      </c>
      <c r="W1721" s="49">
        <f t="shared" si="459"/>
        <v>0</v>
      </c>
      <c r="X1721" s="49">
        <f t="shared" si="459"/>
        <v>0</v>
      </c>
      <c r="Y1721" s="49">
        <f t="shared" si="459"/>
        <v>0</v>
      </c>
      <c r="Z1721" s="49">
        <f t="shared" si="459"/>
        <v>0</v>
      </c>
      <c r="AA1721" s="49">
        <f t="shared" si="459"/>
        <v>0</v>
      </c>
      <c r="AB1721" s="49">
        <f t="shared" si="459"/>
        <v>0</v>
      </c>
      <c r="AC1721" s="49">
        <f t="shared" si="459"/>
        <v>0</v>
      </c>
      <c r="AD1721" s="53" t="e">
        <f>#REF!*D1721</f>
        <v>#REF!</v>
      </c>
      <c r="AE1721" s="53" t="e">
        <f>AD1721-#REF!</f>
        <v>#REF!</v>
      </c>
      <c r="AF1721" s="8"/>
      <c r="AG1721" s="33" t="e">
        <f>#REF!-D1721</f>
        <v>#REF!</v>
      </c>
      <c r="AH1721" s="8"/>
      <c r="AI1721" s="8"/>
    </row>
    <row r="1722" spans="1:37" s="17" customFormat="1" ht="20.399999999999999" outlineLevel="1" x14ac:dyDescent="0.2">
      <c r="A1722" s="61" t="s">
        <v>1998</v>
      </c>
      <c r="B1722" s="14" t="s">
        <v>134</v>
      </c>
      <c r="C1722" s="8" t="s">
        <v>47</v>
      </c>
      <c r="D1722" s="25">
        <f t="shared" si="458"/>
        <v>212</v>
      </c>
      <c r="E1722" s="54"/>
      <c r="F1722" s="9"/>
      <c r="G1722" s="49">
        <f t="shared" ref="G1722:AC1722" si="460">G1720</f>
        <v>7</v>
      </c>
      <c r="H1722" s="49">
        <f t="shared" si="460"/>
        <v>28</v>
      </c>
      <c r="I1722" s="49">
        <f t="shared" si="460"/>
        <v>10.5</v>
      </c>
      <c r="J1722" s="49">
        <f t="shared" si="460"/>
        <v>15</v>
      </c>
      <c r="K1722" s="49">
        <f t="shared" si="460"/>
        <v>13.5</v>
      </c>
      <c r="L1722" s="49">
        <f t="shared" si="460"/>
        <v>17</v>
      </c>
      <c r="M1722" s="49">
        <f t="shared" si="460"/>
        <v>7.5</v>
      </c>
      <c r="N1722" s="49">
        <f t="shared" si="460"/>
        <v>7.5</v>
      </c>
      <c r="O1722" s="49">
        <f t="shared" si="460"/>
        <v>7.5</v>
      </c>
      <c r="P1722" s="49">
        <f t="shared" si="460"/>
        <v>8</v>
      </c>
      <c r="Q1722" s="49">
        <f t="shared" si="460"/>
        <v>0</v>
      </c>
      <c r="R1722" s="49">
        <f t="shared" si="460"/>
        <v>2</v>
      </c>
      <c r="S1722" s="49">
        <f t="shared" si="460"/>
        <v>0</v>
      </c>
      <c r="T1722" s="49">
        <f t="shared" si="460"/>
        <v>4.5</v>
      </c>
      <c r="U1722" s="49">
        <f t="shared" si="460"/>
        <v>14</v>
      </c>
      <c r="V1722" s="49">
        <f t="shared" si="460"/>
        <v>15</v>
      </c>
      <c r="W1722" s="49">
        <f t="shared" si="460"/>
        <v>13</v>
      </c>
      <c r="X1722" s="49">
        <f t="shared" si="460"/>
        <v>7</v>
      </c>
      <c r="Y1722" s="49">
        <f t="shared" si="460"/>
        <v>7</v>
      </c>
      <c r="Z1722" s="49">
        <f t="shared" si="460"/>
        <v>7</v>
      </c>
      <c r="AA1722" s="49">
        <f t="shared" si="460"/>
        <v>11</v>
      </c>
      <c r="AB1722" s="49">
        <f t="shared" si="460"/>
        <v>10</v>
      </c>
      <c r="AC1722" s="49">
        <f t="shared" si="460"/>
        <v>0</v>
      </c>
      <c r="AD1722" s="53" t="e">
        <f>#REF!*D1722</f>
        <v>#REF!</v>
      </c>
      <c r="AE1722" s="53" t="e">
        <f>AD1722-#REF!</f>
        <v>#REF!</v>
      </c>
      <c r="AF1722" s="8"/>
      <c r="AG1722" s="33" t="e">
        <f>#REF!-D1722</f>
        <v>#REF!</v>
      </c>
      <c r="AH1722" s="8"/>
      <c r="AI1722" s="8"/>
    </row>
    <row r="1723" spans="1:37" s="12" customFormat="1" ht="20.399999999999999" outlineLevel="1" x14ac:dyDescent="0.2">
      <c r="A1723" s="61" t="s">
        <v>1999</v>
      </c>
      <c r="B1723" s="14" t="s">
        <v>232</v>
      </c>
      <c r="C1723" s="8" t="s">
        <v>47</v>
      </c>
      <c r="D1723" s="25">
        <f t="shared" si="458"/>
        <v>2</v>
      </c>
      <c r="E1723" s="54"/>
      <c r="F1723" s="9"/>
      <c r="G1723" s="9">
        <v>0</v>
      </c>
      <c r="H1723" s="9">
        <v>0</v>
      </c>
      <c r="I1723" s="9">
        <v>0</v>
      </c>
      <c r="J1723" s="9">
        <v>0</v>
      </c>
      <c r="K1723" s="9">
        <v>0</v>
      </c>
      <c r="L1723" s="9">
        <v>0</v>
      </c>
      <c r="M1723" s="9">
        <v>0</v>
      </c>
      <c r="N1723" s="9">
        <v>0</v>
      </c>
      <c r="O1723" s="9">
        <v>0</v>
      </c>
      <c r="P1723" s="9">
        <v>0</v>
      </c>
      <c r="Q1723" s="9">
        <v>0</v>
      </c>
      <c r="R1723" s="9">
        <v>2</v>
      </c>
      <c r="S1723" s="9">
        <v>0</v>
      </c>
      <c r="T1723" s="9">
        <v>0</v>
      </c>
      <c r="U1723" s="9">
        <v>0</v>
      </c>
      <c r="V1723" s="9">
        <v>0</v>
      </c>
      <c r="W1723" s="9">
        <v>0</v>
      </c>
      <c r="X1723" s="9">
        <v>0</v>
      </c>
      <c r="Y1723" s="9">
        <v>0</v>
      </c>
      <c r="Z1723" s="9">
        <v>0</v>
      </c>
      <c r="AA1723" s="9">
        <v>0</v>
      </c>
      <c r="AB1723" s="9">
        <v>0</v>
      </c>
      <c r="AC1723" s="9">
        <v>0</v>
      </c>
      <c r="AD1723" s="53" t="e">
        <f>#REF!*D1723</f>
        <v>#REF!</v>
      </c>
      <c r="AE1723" s="53" t="e">
        <f>AD1723-#REF!</f>
        <v>#REF!</v>
      </c>
      <c r="AF1723" s="8"/>
      <c r="AG1723" s="33" t="e">
        <f>#REF!-D1723</f>
        <v>#REF!</v>
      </c>
      <c r="AH1723" s="8"/>
      <c r="AI1723" s="8"/>
    </row>
    <row r="1724" spans="1:37" s="12" customFormat="1" ht="20.399999999999999" outlineLevel="1" x14ac:dyDescent="0.2">
      <c r="A1724" s="61" t="s">
        <v>2000</v>
      </c>
      <c r="B1724" s="14" t="s">
        <v>135</v>
      </c>
      <c r="C1724" s="8" t="s">
        <v>47</v>
      </c>
      <c r="D1724" s="25">
        <f t="shared" si="458"/>
        <v>232</v>
      </c>
      <c r="E1724" s="54"/>
      <c r="F1724" s="9"/>
      <c r="G1724" s="9">
        <v>0</v>
      </c>
      <c r="H1724" s="9">
        <f>24-9</f>
        <v>15</v>
      </c>
      <c r="I1724" s="9">
        <f>21-7</f>
        <v>14</v>
      </c>
      <c r="J1724" s="9">
        <v>13</v>
      </c>
      <c r="K1724" s="9">
        <v>13</v>
      </c>
      <c r="L1724" s="9">
        <f>26-12</f>
        <v>14</v>
      </c>
      <c r="M1724" s="9">
        <v>10</v>
      </c>
      <c r="N1724" s="9">
        <v>10</v>
      </c>
      <c r="O1724" s="9">
        <v>10</v>
      </c>
      <c r="P1724" s="9">
        <v>11</v>
      </c>
      <c r="Q1724" s="9">
        <v>0</v>
      </c>
      <c r="R1724" s="9">
        <v>8</v>
      </c>
      <c r="S1724" s="9">
        <v>0</v>
      </c>
      <c r="T1724" s="9">
        <v>50</v>
      </c>
      <c r="U1724" s="9">
        <v>9</v>
      </c>
      <c r="V1724" s="9">
        <v>9</v>
      </c>
      <c r="W1724" s="9">
        <v>9</v>
      </c>
      <c r="X1724" s="9">
        <v>7</v>
      </c>
      <c r="Y1724" s="9">
        <v>12</v>
      </c>
      <c r="Z1724" s="9">
        <v>5</v>
      </c>
      <c r="AA1724" s="9">
        <v>5</v>
      </c>
      <c r="AB1724" s="9">
        <v>8</v>
      </c>
      <c r="AC1724" s="9">
        <v>0</v>
      </c>
      <c r="AD1724" s="53" t="e">
        <f>#REF!*D1724</f>
        <v>#REF!</v>
      </c>
      <c r="AE1724" s="53" t="e">
        <f>AD1724-#REF!</f>
        <v>#REF!</v>
      </c>
      <c r="AF1724" s="8"/>
      <c r="AG1724" s="33" t="e">
        <f>#REF!-D1724</f>
        <v>#REF!</v>
      </c>
      <c r="AH1724" s="8"/>
      <c r="AI1724" s="8"/>
    </row>
    <row r="1725" spans="1:37" s="17" customFormat="1" ht="20.399999999999999" outlineLevel="1" x14ac:dyDescent="0.2">
      <c r="A1725" s="61" t="s">
        <v>2001</v>
      </c>
      <c r="B1725" s="14" t="s">
        <v>136</v>
      </c>
      <c r="C1725" s="8" t="s">
        <v>47</v>
      </c>
      <c r="D1725" s="25">
        <f t="shared" si="458"/>
        <v>7</v>
      </c>
      <c r="E1725" s="54"/>
      <c r="F1725" s="9"/>
      <c r="G1725" s="9">
        <v>2</v>
      </c>
      <c r="H1725" s="9">
        <v>3</v>
      </c>
      <c r="I1725" s="9">
        <v>0</v>
      </c>
      <c r="J1725" s="9">
        <v>0</v>
      </c>
      <c r="K1725" s="9">
        <v>0</v>
      </c>
      <c r="L1725" s="9">
        <v>0</v>
      </c>
      <c r="M1725" s="9">
        <v>0</v>
      </c>
      <c r="N1725" s="9">
        <v>0</v>
      </c>
      <c r="O1725" s="9">
        <v>0</v>
      </c>
      <c r="P1725" s="9">
        <v>0</v>
      </c>
      <c r="Q1725" s="9">
        <v>0</v>
      </c>
      <c r="R1725" s="9">
        <v>0</v>
      </c>
      <c r="S1725" s="9">
        <v>0</v>
      </c>
      <c r="T1725" s="9">
        <v>0</v>
      </c>
      <c r="U1725" s="9">
        <v>0</v>
      </c>
      <c r="V1725" s="9">
        <v>1</v>
      </c>
      <c r="W1725" s="9">
        <v>0</v>
      </c>
      <c r="X1725" s="9">
        <v>0</v>
      </c>
      <c r="Y1725" s="9">
        <v>0</v>
      </c>
      <c r="Z1725" s="9">
        <v>0</v>
      </c>
      <c r="AA1725" s="9">
        <v>0</v>
      </c>
      <c r="AB1725" s="9">
        <v>1</v>
      </c>
      <c r="AC1725" s="9">
        <v>0</v>
      </c>
      <c r="AD1725" s="53" t="e">
        <f>#REF!*D1725</f>
        <v>#REF!</v>
      </c>
      <c r="AE1725" s="53" t="e">
        <f>AD1725-#REF!</f>
        <v>#REF!</v>
      </c>
      <c r="AF1725" s="8"/>
      <c r="AG1725" s="33" t="e">
        <f>#REF!-D1725</f>
        <v>#REF!</v>
      </c>
      <c r="AH1725" s="8"/>
      <c r="AI1725" s="8"/>
    </row>
    <row r="1726" spans="1:37" s="17" customFormat="1" ht="10.199999999999999" outlineLevel="1" x14ac:dyDescent="0.2">
      <c r="A1726" s="61" t="s">
        <v>2002</v>
      </c>
      <c r="B1726" s="11" t="s">
        <v>137</v>
      </c>
      <c r="C1726" s="8" t="s">
        <v>47</v>
      </c>
      <c r="D1726" s="25">
        <f t="shared" si="458"/>
        <v>41</v>
      </c>
      <c r="E1726" s="54"/>
      <c r="F1726" s="9"/>
      <c r="G1726" s="9">
        <v>0</v>
      </c>
      <c r="H1726" s="9">
        <v>6</v>
      </c>
      <c r="I1726" s="9">
        <v>2</v>
      </c>
      <c r="J1726" s="9">
        <v>2</v>
      </c>
      <c r="K1726" s="9">
        <v>2</v>
      </c>
      <c r="L1726" s="9">
        <v>2</v>
      </c>
      <c r="M1726" s="9">
        <v>1</v>
      </c>
      <c r="N1726" s="9">
        <v>1</v>
      </c>
      <c r="O1726" s="9">
        <v>1</v>
      </c>
      <c r="P1726" s="9">
        <v>1</v>
      </c>
      <c r="Q1726" s="9">
        <v>0</v>
      </c>
      <c r="R1726" s="9">
        <v>5</v>
      </c>
      <c r="S1726" s="9">
        <v>0</v>
      </c>
      <c r="T1726" s="9">
        <v>0</v>
      </c>
      <c r="U1726" s="9">
        <v>2</v>
      </c>
      <c r="V1726" s="9">
        <v>3</v>
      </c>
      <c r="W1726" s="9">
        <v>3</v>
      </c>
      <c r="X1726" s="9">
        <v>2</v>
      </c>
      <c r="Y1726" s="9">
        <v>2</v>
      </c>
      <c r="Z1726" s="9">
        <v>2</v>
      </c>
      <c r="AA1726" s="9">
        <v>2</v>
      </c>
      <c r="AB1726" s="9">
        <v>2</v>
      </c>
      <c r="AC1726" s="9">
        <v>0</v>
      </c>
      <c r="AD1726" s="53" t="e">
        <f>#REF!*D1726</f>
        <v>#REF!</v>
      </c>
      <c r="AE1726" s="53" t="e">
        <f>AD1726-#REF!</f>
        <v>#REF!</v>
      </c>
      <c r="AF1726" s="8"/>
      <c r="AG1726" s="33" t="e">
        <f>#REF!-D1726</f>
        <v>#REF!</v>
      </c>
      <c r="AH1726" s="8"/>
      <c r="AI1726" s="8"/>
    </row>
    <row r="1727" spans="1:37" s="17" customFormat="1" ht="11.25" customHeight="1" outlineLevel="1" x14ac:dyDescent="0.2">
      <c r="A1727" s="61" t="s">
        <v>2003</v>
      </c>
      <c r="B1727" s="14" t="s">
        <v>174</v>
      </c>
      <c r="C1727" s="8" t="s">
        <v>47</v>
      </c>
      <c r="D1727" s="25">
        <f t="shared" si="458"/>
        <v>1</v>
      </c>
      <c r="E1727" s="54"/>
      <c r="F1727" s="9"/>
      <c r="G1727" s="9">
        <v>0</v>
      </c>
      <c r="H1727" s="9">
        <v>0</v>
      </c>
      <c r="I1727" s="9">
        <v>0</v>
      </c>
      <c r="J1727" s="9">
        <v>0</v>
      </c>
      <c r="K1727" s="9">
        <v>0</v>
      </c>
      <c r="L1727" s="9">
        <v>0</v>
      </c>
      <c r="M1727" s="9">
        <v>0</v>
      </c>
      <c r="N1727" s="9">
        <v>0</v>
      </c>
      <c r="O1727" s="9">
        <v>0</v>
      </c>
      <c r="P1727" s="9">
        <v>0</v>
      </c>
      <c r="Q1727" s="9">
        <v>0</v>
      </c>
      <c r="R1727" s="9">
        <v>1</v>
      </c>
      <c r="S1727" s="9">
        <v>0</v>
      </c>
      <c r="T1727" s="9">
        <v>0</v>
      </c>
      <c r="U1727" s="9">
        <v>0</v>
      </c>
      <c r="V1727" s="9">
        <v>0</v>
      </c>
      <c r="W1727" s="9">
        <v>0</v>
      </c>
      <c r="X1727" s="9">
        <v>0</v>
      </c>
      <c r="Y1727" s="9">
        <v>0</v>
      </c>
      <c r="Z1727" s="9">
        <v>0</v>
      </c>
      <c r="AA1727" s="9">
        <v>0</v>
      </c>
      <c r="AB1727" s="9">
        <v>0</v>
      </c>
      <c r="AC1727" s="9">
        <v>0</v>
      </c>
      <c r="AD1727" s="53" t="e">
        <f>#REF!*D1727</f>
        <v>#REF!</v>
      </c>
      <c r="AE1727" s="53" t="e">
        <f>AD1727-#REF!</f>
        <v>#REF!</v>
      </c>
      <c r="AF1727" s="8"/>
      <c r="AG1727" s="33" t="e">
        <f>#REF!-D1727</f>
        <v>#REF!</v>
      </c>
      <c r="AH1727" s="8"/>
      <c r="AI1727" s="8"/>
    </row>
    <row r="1728" spans="1:37" s="17" customFormat="1" ht="11.4" outlineLevel="1" x14ac:dyDescent="0.2">
      <c r="A1728" s="61" t="s">
        <v>2004</v>
      </c>
      <c r="B1728" s="14" t="s">
        <v>138</v>
      </c>
      <c r="C1728" s="8" t="s">
        <v>47</v>
      </c>
      <c r="D1728" s="25">
        <f t="shared" si="458"/>
        <v>2</v>
      </c>
      <c r="E1728" s="54"/>
      <c r="F1728" s="9"/>
      <c r="G1728" s="9">
        <v>0</v>
      </c>
      <c r="H1728" s="9">
        <v>0</v>
      </c>
      <c r="I1728" s="9">
        <v>0</v>
      </c>
      <c r="J1728" s="9">
        <v>0</v>
      </c>
      <c r="K1728" s="9">
        <v>0</v>
      </c>
      <c r="L1728" s="9">
        <v>0</v>
      </c>
      <c r="M1728" s="9">
        <v>0</v>
      </c>
      <c r="N1728" s="9">
        <v>0</v>
      </c>
      <c r="O1728" s="9">
        <v>0</v>
      </c>
      <c r="P1728" s="9">
        <v>0</v>
      </c>
      <c r="Q1728" s="9">
        <v>0</v>
      </c>
      <c r="R1728" s="9">
        <v>2</v>
      </c>
      <c r="S1728" s="9">
        <v>0</v>
      </c>
      <c r="T1728" s="9">
        <v>0</v>
      </c>
      <c r="U1728" s="9">
        <v>0</v>
      </c>
      <c r="V1728" s="9">
        <v>0</v>
      </c>
      <c r="W1728" s="9">
        <v>0</v>
      </c>
      <c r="X1728" s="9">
        <v>0</v>
      </c>
      <c r="Y1728" s="9">
        <v>0</v>
      </c>
      <c r="Z1728" s="9">
        <v>0</v>
      </c>
      <c r="AA1728" s="9">
        <v>0</v>
      </c>
      <c r="AB1728" s="9">
        <v>0</v>
      </c>
      <c r="AC1728" s="9">
        <v>0</v>
      </c>
      <c r="AD1728" s="53" t="e">
        <f>#REF!*D1728</f>
        <v>#REF!</v>
      </c>
      <c r="AE1728" s="53" t="e">
        <f>AD1728-#REF!</f>
        <v>#REF!</v>
      </c>
      <c r="AF1728" s="8"/>
      <c r="AG1728" s="33" t="e">
        <f>#REF!-D1728</f>
        <v>#REF!</v>
      </c>
      <c r="AH1728" s="8"/>
      <c r="AI1728" s="8"/>
    </row>
    <row r="1729" spans="1:35" s="12" customFormat="1" ht="20.399999999999999" outlineLevel="1" x14ac:dyDescent="0.2">
      <c r="A1729" s="61" t="s">
        <v>2005</v>
      </c>
      <c r="B1729" s="14" t="s">
        <v>183</v>
      </c>
      <c r="C1729" s="8" t="s">
        <v>47</v>
      </c>
      <c r="D1729" s="25">
        <f t="shared" si="458"/>
        <v>2</v>
      </c>
      <c r="E1729" s="54"/>
      <c r="F1729" s="9"/>
      <c r="G1729" s="9">
        <v>0</v>
      </c>
      <c r="H1729" s="9">
        <v>0</v>
      </c>
      <c r="I1729" s="9">
        <v>0</v>
      </c>
      <c r="J1729" s="9">
        <v>0</v>
      </c>
      <c r="K1729" s="9">
        <v>0</v>
      </c>
      <c r="L1729" s="9">
        <v>0</v>
      </c>
      <c r="M1729" s="9">
        <v>0</v>
      </c>
      <c r="N1729" s="9">
        <v>0</v>
      </c>
      <c r="O1729" s="9">
        <v>0</v>
      </c>
      <c r="P1729" s="9">
        <v>0</v>
      </c>
      <c r="Q1729" s="9">
        <v>0</v>
      </c>
      <c r="R1729" s="9">
        <v>2</v>
      </c>
      <c r="S1729" s="9">
        <v>0</v>
      </c>
      <c r="T1729" s="9">
        <v>0</v>
      </c>
      <c r="U1729" s="9">
        <v>0</v>
      </c>
      <c r="V1729" s="9">
        <v>0</v>
      </c>
      <c r="W1729" s="9">
        <v>0</v>
      </c>
      <c r="X1729" s="9">
        <v>0</v>
      </c>
      <c r="Y1729" s="9">
        <v>0</v>
      </c>
      <c r="Z1729" s="9">
        <v>0</v>
      </c>
      <c r="AA1729" s="9">
        <v>0</v>
      </c>
      <c r="AB1729" s="9">
        <v>0</v>
      </c>
      <c r="AC1729" s="9">
        <v>0</v>
      </c>
      <c r="AD1729" s="53" t="e">
        <f>#REF!*D1729</f>
        <v>#REF!</v>
      </c>
      <c r="AE1729" s="53" t="e">
        <f>AD1729-#REF!</f>
        <v>#REF!</v>
      </c>
      <c r="AF1729" s="8"/>
      <c r="AG1729" s="33" t="e">
        <f>#REF!-D1729</f>
        <v>#REF!</v>
      </c>
      <c r="AH1729" s="8"/>
      <c r="AI1729" s="8"/>
    </row>
    <row r="1730" spans="1:35" s="17" customFormat="1" ht="20.399999999999999" outlineLevel="1" x14ac:dyDescent="0.2">
      <c r="A1730" s="61" t="s">
        <v>2006</v>
      </c>
      <c r="B1730" s="14" t="s">
        <v>139</v>
      </c>
      <c r="C1730" s="8" t="s">
        <v>47</v>
      </c>
      <c r="D1730" s="25">
        <f t="shared" si="458"/>
        <v>1</v>
      </c>
      <c r="E1730" s="54"/>
      <c r="F1730" s="9"/>
      <c r="G1730" s="9">
        <v>0</v>
      </c>
      <c r="H1730" s="9">
        <v>0</v>
      </c>
      <c r="I1730" s="9">
        <v>0</v>
      </c>
      <c r="J1730" s="9">
        <v>0</v>
      </c>
      <c r="K1730" s="9">
        <v>0</v>
      </c>
      <c r="L1730" s="9">
        <v>0</v>
      </c>
      <c r="M1730" s="9">
        <v>0</v>
      </c>
      <c r="N1730" s="9">
        <v>0</v>
      </c>
      <c r="O1730" s="9">
        <v>0</v>
      </c>
      <c r="P1730" s="9">
        <v>0</v>
      </c>
      <c r="Q1730" s="9">
        <v>0</v>
      </c>
      <c r="R1730" s="9">
        <v>1</v>
      </c>
      <c r="S1730" s="9">
        <v>0</v>
      </c>
      <c r="T1730" s="9">
        <v>0</v>
      </c>
      <c r="U1730" s="9">
        <v>0</v>
      </c>
      <c r="V1730" s="9">
        <v>0</v>
      </c>
      <c r="W1730" s="9">
        <v>0</v>
      </c>
      <c r="X1730" s="9">
        <v>0</v>
      </c>
      <c r="Y1730" s="9">
        <v>0</v>
      </c>
      <c r="Z1730" s="9">
        <v>0</v>
      </c>
      <c r="AA1730" s="9">
        <v>0</v>
      </c>
      <c r="AB1730" s="9">
        <v>0</v>
      </c>
      <c r="AC1730" s="9">
        <v>0</v>
      </c>
      <c r="AD1730" s="53" t="e">
        <f>#REF!*D1730</f>
        <v>#REF!</v>
      </c>
      <c r="AE1730" s="53" t="e">
        <f>AD1730-#REF!</f>
        <v>#REF!</v>
      </c>
      <c r="AF1730" s="8"/>
      <c r="AG1730" s="33" t="e">
        <f>#REF!-D1730</f>
        <v>#REF!</v>
      </c>
      <c r="AH1730" s="8"/>
      <c r="AI1730" s="8"/>
    </row>
    <row r="1731" spans="1:35" s="17" customFormat="1" ht="20.399999999999999" outlineLevel="1" x14ac:dyDescent="0.2">
      <c r="A1731" s="61" t="s">
        <v>2007</v>
      </c>
      <c r="B1731" s="14" t="s">
        <v>184</v>
      </c>
      <c r="C1731" s="8" t="s">
        <v>47</v>
      </c>
      <c r="D1731" s="25">
        <f t="shared" si="458"/>
        <v>1</v>
      </c>
      <c r="E1731" s="54"/>
      <c r="F1731" s="9"/>
      <c r="G1731" s="9">
        <v>0</v>
      </c>
      <c r="H1731" s="9">
        <v>0</v>
      </c>
      <c r="I1731" s="9">
        <v>0</v>
      </c>
      <c r="J1731" s="9">
        <v>0</v>
      </c>
      <c r="K1731" s="9">
        <v>0</v>
      </c>
      <c r="L1731" s="9">
        <v>0</v>
      </c>
      <c r="M1731" s="9">
        <v>0</v>
      </c>
      <c r="N1731" s="9">
        <v>0</v>
      </c>
      <c r="O1731" s="9">
        <v>0</v>
      </c>
      <c r="P1731" s="9">
        <v>0</v>
      </c>
      <c r="Q1731" s="9">
        <v>0</v>
      </c>
      <c r="R1731" s="9">
        <v>1</v>
      </c>
      <c r="S1731" s="9">
        <v>0</v>
      </c>
      <c r="T1731" s="9">
        <v>0</v>
      </c>
      <c r="U1731" s="9">
        <v>0</v>
      </c>
      <c r="V1731" s="9">
        <v>0</v>
      </c>
      <c r="W1731" s="9">
        <v>0</v>
      </c>
      <c r="X1731" s="9">
        <v>0</v>
      </c>
      <c r="Y1731" s="9">
        <v>0</v>
      </c>
      <c r="Z1731" s="9">
        <v>0</v>
      </c>
      <c r="AA1731" s="9">
        <v>0</v>
      </c>
      <c r="AB1731" s="9">
        <v>0</v>
      </c>
      <c r="AC1731" s="9">
        <v>0</v>
      </c>
      <c r="AD1731" s="53" t="e">
        <f>#REF!*D1731</f>
        <v>#REF!</v>
      </c>
      <c r="AE1731" s="53" t="e">
        <f>AD1731-#REF!</f>
        <v>#REF!</v>
      </c>
      <c r="AF1731" s="8"/>
      <c r="AG1731" s="33" t="e">
        <f>#REF!-D1731</f>
        <v>#REF!</v>
      </c>
      <c r="AH1731" s="8"/>
      <c r="AI1731" s="8"/>
    </row>
    <row r="1732" spans="1:35" s="17" customFormat="1" ht="20.399999999999999" outlineLevel="1" x14ac:dyDescent="0.2">
      <c r="A1732" s="61" t="s">
        <v>2008</v>
      </c>
      <c r="B1732" s="14" t="s">
        <v>140</v>
      </c>
      <c r="C1732" s="8" t="s">
        <v>47</v>
      </c>
      <c r="D1732" s="25">
        <f t="shared" si="458"/>
        <v>120</v>
      </c>
      <c r="E1732" s="54"/>
      <c r="F1732" s="9"/>
      <c r="G1732" s="9">
        <v>0</v>
      </c>
      <c r="H1732" s="9">
        <v>16</v>
      </c>
      <c r="I1732" s="9">
        <v>5</v>
      </c>
      <c r="J1732" s="9">
        <v>4</v>
      </c>
      <c r="K1732" s="9">
        <v>4</v>
      </c>
      <c r="L1732" s="9">
        <v>3</v>
      </c>
      <c r="M1732" s="9">
        <v>3</v>
      </c>
      <c r="N1732" s="9">
        <v>3</v>
      </c>
      <c r="O1732" s="9">
        <v>3</v>
      </c>
      <c r="P1732" s="9">
        <v>3</v>
      </c>
      <c r="Q1732" s="9">
        <v>0</v>
      </c>
      <c r="R1732" s="9">
        <v>7</v>
      </c>
      <c r="S1732" s="9">
        <v>0</v>
      </c>
      <c r="T1732" s="9">
        <v>25</v>
      </c>
      <c r="U1732" s="9">
        <v>17</v>
      </c>
      <c r="V1732" s="9">
        <v>5</v>
      </c>
      <c r="W1732" s="9">
        <v>5</v>
      </c>
      <c r="X1732" s="9">
        <v>3</v>
      </c>
      <c r="Y1732" s="9">
        <v>4</v>
      </c>
      <c r="Z1732" s="9">
        <v>3</v>
      </c>
      <c r="AA1732" s="9">
        <v>3</v>
      </c>
      <c r="AB1732" s="9">
        <v>4</v>
      </c>
      <c r="AC1732" s="9">
        <v>0</v>
      </c>
      <c r="AD1732" s="53" t="e">
        <f>#REF!*D1732</f>
        <v>#REF!</v>
      </c>
      <c r="AE1732" s="53" t="e">
        <f>AD1732-#REF!</f>
        <v>#REF!</v>
      </c>
      <c r="AF1732" s="8"/>
      <c r="AG1732" s="33" t="e">
        <f>#REF!-D1732</f>
        <v>#REF!</v>
      </c>
      <c r="AH1732" s="8"/>
      <c r="AI1732" s="8"/>
    </row>
    <row r="1733" spans="1:35" s="17" customFormat="1" ht="20.399999999999999" outlineLevel="1" x14ac:dyDescent="0.2">
      <c r="A1733" s="61" t="s">
        <v>2009</v>
      </c>
      <c r="B1733" s="14" t="s">
        <v>185</v>
      </c>
      <c r="C1733" s="8" t="s">
        <v>47</v>
      </c>
      <c r="D1733" s="25">
        <f t="shared" si="458"/>
        <v>1</v>
      </c>
      <c r="E1733" s="54"/>
      <c r="F1733" s="9"/>
      <c r="G1733" s="9">
        <v>0</v>
      </c>
      <c r="H1733" s="9">
        <v>0</v>
      </c>
      <c r="I1733" s="9">
        <v>0</v>
      </c>
      <c r="J1733" s="9">
        <v>0</v>
      </c>
      <c r="K1733" s="9">
        <v>0</v>
      </c>
      <c r="L1733" s="9">
        <v>0</v>
      </c>
      <c r="M1733" s="9">
        <v>0</v>
      </c>
      <c r="N1733" s="9">
        <v>0</v>
      </c>
      <c r="O1733" s="9">
        <v>0</v>
      </c>
      <c r="P1733" s="9">
        <v>0</v>
      </c>
      <c r="Q1733" s="9">
        <v>0</v>
      </c>
      <c r="R1733" s="9">
        <v>1</v>
      </c>
      <c r="S1733" s="9">
        <v>0</v>
      </c>
      <c r="T1733" s="9">
        <v>0</v>
      </c>
      <c r="U1733" s="9">
        <v>0</v>
      </c>
      <c r="V1733" s="9">
        <v>0</v>
      </c>
      <c r="W1733" s="9">
        <v>0</v>
      </c>
      <c r="X1733" s="9">
        <v>0</v>
      </c>
      <c r="Y1733" s="9">
        <v>0</v>
      </c>
      <c r="Z1733" s="9">
        <v>0</v>
      </c>
      <c r="AA1733" s="9">
        <v>0</v>
      </c>
      <c r="AB1733" s="9">
        <v>0</v>
      </c>
      <c r="AC1733" s="9">
        <v>0</v>
      </c>
      <c r="AD1733" s="53" t="e">
        <f>#REF!*D1733</f>
        <v>#REF!</v>
      </c>
      <c r="AE1733" s="53" t="e">
        <f>AD1733-#REF!</f>
        <v>#REF!</v>
      </c>
      <c r="AF1733" s="8"/>
      <c r="AG1733" s="33" t="e">
        <f>#REF!-D1733</f>
        <v>#REF!</v>
      </c>
      <c r="AH1733" s="8"/>
      <c r="AI1733" s="8"/>
    </row>
    <row r="1734" spans="1:35" s="17" customFormat="1" ht="20.399999999999999" outlineLevel="1" x14ac:dyDescent="0.2">
      <c r="A1734" s="61" t="s">
        <v>2010</v>
      </c>
      <c r="B1734" s="14" t="s">
        <v>141</v>
      </c>
      <c r="C1734" s="8" t="s">
        <v>47</v>
      </c>
      <c r="D1734" s="25">
        <f t="shared" si="458"/>
        <v>40</v>
      </c>
      <c r="E1734" s="54"/>
      <c r="F1734" s="9"/>
      <c r="G1734" s="9">
        <v>0</v>
      </c>
      <c r="H1734" s="9">
        <v>0</v>
      </c>
      <c r="I1734" s="9">
        <v>0</v>
      </c>
      <c r="J1734" s="9">
        <v>0</v>
      </c>
      <c r="K1734" s="9">
        <v>0</v>
      </c>
      <c r="L1734" s="9">
        <v>0</v>
      </c>
      <c r="M1734" s="9">
        <v>0</v>
      </c>
      <c r="N1734" s="9">
        <v>0</v>
      </c>
      <c r="O1734" s="9">
        <v>0</v>
      </c>
      <c r="P1734" s="9">
        <v>0</v>
      </c>
      <c r="Q1734" s="9">
        <v>0</v>
      </c>
      <c r="R1734" s="9">
        <v>7</v>
      </c>
      <c r="S1734" s="9">
        <v>0</v>
      </c>
      <c r="T1734" s="9">
        <v>25</v>
      </c>
      <c r="U1734" s="9">
        <v>1</v>
      </c>
      <c r="V1734" s="9">
        <v>1</v>
      </c>
      <c r="W1734" s="9">
        <v>1</v>
      </c>
      <c r="X1734" s="9">
        <v>1</v>
      </c>
      <c r="Y1734" s="9">
        <v>1</v>
      </c>
      <c r="Z1734" s="9">
        <v>1</v>
      </c>
      <c r="AA1734" s="9">
        <v>1</v>
      </c>
      <c r="AB1734" s="9">
        <v>1</v>
      </c>
      <c r="AC1734" s="9">
        <v>0</v>
      </c>
      <c r="AD1734" s="53" t="e">
        <f>#REF!*D1734</f>
        <v>#REF!</v>
      </c>
      <c r="AE1734" s="53" t="e">
        <f>AD1734-#REF!</f>
        <v>#REF!</v>
      </c>
      <c r="AF1734" s="8"/>
      <c r="AG1734" s="33" t="e">
        <f>#REF!-D1734</f>
        <v>#REF!</v>
      </c>
      <c r="AH1734" s="8"/>
      <c r="AI1734" s="8"/>
    </row>
    <row r="1735" spans="1:35" s="12" customFormat="1" ht="23.25" customHeight="1" outlineLevel="1" x14ac:dyDescent="0.2">
      <c r="A1735" s="62" t="s">
        <v>2120</v>
      </c>
      <c r="B1735" s="80" t="s">
        <v>113</v>
      </c>
      <c r="C1735" s="9" t="s">
        <v>47</v>
      </c>
      <c r="D1735" s="25">
        <f t="shared" si="458"/>
        <v>8</v>
      </c>
      <c r="E1735" s="54"/>
      <c r="F1735" s="9"/>
      <c r="G1735" s="9">
        <v>0</v>
      </c>
      <c r="H1735" s="9">
        <v>0</v>
      </c>
      <c r="I1735" s="9">
        <v>0</v>
      </c>
      <c r="J1735" s="9">
        <v>0</v>
      </c>
      <c r="K1735" s="9">
        <v>0</v>
      </c>
      <c r="L1735" s="9">
        <v>0</v>
      </c>
      <c r="M1735" s="9">
        <v>0</v>
      </c>
      <c r="N1735" s="9">
        <v>0</v>
      </c>
      <c r="O1735" s="9">
        <v>0</v>
      </c>
      <c r="P1735" s="9">
        <v>0</v>
      </c>
      <c r="Q1735" s="9">
        <v>0</v>
      </c>
      <c r="R1735" s="9">
        <v>0</v>
      </c>
      <c r="S1735" s="9">
        <v>0</v>
      </c>
      <c r="T1735" s="9">
        <v>0</v>
      </c>
      <c r="U1735" s="9">
        <v>1</v>
      </c>
      <c r="V1735" s="9">
        <v>1</v>
      </c>
      <c r="W1735" s="9">
        <v>1</v>
      </c>
      <c r="X1735" s="9">
        <v>1</v>
      </c>
      <c r="Y1735" s="9">
        <v>1</v>
      </c>
      <c r="Z1735" s="9">
        <v>1</v>
      </c>
      <c r="AA1735" s="9">
        <v>1</v>
      </c>
      <c r="AB1735" s="9">
        <v>1</v>
      </c>
      <c r="AC1735" s="9">
        <v>0</v>
      </c>
      <c r="AD1735" s="53" t="e">
        <f>#REF!*D1735</f>
        <v>#REF!</v>
      </c>
      <c r="AE1735" s="53" t="e">
        <f>AD1735-#REF!</f>
        <v>#REF!</v>
      </c>
      <c r="AF1735" s="9"/>
      <c r="AG1735" s="33" t="e">
        <f>#REF!-D1735</f>
        <v>#REF!</v>
      </c>
      <c r="AH1735" s="9"/>
      <c r="AI1735" s="9"/>
    </row>
    <row r="1736" spans="1:35" s="12" customFormat="1" ht="20.399999999999999" outlineLevel="1" x14ac:dyDescent="0.2">
      <c r="A1736" s="61" t="s">
        <v>2011</v>
      </c>
      <c r="B1736" s="80" t="s">
        <v>143</v>
      </c>
      <c r="C1736" s="9" t="s">
        <v>47</v>
      </c>
      <c r="D1736" s="25">
        <f t="shared" si="458"/>
        <v>1</v>
      </c>
      <c r="E1736" s="54"/>
      <c r="F1736" s="9"/>
      <c r="G1736" s="9">
        <v>0</v>
      </c>
      <c r="H1736" s="9">
        <v>0</v>
      </c>
      <c r="I1736" s="9">
        <v>0</v>
      </c>
      <c r="J1736" s="9">
        <v>0</v>
      </c>
      <c r="K1736" s="9">
        <v>0</v>
      </c>
      <c r="L1736" s="9">
        <v>0</v>
      </c>
      <c r="M1736" s="9">
        <v>0</v>
      </c>
      <c r="N1736" s="9">
        <v>0</v>
      </c>
      <c r="O1736" s="9">
        <v>0</v>
      </c>
      <c r="P1736" s="9">
        <v>0</v>
      </c>
      <c r="Q1736" s="9">
        <v>0</v>
      </c>
      <c r="R1736" s="9">
        <v>1</v>
      </c>
      <c r="S1736" s="9">
        <v>0</v>
      </c>
      <c r="T1736" s="9">
        <v>0</v>
      </c>
      <c r="U1736" s="9">
        <v>0</v>
      </c>
      <c r="V1736" s="9">
        <v>0</v>
      </c>
      <c r="W1736" s="9">
        <v>0</v>
      </c>
      <c r="X1736" s="9">
        <v>0</v>
      </c>
      <c r="Y1736" s="9">
        <v>0</v>
      </c>
      <c r="Z1736" s="9">
        <v>0</v>
      </c>
      <c r="AA1736" s="9">
        <v>0</v>
      </c>
      <c r="AB1736" s="9">
        <v>0</v>
      </c>
      <c r="AC1736" s="9">
        <v>0</v>
      </c>
      <c r="AD1736" s="53" t="e">
        <f>#REF!*D1736</f>
        <v>#REF!</v>
      </c>
      <c r="AE1736" s="53" t="e">
        <f>AD1736-#REF!</f>
        <v>#REF!</v>
      </c>
      <c r="AF1736" s="9"/>
      <c r="AG1736" s="33" t="e">
        <f>#REF!-D1736</f>
        <v>#REF!</v>
      </c>
      <c r="AH1736" s="9"/>
      <c r="AI1736" s="9"/>
    </row>
    <row r="1737" spans="1:35" s="12" customFormat="1" ht="20.399999999999999" outlineLevel="1" x14ac:dyDescent="0.2">
      <c r="A1737" s="61" t="s">
        <v>2012</v>
      </c>
      <c r="B1737" s="80" t="s">
        <v>190</v>
      </c>
      <c r="C1737" s="9" t="s">
        <v>47</v>
      </c>
      <c r="D1737" s="25">
        <f t="shared" si="458"/>
        <v>1</v>
      </c>
      <c r="E1737" s="54"/>
      <c r="F1737" s="9"/>
      <c r="G1737" s="9">
        <v>0</v>
      </c>
      <c r="H1737" s="9">
        <v>0</v>
      </c>
      <c r="I1737" s="9">
        <v>0</v>
      </c>
      <c r="J1737" s="9">
        <v>0</v>
      </c>
      <c r="K1737" s="9">
        <v>0</v>
      </c>
      <c r="L1737" s="9">
        <v>0</v>
      </c>
      <c r="M1737" s="9">
        <v>0</v>
      </c>
      <c r="N1737" s="9">
        <v>0</v>
      </c>
      <c r="O1737" s="9">
        <v>0</v>
      </c>
      <c r="P1737" s="9">
        <v>0</v>
      </c>
      <c r="Q1737" s="9">
        <v>0</v>
      </c>
      <c r="R1737" s="9">
        <v>1</v>
      </c>
      <c r="S1737" s="9">
        <v>0</v>
      </c>
      <c r="T1737" s="9">
        <v>0</v>
      </c>
      <c r="U1737" s="9">
        <v>0</v>
      </c>
      <c r="V1737" s="9">
        <v>0</v>
      </c>
      <c r="W1737" s="9">
        <v>0</v>
      </c>
      <c r="X1737" s="9">
        <v>0</v>
      </c>
      <c r="Y1737" s="9">
        <v>0</v>
      </c>
      <c r="Z1737" s="9">
        <v>0</v>
      </c>
      <c r="AA1737" s="9">
        <v>0</v>
      </c>
      <c r="AB1737" s="9">
        <v>0</v>
      </c>
      <c r="AC1737" s="9">
        <v>0</v>
      </c>
      <c r="AD1737" s="53" t="e">
        <f>#REF!*D1737</f>
        <v>#REF!</v>
      </c>
      <c r="AE1737" s="53" t="e">
        <f>AD1737-#REF!</f>
        <v>#REF!</v>
      </c>
      <c r="AF1737" s="9"/>
      <c r="AG1737" s="33" t="e">
        <f>#REF!-D1737</f>
        <v>#REF!</v>
      </c>
      <c r="AH1737" s="9"/>
      <c r="AI1737" s="9"/>
    </row>
    <row r="1738" spans="1:35" s="12" customFormat="1" ht="20.399999999999999" outlineLevel="1" x14ac:dyDescent="0.2">
      <c r="A1738" s="61" t="s">
        <v>2013</v>
      </c>
      <c r="B1738" s="14" t="s">
        <v>115</v>
      </c>
      <c r="C1738" s="9" t="s">
        <v>47</v>
      </c>
      <c r="D1738" s="25">
        <f t="shared" si="458"/>
        <v>1</v>
      </c>
      <c r="E1738" s="54"/>
      <c r="F1738" s="9"/>
      <c r="G1738" s="9">
        <v>0</v>
      </c>
      <c r="H1738" s="9">
        <v>0</v>
      </c>
      <c r="I1738" s="9">
        <v>0</v>
      </c>
      <c r="J1738" s="9">
        <v>0</v>
      </c>
      <c r="K1738" s="9">
        <v>0</v>
      </c>
      <c r="L1738" s="9">
        <v>0</v>
      </c>
      <c r="M1738" s="9">
        <v>0</v>
      </c>
      <c r="N1738" s="9">
        <v>0</v>
      </c>
      <c r="O1738" s="9">
        <v>0</v>
      </c>
      <c r="P1738" s="9">
        <v>0</v>
      </c>
      <c r="Q1738" s="9">
        <v>0</v>
      </c>
      <c r="R1738" s="9">
        <v>1</v>
      </c>
      <c r="S1738" s="9">
        <v>0</v>
      </c>
      <c r="T1738" s="9">
        <v>0</v>
      </c>
      <c r="U1738" s="9">
        <v>0</v>
      </c>
      <c r="V1738" s="9">
        <v>0</v>
      </c>
      <c r="W1738" s="9">
        <v>0</v>
      </c>
      <c r="X1738" s="9">
        <v>0</v>
      </c>
      <c r="Y1738" s="9">
        <v>0</v>
      </c>
      <c r="Z1738" s="9">
        <v>0</v>
      </c>
      <c r="AA1738" s="9">
        <v>0</v>
      </c>
      <c r="AB1738" s="9">
        <v>0</v>
      </c>
      <c r="AC1738" s="9">
        <v>0</v>
      </c>
      <c r="AD1738" s="53" t="e">
        <f>#REF!*D1738</f>
        <v>#REF!</v>
      </c>
      <c r="AE1738" s="53" t="e">
        <f>AD1738-#REF!</f>
        <v>#REF!</v>
      </c>
      <c r="AF1738" s="9"/>
      <c r="AG1738" s="33" t="e">
        <f>#REF!-D1738</f>
        <v>#REF!</v>
      </c>
      <c r="AH1738" s="9"/>
      <c r="AI1738" s="9"/>
    </row>
    <row r="1739" spans="1:35" s="17" customFormat="1" ht="20.399999999999999" outlineLevel="1" x14ac:dyDescent="0.2">
      <c r="A1739" s="61" t="s">
        <v>2014</v>
      </c>
      <c r="B1739" s="14" t="s">
        <v>104</v>
      </c>
      <c r="C1739" s="8" t="s">
        <v>0</v>
      </c>
      <c r="D1739" s="25">
        <f t="shared" si="458"/>
        <v>77</v>
      </c>
      <c r="E1739" s="54"/>
      <c r="F1739" s="9"/>
      <c r="G1739" s="9">
        <v>0</v>
      </c>
      <c r="H1739" s="9">
        <v>0</v>
      </c>
      <c r="I1739" s="9">
        <v>0</v>
      </c>
      <c r="J1739" s="9">
        <v>0</v>
      </c>
      <c r="K1739" s="9">
        <v>0</v>
      </c>
      <c r="L1739" s="9">
        <v>0</v>
      </c>
      <c r="M1739" s="9">
        <v>0</v>
      </c>
      <c r="N1739" s="9">
        <v>0</v>
      </c>
      <c r="O1739" s="9">
        <v>0</v>
      </c>
      <c r="P1739" s="9">
        <v>0</v>
      </c>
      <c r="Q1739" s="9">
        <v>0</v>
      </c>
      <c r="R1739" s="9">
        <v>5</v>
      </c>
      <c r="S1739" s="9">
        <v>0</v>
      </c>
      <c r="T1739" s="9">
        <v>50</v>
      </c>
      <c r="U1739" s="9">
        <v>3</v>
      </c>
      <c r="V1739" s="9">
        <v>4</v>
      </c>
      <c r="W1739" s="9">
        <v>4</v>
      </c>
      <c r="X1739" s="9">
        <v>2</v>
      </c>
      <c r="Y1739" s="9">
        <v>3</v>
      </c>
      <c r="Z1739" s="9">
        <v>2</v>
      </c>
      <c r="AA1739" s="9">
        <v>2</v>
      </c>
      <c r="AB1739" s="9">
        <v>2</v>
      </c>
      <c r="AC1739" s="9">
        <v>0</v>
      </c>
      <c r="AD1739" s="53" t="e">
        <f>#REF!*D1739</f>
        <v>#REF!</v>
      </c>
      <c r="AE1739" s="53" t="e">
        <f>AD1739-#REF!</f>
        <v>#REF!</v>
      </c>
      <c r="AF1739" s="8"/>
      <c r="AG1739" s="33" t="e">
        <f>#REF!-D1739</f>
        <v>#REF!</v>
      </c>
      <c r="AH1739" s="8"/>
      <c r="AI1739" s="8"/>
    </row>
    <row r="1740" spans="1:35" s="17" customFormat="1" ht="10.199999999999999" outlineLevel="1" x14ac:dyDescent="0.2">
      <c r="A1740" s="61" t="s">
        <v>2015</v>
      </c>
      <c r="B1740" s="11" t="s">
        <v>105</v>
      </c>
      <c r="C1740" s="8" t="s">
        <v>50</v>
      </c>
      <c r="D1740" s="25">
        <f t="shared" si="458"/>
        <v>77</v>
      </c>
      <c r="E1740" s="54"/>
      <c r="F1740" s="9"/>
      <c r="G1740" s="9">
        <v>0</v>
      </c>
      <c r="H1740" s="9">
        <v>0</v>
      </c>
      <c r="I1740" s="9">
        <v>0</v>
      </c>
      <c r="J1740" s="9">
        <v>0</v>
      </c>
      <c r="K1740" s="9">
        <v>0</v>
      </c>
      <c r="L1740" s="9">
        <v>0</v>
      </c>
      <c r="M1740" s="9">
        <v>0</v>
      </c>
      <c r="N1740" s="9">
        <v>0</v>
      </c>
      <c r="O1740" s="9">
        <v>0</v>
      </c>
      <c r="P1740" s="9">
        <v>0</v>
      </c>
      <c r="Q1740" s="9">
        <v>0</v>
      </c>
      <c r="R1740" s="9">
        <v>5</v>
      </c>
      <c r="S1740" s="9">
        <v>0</v>
      </c>
      <c r="T1740" s="9">
        <v>50</v>
      </c>
      <c r="U1740" s="9">
        <v>3</v>
      </c>
      <c r="V1740" s="9">
        <v>4</v>
      </c>
      <c r="W1740" s="9">
        <v>4</v>
      </c>
      <c r="X1740" s="9">
        <v>2</v>
      </c>
      <c r="Y1740" s="9">
        <v>3</v>
      </c>
      <c r="Z1740" s="9">
        <v>2</v>
      </c>
      <c r="AA1740" s="9">
        <v>2</v>
      </c>
      <c r="AB1740" s="9">
        <v>2</v>
      </c>
      <c r="AC1740" s="9">
        <v>0</v>
      </c>
      <c r="AD1740" s="53" t="e">
        <f>#REF!*D1740</f>
        <v>#REF!</v>
      </c>
      <c r="AE1740" s="53" t="e">
        <f>AD1740-#REF!</f>
        <v>#REF!</v>
      </c>
      <c r="AF1740" s="8"/>
      <c r="AG1740" s="33" t="e">
        <f>#REF!-D1740</f>
        <v>#REF!</v>
      </c>
      <c r="AH1740" s="8"/>
      <c r="AI1740" s="8"/>
    </row>
    <row r="1741" spans="1:35" s="17" customFormat="1" ht="11.4" outlineLevel="1" x14ac:dyDescent="0.2">
      <c r="A1741" s="61" t="s">
        <v>2016</v>
      </c>
      <c r="B1741" s="11" t="s">
        <v>108</v>
      </c>
      <c r="C1741" s="8" t="s">
        <v>47</v>
      </c>
      <c r="D1741" s="25">
        <f t="shared" si="458"/>
        <v>37</v>
      </c>
      <c r="E1741" s="54"/>
      <c r="F1741" s="9"/>
      <c r="G1741" s="9">
        <v>0</v>
      </c>
      <c r="H1741" s="9">
        <v>0</v>
      </c>
      <c r="I1741" s="9">
        <v>0</v>
      </c>
      <c r="J1741" s="9">
        <v>0</v>
      </c>
      <c r="K1741" s="9">
        <v>0</v>
      </c>
      <c r="L1741" s="9">
        <v>0</v>
      </c>
      <c r="M1741" s="9">
        <v>0</v>
      </c>
      <c r="N1741" s="9">
        <v>0</v>
      </c>
      <c r="O1741" s="9">
        <v>0</v>
      </c>
      <c r="P1741" s="9">
        <v>0</v>
      </c>
      <c r="Q1741" s="9">
        <v>0</v>
      </c>
      <c r="R1741" s="9">
        <v>0</v>
      </c>
      <c r="S1741" s="9">
        <v>0</v>
      </c>
      <c r="T1741" s="9">
        <v>15</v>
      </c>
      <c r="U1741" s="9">
        <v>3</v>
      </c>
      <c r="V1741" s="9">
        <v>4</v>
      </c>
      <c r="W1741" s="9">
        <v>4</v>
      </c>
      <c r="X1741" s="9">
        <v>2</v>
      </c>
      <c r="Y1741" s="9">
        <v>3</v>
      </c>
      <c r="Z1741" s="9">
        <v>2</v>
      </c>
      <c r="AA1741" s="9">
        <v>2</v>
      </c>
      <c r="AB1741" s="9">
        <v>2</v>
      </c>
      <c r="AC1741" s="9">
        <v>0</v>
      </c>
      <c r="AD1741" s="53" t="e">
        <f>#REF!*D1741</f>
        <v>#REF!</v>
      </c>
      <c r="AE1741" s="53" t="e">
        <f>AD1741-#REF!</f>
        <v>#REF!</v>
      </c>
      <c r="AF1741" s="8"/>
      <c r="AG1741" s="33" t="e">
        <f>#REF!-D1741</f>
        <v>#REF!</v>
      </c>
      <c r="AH1741" s="8"/>
      <c r="AI1741" s="8"/>
    </row>
    <row r="1742" spans="1:35" s="17" customFormat="1" ht="10.199999999999999" outlineLevel="1" x14ac:dyDescent="0.2">
      <c r="A1742" s="61" t="s">
        <v>2017</v>
      </c>
      <c r="B1742" s="11" t="s">
        <v>107</v>
      </c>
      <c r="C1742" s="8" t="s">
        <v>47</v>
      </c>
      <c r="D1742" s="25">
        <f t="shared" si="458"/>
        <v>32</v>
      </c>
      <c r="E1742" s="54"/>
      <c r="F1742" s="9"/>
      <c r="G1742" s="9">
        <v>0</v>
      </c>
      <c r="H1742" s="9">
        <v>0</v>
      </c>
      <c r="I1742" s="9">
        <v>0</v>
      </c>
      <c r="J1742" s="9">
        <v>0</v>
      </c>
      <c r="K1742" s="9">
        <v>0</v>
      </c>
      <c r="L1742" s="9">
        <v>0</v>
      </c>
      <c r="M1742" s="9">
        <v>0</v>
      </c>
      <c r="N1742" s="9">
        <v>0</v>
      </c>
      <c r="O1742" s="9">
        <v>0</v>
      </c>
      <c r="P1742" s="9">
        <v>0</v>
      </c>
      <c r="Q1742" s="9">
        <v>0</v>
      </c>
      <c r="R1742" s="9">
        <v>0</v>
      </c>
      <c r="S1742" s="9">
        <v>0</v>
      </c>
      <c r="T1742" s="9">
        <v>10</v>
      </c>
      <c r="U1742" s="9">
        <v>3</v>
      </c>
      <c r="V1742" s="9">
        <v>4</v>
      </c>
      <c r="W1742" s="9">
        <v>4</v>
      </c>
      <c r="X1742" s="9">
        <v>2</v>
      </c>
      <c r="Y1742" s="9">
        <v>3</v>
      </c>
      <c r="Z1742" s="9">
        <v>2</v>
      </c>
      <c r="AA1742" s="9">
        <v>2</v>
      </c>
      <c r="AB1742" s="9">
        <v>2</v>
      </c>
      <c r="AC1742" s="9">
        <v>0</v>
      </c>
      <c r="AD1742" s="53" t="e">
        <f>#REF!*D1742</f>
        <v>#REF!</v>
      </c>
      <c r="AE1742" s="53" t="e">
        <f>AD1742-#REF!</f>
        <v>#REF!</v>
      </c>
      <c r="AF1742" s="8"/>
      <c r="AG1742" s="33" t="e">
        <f>#REF!-D1742</f>
        <v>#REF!</v>
      </c>
      <c r="AH1742" s="8"/>
      <c r="AI1742" s="8"/>
    </row>
    <row r="1743" spans="1:35" s="17" customFormat="1" ht="10.199999999999999" outlineLevel="1" x14ac:dyDescent="0.2">
      <c r="A1743" s="61" t="s">
        <v>2018</v>
      </c>
      <c r="B1743" s="11" t="s">
        <v>109</v>
      </c>
      <c r="C1743" s="8" t="s">
        <v>47</v>
      </c>
      <c r="D1743" s="25">
        <f t="shared" si="458"/>
        <v>27</v>
      </c>
      <c r="E1743" s="54"/>
      <c r="F1743" s="9"/>
      <c r="G1743" s="9">
        <v>0</v>
      </c>
      <c r="H1743" s="9">
        <v>0</v>
      </c>
      <c r="I1743" s="9">
        <v>0</v>
      </c>
      <c r="J1743" s="9">
        <v>0</v>
      </c>
      <c r="K1743" s="9">
        <v>0</v>
      </c>
      <c r="L1743" s="9">
        <v>0</v>
      </c>
      <c r="M1743" s="9">
        <v>0</v>
      </c>
      <c r="N1743" s="9">
        <v>0</v>
      </c>
      <c r="O1743" s="9">
        <v>0</v>
      </c>
      <c r="P1743" s="9">
        <v>0</v>
      </c>
      <c r="Q1743" s="9">
        <v>0</v>
      </c>
      <c r="R1743" s="9">
        <v>0</v>
      </c>
      <c r="S1743" s="9">
        <v>0</v>
      </c>
      <c r="T1743" s="9">
        <v>5</v>
      </c>
      <c r="U1743" s="9">
        <v>3</v>
      </c>
      <c r="V1743" s="9">
        <v>4</v>
      </c>
      <c r="W1743" s="9">
        <v>4</v>
      </c>
      <c r="X1743" s="9">
        <v>2</v>
      </c>
      <c r="Y1743" s="9">
        <v>3</v>
      </c>
      <c r="Z1743" s="9">
        <v>2</v>
      </c>
      <c r="AA1743" s="9">
        <v>2</v>
      </c>
      <c r="AB1743" s="9">
        <v>2</v>
      </c>
      <c r="AC1743" s="9">
        <v>0</v>
      </c>
      <c r="AD1743" s="53" t="e">
        <f>#REF!*D1743</f>
        <v>#REF!</v>
      </c>
      <c r="AE1743" s="53" t="e">
        <f>AD1743-#REF!</f>
        <v>#REF!</v>
      </c>
      <c r="AF1743" s="8"/>
      <c r="AG1743" s="33" t="e">
        <f>#REF!-D1743</f>
        <v>#REF!</v>
      </c>
      <c r="AH1743" s="8"/>
      <c r="AI1743" s="8"/>
    </row>
    <row r="1744" spans="1:35" s="17" customFormat="1" ht="10.199999999999999" outlineLevel="1" x14ac:dyDescent="0.2">
      <c r="A1744" s="61" t="s">
        <v>2019</v>
      </c>
      <c r="B1744" s="11" t="s">
        <v>327</v>
      </c>
      <c r="C1744" s="8" t="s">
        <v>1</v>
      </c>
      <c r="D1744" s="25">
        <f t="shared" si="458"/>
        <v>37</v>
      </c>
      <c r="E1744" s="54"/>
      <c r="F1744" s="9"/>
      <c r="G1744" s="9">
        <v>0</v>
      </c>
      <c r="H1744" s="9">
        <v>0</v>
      </c>
      <c r="I1744" s="9">
        <v>0</v>
      </c>
      <c r="J1744" s="9">
        <v>0</v>
      </c>
      <c r="K1744" s="9">
        <v>0</v>
      </c>
      <c r="L1744" s="9">
        <v>0</v>
      </c>
      <c r="M1744" s="9">
        <v>0</v>
      </c>
      <c r="N1744" s="9">
        <v>0</v>
      </c>
      <c r="O1744" s="9">
        <v>0</v>
      </c>
      <c r="P1744" s="9">
        <v>0</v>
      </c>
      <c r="Q1744" s="9">
        <v>0</v>
      </c>
      <c r="R1744" s="9">
        <v>0</v>
      </c>
      <c r="S1744" s="9">
        <v>0</v>
      </c>
      <c r="T1744" s="9">
        <v>15</v>
      </c>
      <c r="U1744" s="9">
        <v>3</v>
      </c>
      <c r="V1744" s="9">
        <v>4</v>
      </c>
      <c r="W1744" s="9">
        <v>4</v>
      </c>
      <c r="X1744" s="9">
        <v>2</v>
      </c>
      <c r="Y1744" s="9">
        <v>3</v>
      </c>
      <c r="Z1744" s="9">
        <v>2</v>
      </c>
      <c r="AA1744" s="9">
        <v>2</v>
      </c>
      <c r="AB1744" s="9">
        <v>2</v>
      </c>
      <c r="AC1744" s="9">
        <v>0</v>
      </c>
      <c r="AD1744" s="53" t="e">
        <f>#REF!*D1744</f>
        <v>#REF!</v>
      </c>
      <c r="AE1744" s="53" t="e">
        <f>AD1744-#REF!</f>
        <v>#REF!</v>
      </c>
      <c r="AF1744" s="8"/>
      <c r="AG1744" s="33" t="e">
        <f>#REF!-D1744</f>
        <v>#REF!</v>
      </c>
      <c r="AH1744" s="8"/>
      <c r="AI1744" s="8"/>
    </row>
    <row r="1745" spans="1:35" s="17" customFormat="1" ht="10.199999999999999" outlineLevel="1" x14ac:dyDescent="0.2">
      <c r="A1745" s="61" t="s">
        <v>2020</v>
      </c>
      <c r="B1745" s="11" t="s">
        <v>142</v>
      </c>
      <c r="C1745" s="8" t="s">
        <v>55</v>
      </c>
      <c r="D1745" s="25">
        <f t="shared" si="458"/>
        <v>31</v>
      </c>
      <c r="E1745" s="54"/>
      <c r="F1745" s="9"/>
      <c r="G1745" s="9">
        <v>10</v>
      </c>
      <c r="H1745" s="9">
        <v>7</v>
      </c>
      <c r="I1745" s="9">
        <v>0</v>
      </c>
      <c r="J1745" s="9">
        <v>0</v>
      </c>
      <c r="K1745" s="9">
        <v>0</v>
      </c>
      <c r="L1745" s="9">
        <v>0</v>
      </c>
      <c r="M1745" s="9">
        <v>0</v>
      </c>
      <c r="N1745" s="9">
        <v>0</v>
      </c>
      <c r="O1745" s="9">
        <v>0</v>
      </c>
      <c r="P1745" s="9">
        <v>0</v>
      </c>
      <c r="Q1745" s="9">
        <v>0</v>
      </c>
      <c r="R1745" s="9">
        <v>0</v>
      </c>
      <c r="S1745" s="9">
        <v>0</v>
      </c>
      <c r="T1745" s="9">
        <v>0</v>
      </c>
      <c r="U1745" s="9">
        <v>14</v>
      </c>
      <c r="V1745" s="9">
        <v>0</v>
      </c>
      <c r="W1745" s="9">
        <v>0</v>
      </c>
      <c r="X1745" s="9">
        <v>0</v>
      </c>
      <c r="Y1745" s="9">
        <v>0</v>
      </c>
      <c r="Z1745" s="9">
        <v>0</v>
      </c>
      <c r="AA1745" s="9">
        <v>0</v>
      </c>
      <c r="AB1745" s="9">
        <v>0</v>
      </c>
      <c r="AC1745" s="9">
        <v>0</v>
      </c>
      <c r="AD1745" s="53" t="e">
        <f>#REF!*D1745</f>
        <v>#REF!</v>
      </c>
      <c r="AE1745" s="53" t="e">
        <f>AD1745-#REF!</f>
        <v>#REF!</v>
      </c>
      <c r="AF1745" s="8"/>
      <c r="AG1745" s="33" t="e">
        <f>#REF!-D1745</f>
        <v>#REF!</v>
      </c>
      <c r="AH1745" s="8"/>
      <c r="AI1745" s="8"/>
    </row>
    <row r="1746" spans="1:35" s="17" customFormat="1" ht="12" customHeight="1" outlineLevel="1" x14ac:dyDescent="0.2">
      <c r="A1746" s="61" t="s">
        <v>2021</v>
      </c>
      <c r="B1746" s="11" t="s">
        <v>2</v>
      </c>
      <c r="C1746" s="8" t="s">
        <v>3</v>
      </c>
      <c r="D1746" s="25">
        <f t="shared" si="458"/>
        <v>11</v>
      </c>
      <c r="E1746" s="54"/>
      <c r="F1746" s="9"/>
      <c r="G1746" s="9">
        <v>0</v>
      </c>
      <c r="H1746" s="9">
        <v>0</v>
      </c>
      <c r="I1746" s="9">
        <v>0</v>
      </c>
      <c r="J1746" s="9">
        <v>0</v>
      </c>
      <c r="K1746" s="9">
        <v>0</v>
      </c>
      <c r="L1746" s="9">
        <v>0</v>
      </c>
      <c r="M1746" s="9">
        <v>0</v>
      </c>
      <c r="N1746" s="9">
        <v>0</v>
      </c>
      <c r="O1746" s="9">
        <v>0</v>
      </c>
      <c r="P1746" s="9">
        <v>0</v>
      </c>
      <c r="Q1746" s="9">
        <v>0</v>
      </c>
      <c r="R1746" s="9">
        <v>0</v>
      </c>
      <c r="S1746" s="9">
        <v>0</v>
      </c>
      <c r="T1746" s="9">
        <v>3</v>
      </c>
      <c r="U1746" s="9">
        <v>1</v>
      </c>
      <c r="V1746" s="9">
        <v>1</v>
      </c>
      <c r="W1746" s="9">
        <v>1</v>
      </c>
      <c r="X1746" s="9">
        <v>1</v>
      </c>
      <c r="Y1746" s="9">
        <v>1</v>
      </c>
      <c r="Z1746" s="9">
        <v>1</v>
      </c>
      <c r="AA1746" s="9">
        <v>1</v>
      </c>
      <c r="AB1746" s="9">
        <v>1</v>
      </c>
      <c r="AC1746" s="9">
        <v>0</v>
      </c>
      <c r="AD1746" s="53" t="e">
        <f>#REF!*D1746</f>
        <v>#REF!</v>
      </c>
      <c r="AE1746" s="53" t="e">
        <f>AD1746-#REF!</f>
        <v>#REF!</v>
      </c>
      <c r="AF1746" s="8"/>
      <c r="AG1746" s="33" t="e">
        <f>#REF!-D1746</f>
        <v>#REF!</v>
      </c>
      <c r="AH1746" s="8"/>
      <c r="AI1746" s="8"/>
    </row>
    <row r="1747" spans="1:35" s="17" customFormat="1" ht="12" customHeight="1" outlineLevel="1" x14ac:dyDescent="0.2">
      <c r="A1747" s="61" t="s">
        <v>2022</v>
      </c>
      <c r="B1747" s="11" t="s">
        <v>4</v>
      </c>
      <c r="C1747" s="8" t="s">
        <v>3</v>
      </c>
      <c r="D1747" s="25">
        <f t="shared" si="458"/>
        <v>11</v>
      </c>
      <c r="E1747" s="54"/>
      <c r="F1747" s="9"/>
      <c r="G1747" s="9">
        <v>0</v>
      </c>
      <c r="H1747" s="9">
        <v>0</v>
      </c>
      <c r="I1747" s="9">
        <v>0</v>
      </c>
      <c r="J1747" s="9">
        <v>0</v>
      </c>
      <c r="K1747" s="9">
        <v>0</v>
      </c>
      <c r="L1747" s="9">
        <v>0</v>
      </c>
      <c r="M1747" s="9">
        <v>0</v>
      </c>
      <c r="N1747" s="9">
        <v>0</v>
      </c>
      <c r="O1747" s="9">
        <v>0</v>
      </c>
      <c r="P1747" s="9">
        <v>0</v>
      </c>
      <c r="Q1747" s="9">
        <v>0</v>
      </c>
      <c r="R1747" s="9">
        <v>0</v>
      </c>
      <c r="S1747" s="9">
        <v>0</v>
      </c>
      <c r="T1747" s="9">
        <v>3</v>
      </c>
      <c r="U1747" s="9">
        <v>1</v>
      </c>
      <c r="V1747" s="9">
        <v>1</v>
      </c>
      <c r="W1747" s="9">
        <v>1</v>
      </c>
      <c r="X1747" s="9">
        <v>1</v>
      </c>
      <c r="Y1747" s="9">
        <v>1</v>
      </c>
      <c r="Z1747" s="9">
        <v>1</v>
      </c>
      <c r="AA1747" s="9">
        <v>1</v>
      </c>
      <c r="AB1747" s="9">
        <v>1</v>
      </c>
      <c r="AC1747" s="9">
        <v>0</v>
      </c>
      <c r="AD1747" s="53" t="e">
        <f>#REF!*D1747</f>
        <v>#REF!</v>
      </c>
      <c r="AE1747" s="53" t="e">
        <f>AD1747-#REF!</f>
        <v>#REF!</v>
      </c>
      <c r="AF1747" s="8"/>
      <c r="AG1747" s="33" t="e">
        <f>#REF!-D1747</f>
        <v>#REF!</v>
      </c>
      <c r="AH1747" s="8"/>
      <c r="AI1747" s="8"/>
    </row>
    <row r="1748" spans="1:35" s="17" customFormat="1" ht="12" customHeight="1" outlineLevel="1" x14ac:dyDescent="0.2">
      <c r="A1748" s="61" t="s">
        <v>2023</v>
      </c>
      <c r="B1748" s="11" t="s">
        <v>5</v>
      </c>
      <c r="C1748" s="8" t="s">
        <v>3</v>
      </c>
      <c r="D1748" s="25">
        <f t="shared" si="458"/>
        <v>10</v>
      </c>
      <c r="E1748" s="54"/>
      <c r="F1748" s="9"/>
      <c r="G1748" s="9">
        <v>0</v>
      </c>
      <c r="H1748" s="9">
        <v>0</v>
      </c>
      <c r="I1748" s="9">
        <v>0</v>
      </c>
      <c r="J1748" s="9">
        <v>0</v>
      </c>
      <c r="K1748" s="9">
        <v>0</v>
      </c>
      <c r="L1748" s="9">
        <v>0</v>
      </c>
      <c r="M1748" s="9">
        <v>0</v>
      </c>
      <c r="N1748" s="9">
        <v>0</v>
      </c>
      <c r="O1748" s="9">
        <v>0</v>
      </c>
      <c r="P1748" s="9">
        <v>0</v>
      </c>
      <c r="Q1748" s="9">
        <v>0</v>
      </c>
      <c r="R1748" s="9">
        <v>0</v>
      </c>
      <c r="S1748" s="9">
        <v>0</v>
      </c>
      <c r="T1748" s="9">
        <v>2</v>
      </c>
      <c r="U1748" s="9">
        <v>1</v>
      </c>
      <c r="V1748" s="9">
        <v>1</v>
      </c>
      <c r="W1748" s="9">
        <v>1</v>
      </c>
      <c r="X1748" s="9">
        <v>1</v>
      </c>
      <c r="Y1748" s="9">
        <v>1</v>
      </c>
      <c r="Z1748" s="9">
        <v>1</v>
      </c>
      <c r="AA1748" s="9">
        <v>1</v>
      </c>
      <c r="AB1748" s="9">
        <v>1</v>
      </c>
      <c r="AC1748" s="9">
        <v>0</v>
      </c>
      <c r="AD1748" s="53" t="e">
        <f>#REF!*D1748</f>
        <v>#REF!</v>
      </c>
      <c r="AE1748" s="53" t="e">
        <f>AD1748-#REF!</f>
        <v>#REF!</v>
      </c>
      <c r="AF1748" s="8"/>
      <c r="AG1748" s="33" t="e">
        <f>#REF!-D1748</f>
        <v>#REF!</v>
      </c>
      <c r="AH1748" s="8"/>
      <c r="AI1748" s="8"/>
    </row>
    <row r="1749" spans="1:35" s="17" customFormat="1" ht="20.399999999999999" outlineLevel="1" x14ac:dyDescent="0.2">
      <c r="A1749" s="61" t="s">
        <v>2024</v>
      </c>
      <c r="B1749" s="14" t="s">
        <v>69</v>
      </c>
      <c r="C1749" s="8" t="s">
        <v>47</v>
      </c>
      <c r="D1749" s="25">
        <f t="shared" si="458"/>
        <v>700</v>
      </c>
      <c r="E1749" s="54"/>
      <c r="F1749" s="9"/>
      <c r="G1749" s="9">
        <v>0</v>
      </c>
      <c r="H1749" s="9">
        <f>80-25</f>
        <v>55</v>
      </c>
      <c r="I1749" s="9">
        <v>60</v>
      </c>
      <c r="J1749" s="9">
        <f>110-20</f>
        <v>90</v>
      </c>
      <c r="K1749" s="9">
        <f>105-15</f>
        <v>90</v>
      </c>
      <c r="L1749" s="9">
        <v>50</v>
      </c>
      <c r="M1749" s="9">
        <v>35</v>
      </c>
      <c r="N1749" s="9">
        <v>35</v>
      </c>
      <c r="O1749" s="9">
        <v>35</v>
      </c>
      <c r="P1749" s="9">
        <v>35</v>
      </c>
      <c r="Q1749" s="9">
        <v>0</v>
      </c>
      <c r="R1749" s="9">
        <v>0</v>
      </c>
      <c r="S1749" s="9">
        <v>0</v>
      </c>
      <c r="T1749" s="9">
        <v>0</v>
      </c>
      <c r="U1749" s="9">
        <v>25</v>
      </c>
      <c r="V1749" s="9">
        <v>40</v>
      </c>
      <c r="W1749" s="9">
        <v>35</v>
      </c>
      <c r="X1749" s="9">
        <v>20</v>
      </c>
      <c r="Y1749" s="9">
        <v>20</v>
      </c>
      <c r="Z1749" s="9">
        <v>20</v>
      </c>
      <c r="AA1749" s="9">
        <v>30</v>
      </c>
      <c r="AB1749" s="9">
        <v>25</v>
      </c>
      <c r="AC1749" s="9">
        <v>0</v>
      </c>
      <c r="AD1749" s="53" t="e">
        <f>#REF!*D1749</f>
        <v>#REF!</v>
      </c>
      <c r="AE1749" s="53" t="e">
        <f>AD1749-#REF!</f>
        <v>#REF!</v>
      </c>
      <c r="AF1749" s="8"/>
      <c r="AG1749" s="33" t="e">
        <f>#REF!-D1749</f>
        <v>#REF!</v>
      </c>
      <c r="AH1749" s="8"/>
      <c r="AI1749" s="8"/>
    </row>
    <row r="1750" spans="1:35" s="17" customFormat="1" ht="20.399999999999999" outlineLevel="1" x14ac:dyDescent="0.2">
      <c r="A1750" s="61" t="s">
        <v>2025</v>
      </c>
      <c r="B1750" s="14" t="s">
        <v>111</v>
      </c>
      <c r="C1750" s="8" t="s">
        <v>48</v>
      </c>
      <c r="D1750" s="25">
        <f t="shared" si="458"/>
        <v>534</v>
      </c>
      <c r="E1750" s="54"/>
      <c r="F1750" s="9"/>
      <c r="G1750" s="49">
        <f t="shared" ref="G1750:AC1750" si="461">MROUND(G1749*0.75,3)</f>
        <v>0</v>
      </c>
      <c r="H1750" s="49">
        <f t="shared" si="461"/>
        <v>42</v>
      </c>
      <c r="I1750" s="49">
        <f t="shared" si="461"/>
        <v>45</v>
      </c>
      <c r="J1750" s="49">
        <f t="shared" si="461"/>
        <v>69</v>
      </c>
      <c r="K1750" s="49">
        <f t="shared" si="461"/>
        <v>69</v>
      </c>
      <c r="L1750" s="49">
        <f t="shared" si="461"/>
        <v>39</v>
      </c>
      <c r="M1750" s="49">
        <f t="shared" si="461"/>
        <v>27</v>
      </c>
      <c r="N1750" s="49">
        <f t="shared" si="461"/>
        <v>27</v>
      </c>
      <c r="O1750" s="49">
        <f t="shared" si="461"/>
        <v>27</v>
      </c>
      <c r="P1750" s="49">
        <f t="shared" si="461"/>
        <v>27</v>
      </c>
      <c r="Q1750" s="49">
        <f t="shared" si="461"/>
        <v>0</v>
      </c>
      <c r="R1750" s="49">
        <f t="shared" si="461"/>
        <v>0</v>
      </c>
      <c r="S1750" s="49">
        <f t="shared" si="461"/>
        <v>0</v>
      </c>
      <c r="T1750" s="49">
        <f t="shared" si="461"/>
        <v>0</v>
      </c>
      <c r="U1750" s="49">
        <f t="shared" si="461"/>
        <v>18</v>
      </c>
      <c r="V1750" s="49">
        <f t="shared" si="461"/>
        <v>30</v>
      </c>
      <c r="W1750" s="49">
        <f t="shared" si="461"/>
        <v>27</v>
      </c>
      <c r="X1750" s="49">
        <f t="shared" si="461"/>
        <v>15</v>
      </c>
      <c r="Y1750" s="49">
        <f t="shared" si="461"/>
        <v>15</v>
      </c>
      <c r="Z1750" s="49">
        <f t="shared" si="461"/>
        <v>15</v>
      </c>
      <c r="AA1750" s="49">
        <f t="shared" si="461"/>
        <v>24</v>
      </c>
      <c r="AB1750" s="49">
        <f t="shared" si="461"/>
        <v>18</v>
      </c>
      <c r="AC1750" s="49">
        <f t="shared" si="461"/>
        <v>0</v>
      </c>
      <c r="AD1750" s="53" t="e">
        <f>#REF!*D1750</f>
        <v>#REF!</v>
      </c>
      <c r="AE1750" s="53" t="e">
        <f>AD1750-#REF!</f>
        <v>#REF!</v>
      </c>
      <c r="AF1750" s="8"/>
      <c r="AG1750" s="33" t="e">
        <f>#REF!-D1750</f>
        <v>#REF!</v>
      </c>
      <c r="AH1750" s="8"/>
      <c r="AI1750" s="8"/>
    </row>
    <row r="1751" spans="1:35" s="17" customFormat="1" ht="20.399999999999999" outlineLevel="1" x14ac:dyDescent="0.2">
      <c r="A1751" s="61" t="s">
        <v>2026</v>
      </c>
      <c r="B1751" s="14" t="s">
        <v>112</v>
      </c>
      <c r="C1751" s="8" t="s">
        <v>47</v>
      </c>
      <c r="D1751" s="25">
        <f t="shared" si="458"/>
        <v>1400</v>
      </c>
      <c r="E1751" s="54"/>
      <c r="F1751" s="9"/>
      <c r="G1751" s="49">
        <f t="shared" ref="G1751:AC1751" si="462">G1749*2</f>
        <v>0</v>
      </c>
      <c r="H1751" s="49">
        <f t="shared" si="462"/>
        <v>110</v>
      </c>
      <c r="I1751" s="49">
        <f t="shared" si="462"/>
        <v>120</v>
      </c>
      <c r="J1751" s="49">
        <f t="shared" si="462"/>
        <v>180</v>
      </c>
      <c r="K1751" s="49">
        <f t="shared" si="462"/>
        <v>180</v>
      </c>
      <c r="L1751" s="49">
        <f t="shared" si="462"/>
        <v>100</v>
      </c>
      <c r="M1751" s="49">
        <f t="shared" si="462"/>
        <v>70</v>
      </c>
      <c r="N1751" s="49">
        <f t="shared" si="462"/>
        <v>70</v>
      </c>
      <c r="O1751" s="49">
        <f t="shared" si="462"/>
        <v>70</v>
      </c>
      <c r="P1751" s="49">
        <f t="shared" si="462"/>
        <v>70</v>
      </c>
      <c r="Q1751" s="49">
        <f t="shared" si="462"/>
        <v>0</v>
      </c>
      <c r="R1751" s="49">
        <f t="shared" si="462"/>
        <v>0</v>
      </c>
      <c r="S1751" s="49">
        <f t="shared" si="462"/>
        <v>0</v>
      </c>
      <c r="T1751" s="49">
        <f t="shared" si="462"/>
        <v>0</v>
      </c>
      <c r="U1751" s="49">
        <f t="shared" si="462"/>
        <v>50</v>
      </c>
      <c r="V1751" s="49">
        <f t="shared" si="462"/>
        <v>80</v>
      </c>
      <c r="W1751" s="49">
        <f t="shared" si="462"/>
        <v>70</v>
      </c>
      <c r="X1751" s="49">
        <f t="shared" si="462"/>
        <v>40</v>
      </c>
      <c r="Y1751" s="49">
        <f t="shared" si="462"/>
        <v>40</v>
      </c>
      <c r="Z1751" s="49">
        <f t="shared" si="462"/>
        <v>40</v>
      </c>
      <c r="AA1751" s="49">
        <f t="shared" si="462"/>
        <v>60</v>
      </c>
      <c r="AB1751" s="49">
        <f t="shared" si="462"/>
        <v>50</v>
      </c>
      <c r="AC1751" s="49">
        <f t="shared" si="462"/>
        <v>0</v>
      </c>
      <c r="AD1751" s="53" t="e">
        <f>#REF!*D1751</f>
        <v>#REF!</v>
      </c>
      <c r="AE1751" s="53" t="e">
        <f>AD1751-#REF!</f>
        <v>#REF!</v>
      </c>
      <c r="AF1751" s="8"/>
      <c r="AG1751" s="33" t="e">
        <f>#REF!-D1751</f>
        <v>#REF!</v>
      </c>
      <c r="AH1751" s="8"/>
      <c r="AI1751" s="8"/>
    </row>
    <row r="1752" spans="1:35" s="17" customFormat="1" ht="20.399999999999999" outlineLevel="1" x14ac:dyDescent="0.2">
      <c r="A1752" s="61" t="s">
        <v>2027</v>
      </c>
      <c r="B1752" s="14" t="s">
        <v>1032</v>
      </c>
      <c r="C1752" s="8" t="s">
        <v>47</v>
      </c>
      <c r="D1752" s="25">
        <f t="shared" si="458"/>
        <v>700</v>
      </c>
      <c r="E1752" s="54"/>
      <c r="F1752" s="9"/>
      <c r="G1752" s="49">
        <f t="shared" ref="G1752:AC1752" si="463">G1749</f>
        <v>0</v>
      </c>
      <c r="H1752" s="49">
        <f t="shared" si="463"/>
        <v>55</v>
      </c>
      <c r="I1752" s="49">
        <f t="shared" si="463"/>
        <v>60</v>
      </c>
      <c r="J1752" s="49">
        <f t="shared" si="463"/>
        <v>90</v>
      </c>
      <c r="K1752" s="49">
        <f t="shared" si="463"/>
        <v>90</v>
      </c>
      <c r="L1752" s="49">
        <f t="shared" si="463"/>
        <v>50</v>
      </c>
      <c r="M1752" s="49">
        <f t="shared" si="463"/>
        <v>35</v>
      </c>
      <c r="N1752" s="49">
        <f t="shared" si="463"/>
        <v>35</v>
      </c>
      <c r="O1752" s="49">
        <f t="shared" si="463"/>
        <v>35</v>
      </c>
      <c r="P1752" s="49">
        <f t="shared" si="463"/>
        <v>35</v>
      </c>
      <c r="Q1752" s="49">
        <f t="shared" si="463"/>
        <v>0</v>
      </c>
      <c r="R1752" s="49">
        <f t="shared" si="463"/>
        <v>0</v>
      </c>
      <c r="S1752" s="49">
        <f t="shared" si="463"/>
        <v>0</v>
      </c>
      <c r="T1752" s="49">
        <f t="shared" si="463"/>
        <v>0</v>
      </c>
      <c r="U1752" s="49">
        <f t="shared" si="463"/>
        <v>25</v>
      </c>
      <c r="V1752" s="49">
        <f t="shared" si="463"/>
        <v>40</v>
      </c>
      <c r="W1752" s="49">
        <f t="shared" si="463"/>
        <v>35</v>
      </c>
      <c r="X1752" s="49">
        <f t="shared" si="463"/>
        <v>20</v>
      </c>
      <c r="Y1752" s="49">
        <f t="shared" si="463"/>
        <v>20</v>
      </c>
      <c r="Z1752" s="49">
        <f t="shared" si="463"/>
        <v>20</v>
      </c>
      <c r="AA1752" s="49">
        <f t="shared" si="463"/>
        <v>30</v>
      </c>
      <c r="AB1752" s="49">
        <f t="shared" si="463"/>
        <v>25</v>
      </c>
      <c r="AC1752" s="49">
        <f t="shared" si="463"/>
        <v>0</v>
      </c>
      <c r="AD1752" s="53" t="e">
        <f>#REF!*D1752</f>
        <v>#REF!</v>
      </c>
      <c r="AE1752" s="53" t="e">
        <f>AD1752-#REF!</f>
        <v>#REF!</v>
      </c>
      <c r="AF1752" s="8"/>
      <c r="AG1752" s="33" t="e">
        <f>#REF!-D1752</f>
        <v>#REF!</v>
      </c>
      <c r="AH1752" s="8"/>
      <c r="AI1752" s="8"/>
    </row>
    <row r="1753" spans="1:35" s="12" customFormat="1" ht="20.399999999999999" outlineLevel="1" x14ac:dyDescent="0.2">
      <c r="A1753" s="61" t="s">
        <v>2028</v>
      </c>
      <c r="B1753" s="80" t="s">
        <v>2550</v>
      </c>
      <c r="C1753" s="9" t="s">
        <v>47</v>
      </c>
      <c r="D1753" s="25">
        <f t="shared" si="458"/>
        <v>1</v>
      </c>
      <c r="E1753" s="54"/>
      <c r="F1753" s="9"/>
      <c r="G1753" s="9">
        <v>0</v>
      </c>
      <c r="H1753" s="9">
        <v>0</v>
      </c>
      <c r="I1753" s="9">
        <v>0</v>
      </c>
      <c r="J1753" s="9">
        <v>0</v>
      </c>
      <c r="K1753" s="9">
        <v>0</v>
      </c>
      <c r="L1753" s="9">
        <v>0</v>
      </c>
      <c r="M1753" s="9">
        <v>0</v>
      </c>
      <c r="N1753" s="9">
        <v>0</v>
      </c>
      <c r="O1753" s="9">
        <v>0</v>
      </c>
      <c r="P1753" s="9">
        <v>0</v>
      </c>
      <c r="Q1753" s="9">
        <v>0</v>
      </c>
      <c r="R1753" s="9">
        <v>1</v>
      </c>
      <c r="S1753" s="9">
        <v>0</v>
      </c>
      <c r="T1753" s="9">
        <v>0</v>
      </c>
      <c r="U1753" s="9">
        <v>0</v>
      </c>
      <c r="V1753" s="9">
        <v>0</v>
      </c>
      <c r="W1753" s="9">
        <v>0</v>
      </c>
      <c r="X1753" s="9">
        <v>0</v>
      </c>
      <c r="Y1753" s="9">
        <v>0</v>
      </c>
      <c r="Z1753" s="9">
        <v>0</v>
      </c>
      <c r="AA1753" s="9">
        <v>0</v>
      </c>
      <c r="AB1753" s="9">
        <v>0</v>
      </c>
      <c r="AC1753" s="9">
        <v>0</v>
      </c>
      <c r="AD1753" s="53" t="e">
        <f>#REF!*D1753</f>
        <v>#REF!</v>
      </c>
      <c r="AE1753" s="53" t="e">
        <f>AD1753-#REF!</f>
        <v>#REF!</v>
      </c>
      <c r="AF1753" s="9"/>
      <c r="AG1753" s="33" t="e">
        <f>#REF!-D1753</f>
        <v>#REF!</v>
      </c>
      <c r="AH1753" s="9"/>
      <c r="AI1753" s="9"/>
    </row>
    <row r="1754" spans="1:35" outlineLevel="1" x14ac:dyDescent="0.25">
      <c r="AD1754" s="53" t="e">
        <f>#REF!*D1754</f>
        <v>#REF!</v>
      </c>
      <c r="AE1754" s="53" t="e">
        <f>AD1754-#REF!</f>
        <v>#REF!</v>
      </c>
      <c r="AG1754" s="33" t="e">
        <f>#REF!-D1754</f>
        <v>#REF!</v>
      </c>
    </row>
    <row r="1755" spans="1:35" x14ac:dyDescent="0.25">
      <c r="A1755" s="18" t="s">
        <v>2046</v>
      </c>
      <c r="B1755" s="35" t="s">
        <v>1994</v>
      </c>
      <c r="C1755" s="18" t="s">
        <v>41</v>
      </c>
      <c r="D1755" s="52" t="e">
        <f>#REF!/#REF!*100</f>
        <v>#REF!</v>
      </c>
      <c r="G1755" s="9"/>
      <c r="H1755" s="81"/>
      <c r="I1755" s="81"/>
      <c r="J1755" s="76"/>
      <c r="K1755" s="76"/>
      <c r="L1755" s="76"/>
      <c r="M1755" s="76"/>
      <c r="N1755" s="81"/>
      <c r="O1755" s="76"/>
      <c r="P1755" s="76"/>
      <c r="Q1755" s="76"/>
      <c r="R1755" s="76"/>
      <c r="S1755" s="76"/>
      <c r="T1755" s="76"/>
      <c r="U1755" s="81"/>
      <c r="V1755" s="81"/>
      <c r="W1755" s="76"/>
      <c r="X1755" s="76"/>
      <c r="Y1755" s="76"/>
      <c r="Z1755" s="76"/>
      <c r="AA1755" s="81"/>
      <c r="AB1755" s="214" t="s">
        <v>375</v>
      </c>
      <c r="AC1755" s="76"/>
      <c r="AD1755" s="53" t="e">
        <f>#REF!*D1755</f>
        <v>#REF!</v>
      </c>
      <c r="AE1755" s="53" t="e">
        <f>AD1755-#REF!</f>
        <v>#REF!</v>
      </c>
      <c r="AG1755" s="33" t="e">
        <f>#REF!-D1755</f>
        <v>#REF!</v>
      </c>
    </row>
    <row r="1756" spans="1:35" s="12" customFormat="1" ht="30.6" outlineLevel="1" x14ac:dyDescent="0.2">
      <c r="A1756" s="62" t="s">
        <v>2047</v>
      </c>
      <c r="B1756" s="80" t="s">
        <v>2113</v>
      </c>
      <c r="C1756" s="9" t="s">
        <v>47</v>
      </c>
      <c r="D1756" s="25">
        <f t="shared" ref="D1756:D1773" si="464">SUM(G1756:AC1756)</f>
        <v>66</v>
      </c>
      <c r="E1756" s="54"/>
      <c r="F1756" s="9"/>
      <c r="G1756" s="9">
        <v>8</v>
      </c>
      <c r="H1756" s="9">
        <v>4</v>
      </c>
      <c r="I1756" s="9">
        <v>4</v>
      </c>
      <c r="J1756" s="9">
        <v>4</v>
      </c>
      <c r="K1756" s="9">
        <v>3</v>
      </c>
      <c r="L1756" s="9">
        <v>3</v>
      </c>
      <c r="M1756" s="9">
        <v>3</v>
      </c>
      <c r="N1756" s="9">
        <v>3</v>
      </c>
      <c r="O1756" s="9">
        <v>3</v>
      </c>
      <c r="P1756" s="9">
        <v>3</v>
      </c>
      <c r="Q1756" s="9">
        <v>3</v>
      </c>
      <c r="R1756" s="9">
        <v>3</v>
      </c>
      <c r="S1756" s="9">
        <v>0</v>
      </c>
      <c r="T1756" s="9">
        <v>0</v>
      </c>
      <c r="U1756" s="9">
        <v>3</v>
      </c>
      <c r="V1756" s="9">
        <v>4</v>
      </c>
      <c r="W1756" s="9">
        <v>4</v>
      </c>
      <c r="X1756" s="9">
        <v>2</v>
      </c>
      <c r="Y1756" s="9">
        <v>3</v>
      </c>
      <c r="Z1756" s="9">
        <v>2</v>
      </c>
      <c r="AA1756" s="9">
        <v>2</v>
      </c>
      <c r="AB1756" s="9">
        <v>2</v>
      </c>
      <c r="AC1756" s="9">
        <v>0</v>
      </c>
      <c r="AD1756" s="53" t="e">
        <f>#REF!*D1756</f>
        <v>#REF!</v>
      </c>
      <c r="AE1756" s="53" t="e">
        <f>AD1756-#REF!</f>
        <v>#REF!</v>
      </c>
      <c r="AF1756" s="9"/>
      <c r="AG1756" s="33" t="e">
        <f>#REF!-D1756</f>
        <v>#REF!</v>
      </c>
      <c r="AH1756" s="9"/>
      <c r="AI1756" s="9"/>
    </row>
    <row r="1757" spans="1:35" s="12" customFormat="1" ht="21.6" outlineLevel="1" x14ac:dyDescent="0.2">
      <c r="A1757" s="62" t="s">
        <v>2444</v>
      </c>
      <c r="B1757" s="80" t="s">
        <v>144</v>
      </c>
      <c r="C1757" s="9" t="s">
        <v>47</v>
      </c>
      <c r="D1757" s="25">
        <f t="shared" si="464"/>
        <v>66</v>
      </c>
      <c r="E1757" s="54"/>
      <c r="F1757" s="9"/>
      <c r="G1757" s="49">
        <f t="shared" ref="G1757:AC1757" si="465">G1756</f>
        <v>8</v>
      </c>
      <c r="H1757" s="49">
        <f t="shared" si="465"/>
        <v>4</v>
      </c>
      <c r="I1757" s="49">
        <f t="shared" si="465"/>
        <v>4</v>
      </c>
      <c r="J1757" s="49">
        <f t="shared" si="465"/>
        <v>4</v>
      </c>
      <c r="K1757" s="49">
        <f t="shared" si="465"/>
        <v>3</v>
      </c>
      <c r="L1757" s="49">
        <f t="shared" si="465"/>
        <v>3</v>
      </c>
      <c r="M1757" s="49">
        <f t="shared" si="465"/>
        <v>3</v>
      </c>
      <c r="N1757" s="49">
        <f t="shared" si="465"/>
        <v>3</v>
      </c>
      <c r="O1757" s="49">
        <f t="shared" si="465"/>
        <v>3</v>
      </c>
      <c r="P1757" s="49">
        <f t="shared" si="465"/>
        <v>3</v>
      </c>
      <c r="Q1757" s="49">
        <f t="shared" si="465"/>
        <v>3</v>
      </c>
      <c r="R1757" s="49">
        <f t="shared" si="465"/>
        <v>3</v>
      </c>
      <c r="S1757" s="49">
        <f t="shared" si="465"/>
        <v>0</v>
      </c>
      <c r="T1757" s="49">
        <f t="shared" si="465"/>
        <v>0</v>
      </c>
      <c r="U1757" s="49">
        <f t="shared" si="465"/>
        <v>3</v>
      </c>
      <c r="V1757" s="49">
        <f t="shared" si="465"/>
        <v>4</v>
      </c>
      <c r="W1757" s="49">
        <f t="shared" si="465"/>
        <v>4</v>
      </c>
      <c r="X1757" s="49">
        <f t="shared" si="465"/>
        <v>2</v>
      </c>
      <c r="Y1757" s="49">
        <f t="shared" si="465"/>
        <v>3</v>
      </c>
      <c r="Z1757" s="49">
        <f t="shared" si="465"/>
        <v>2</v>
      </c>
      <c r="AA1757" s="49">
        <f t="shared" si="465"/>
        <v>2</v>
      </c>
      <c r="AB1757" s="49">
        <f t="shared" si="465"/>
        <v>2</v>
      </c>
      <c r="AC1757" s="49">
        <f t="shared" si="465"/>
        <v>0</v>
      </c>
      <c r="AD1757" s="53" t="e">
        <f>#REF!*D1757</f>
        <v>#REF!</v>
      </c>
      <c r="AE1757" s="53" t="e">
        <f>AD1757-#REF!</f>
        <v>#REF!</v>
      </c>
      <c r="AF1757" s="9"/>
      <c r="AG1757" s="33" t="e">
        <f>#REF!-D1757</f>
        <v>#REF!</v>
      </c>
      <c r="AH1757" s="9"/>
      <c r="AI1757" s="9"/>
    </row>
    <row r="1758" spans="1:35" s="12" customFormat="1" ht="10.199999999999999" outlineLevel="1" x14ac:dyDescent="0.2">
      <c r="A1758" s="62" t="s">
        <v>2445</v>
      </c>
      <c r="B1758" s="11" t="s">
        <v>2029</v>
      </c>
      <c r="C1758" s="9" t="s">
        <v>47</v>
      </c>
      <c r="D1758" s="25">
        <f t="shared" si="464"/>
        <v>66</v>
      </c>
      <c r="E1758" s="54"/>
      <c r="F1758" s="9"/>
      <c r="G1758" s="49">
        <f t="shared" ref="G1758:AC1758" si="466">G1756</f>
        <v>8</v>
      </c>
      <c r="H1758" s="49">
        <f t="shared" si="466"/>
        <v>4</v>
      </c>
      <c r="I1758" s="49">
        <f t="shared" si="466"/>
        <v>4</v>
      </c>
      <c r="J1758" s="49">
        <f t="shared" si="466"/>
        <v>4</v>
      </c>
      <c r="K1758" s="49">
        <f t="shared" si="466"/>
        <v>3</v>
      </c>
      <c r="L1758" s="49">
        <f t="shared" si="466"/>
        <v>3</v>
      </c>
      <c r="M1758" s="49">
        <f t="shared" si="466"/>
        <v>3</v>
      </c>
      <c r="N1758" s="49">
        <f t="shared" si="466"/>
        <v>3</v>
      </c>
      <c r="O1758" s="49">
        <f t="shared" si="466"/>
        <v>3</v>
      </c>
      <c r="P1758" s="49">
        <f t="shared" si="466"/>
        <v>3</v>
      </c>
      <c r="Q1758" s="49">
        <f t="shared" si="466"/>
        <v>3</v>
      </c>
      <c r="R1758" s="49">
        <f t="shared" si="466"/>
        <v>3</v>
      </c>
      <c r="S1758" s="49">
        <f t="shared" si="466"/>
        <v>0</v>
      </c>
      <c r="T1758" s="49">
        <f t="shared" si="466"/>
        <v>0</v>
      </c>
      <c r="U1758" s="49">
        <f t="shared" si="466"/>
        <v>3</v>
      </c>
      <c r="V1758" s="49">
        <f t="shared" si="466"/>
        <v>4</v>
      </c>
      <c r="W1758" s="49">
        <f t="shared" si="466"/>
        <v>4</v>
      </c>
      <c r="X1758" s="49">
        <f t="shared" si="466"/>
        <v>2</v>
      </c>
      <c r="Y1758" s="49">
        <f t="shared" si="466"/>
        <v>3</v>
      </c>
      <c r="Z1758" s="49">
        <f t="shared" si="466"/>
        <v>2</v>
      </c>
      <c r="AA1758" s="49">
        <f t="shared" si="466"/>
        <v>2</v>
      </c>
      <c r="AB1758" s="49">
        <f t="shared" si="466"/>
        <v>2</v>
      </c>
      <c r="AC1758" s="49">
        <f t="shared" si="466"/>
        <v>0</v>
      </c>
      <c r="AD1758" s="53" t="e">
        <f>#REF!*D1758</f>
        <v>#REF!</v>
      </c>
      <c r="AE1758" s="53" t="e">
        <f>AD1758-#REF!</f>
        <v>#REF!</v>
      </c>
      <c r="AF1758" s="9"/>
      <c r="AG1758" s="33" t="e">
        <f>#REF!-D1758</f>
        <v>#REF!</v>
      </c>
      <c r="AH1758" s="9"/>
      <c r="AI1758" s="9"/>
    </row>
    <row r="1759" spans="1:35" s="12" customFormat="1" ht="20.399999999999999" outlineLevel="1" x14ac:dyDescent="0.2">
      <c r="A1759" s="62" t="s">
        <v>2446</v>
      </c>
      <c r="B1759" s="80" t="s">
        <v>2030</v>
      </c>
      <c r="C1759" s="9" t="s">
        <v>47</v>
      </c>
      <c r="D1759" s="25">
        <f t="shared" si="464"/>
        <v>66</v>
      </c>
      <c r="E1759" s="54"/>
      <c r="F1759" s="9"/>
      <c r="G1759" s="49">
        <f t="shared" ref="G1759:AC1759" si="467">G1756</f>
        <v>8</v>
      </c>
      <c r="H1759" s="49">
        <f t="shared" si="467"/>
        <v>4</v>
      </c>
      <c r="I1759" s="49">
        <f t="shared" si="467"/>
        <v>4</v>
      </c>
      <c r="J1759" s="49">
        <f t="shared" si="467"/>
        <v>4</v>
      </c>
      <c r="K1759" s="49">
        <f t="shared" si="467"/>
        <v>3</v>
      </c>
      <c r="L1759" s="49">
        <f t="shared" si="467"/>
        <v>3</v>
      </c>
      <c r="M1759" s="49">
        <f t="shared" si="467"/>
        <v>3</v>
      </c>
      <c r="N1759" s="49">
        <f t="shared" si="467"/>
        <v>3</v>
      </c>
      <c r="O1759" s="49">
        <f t="shared" si="467"/>
        <v>3</v>
      </c>
      <c r="P1759" s="49">
        <f t="shared" si="467"/>
        <v>3</v>
      </c>
      <c r="Q1759" s="49">
        <f t="shared" si="467"/>
        <v>3</v>
      </c>
      <c r="R1759" s="49">
        <f t="shared" si="467"/>
        <v>3</v>
      </c>
      <c r="S1759" s="49">
        <f t="shared" si="467"/>
        <v>0</v>
      </c>
      <c r="T1759" s="49">
        <f t="shared" si="467"/>
        <v>0</v>
      </c>
      <c r="U1759" s="49">
        <f t="shared" si="467"/>
        <v>3</v>
      </c>
      <c r="V1759" s="49">
        <f t="shared" si="467"/>
        <v>4</v>
      </c>
      <c r="W1759" s="49">
        <f t="shared" si="467"/>
        <v>4</v>
      </c>
      <c r="X1759" s="49">
        <f t="shared" si="467"/>
        <v>2</v>
      </c>
      <c r="Y1759" s="49">
        <f t="shared" si="467"/>
        <v>3</v>
      </c>
      <c r="Z1759" s="49">
        <f t="shared" si="467"/>
        <v>2</v>
      </c>
      <c r="AA1759" s="49">
        <f t="shared" si="467"/>
        <v>2</v>
      </c>
      <c r="AB1759" s="49">
        <f t="shared" si="467"/>
        <v>2</v>
      </c>
      <c r="AC1759" s="49">
        <f t="shared" si="467"/>
        <v>0</v>
      </c>
      <c r="AD1759" s="53" t="e">
        <f>#REF!*D1759</f>
        <v>#REF!</v>
      </c>
      <c r="AE1759" s="53" t="e">
        <f>AD1759-#REF!</f>
        <v>#REF!</v>
      </c>
      <c r="AF1759" s="9"/>
      <c r="AG1759" s="33" t="e">
        <f>#REF!-D1759</f>
        <v>#REF!</v>
      </c>
      <c r="AH1759" s="9"/>
      <c r="AI1759" s="9"/>
    </row>
    <row r="1760" spans="1:35" s="12" customFormat="1" ht="20.399999999999999" outlineLevel="1" x14ac:dyDescent="0.2">
      <c r="A1760" s="62" t="s">
        <v>2447</v>
      </c>
      <c r="B1760" s="80" t="s">
        <v>2033</v>
      </c>
      <c r="C1760" s="9" t="s">
        <v>47</v>
      </c>
      <c r="D1760" s="25">
        <f t="shared" si="464"/>
        <v>132</v>
      </c>
      <c r="E1760" s="54"/>
      <c r="F1760" s="9"/>
      <c r="G1760" s="49">
        <f t="shared" ref="G1760:AC1760" si="468">G1757*2</f>
        <v>16</v>
      </c>
      <c r="H1760" s="49">
        <f t="shared" si="468"/>
        <v>8</v>
      </c>
      <c r="I1760" s="49">
        <f t="shared" si="468"/>
        <v>8</v>
      </c>
      <c r="J1760" s="49">
        <f t="shared" si="468"/>
        <v>8</v>
      </c>
      <c r="K1760" s="49">
        <f t="shared" si="468"/>
        <v>6</v>
      </c>
      <c r="L1760" s="49">
        <f t="shared" si="468"/>
        <v>6</v>
      </c>
      <c r="M1760" s="49">
        <f t="shared" si="468"/>
        <v>6</v>
      </c>
      <c r="N1760" s="49">
        <f t="shared" si="468"/>
        <v>6</v>
      </c>
      <c r="O1760" s="49">
        <f t="shared" si="468"/>
        <v>6</v>
      </c>
      <c r="P1760" s="49">
        <f t="shared" si="468"/>
        <v>6</v>
      </c>
      <c r="Q1760" s="49">
        <f t="shared" si="468"/>
        <v>6</v>
      </c>
      <c r="R1760" s="49">
        <f t="shared" si="468"/>
        <v>6</v>
      </c>
      <c r="S1760" s="49">
        <f t="shared" si="468"/>
        <v>0</v>
      </c>
      <c r="T1760" s="49">
        <f t="shared" si="468"/>
        <v>0</v>
      </c>
      <c r="U1760" s="49">
        <f t="shared" si="468"/>
        <v>6</v>
      </c>
      <c r="V1760" s="49">
        <f t="shared" si="468"/>
        <v>8</v>
      </c>
      <c r="W1760" s="49">
        <f t="shared" si="468"/>
        <v>8</v>
      </c>
      <c r="X1760" s="49">
        <f t="shared" si="468"/>
        <v>4</v>
      </c>
      <c r="Y1760" s="49">
        <f t="shared" si="468"/>
        <v>6</v>
      </c>
      <c r="Z1760" s="49">
        <f t="shared" si="468"/>
        <v>4</v>
      </c>
      <c r="AA1760" s="49">
        <f t="shared" si="468"/>
        <v>4</v>
      </c>
      <c r="AB1760" s="49">
        <f t="shared" si="468"/>
        <v>4</v>
      </c>
      <c r="AC1760" s="49">
        <f t="shared" si="468"/>
        <v>0</v>
      </c>
      <c r="AD1760" s="53" t="e">
        <f>#REF!*D1760</f>
        <v>#REF!</v>
      </c>
      <c r="AE1760" s="53" t="e">
        <f>AD1760-#REF!</f>
        <v>#REF!</v>
      </c>
      <c r="AF1760" s="9"/>
      <c r="AG1760" s="33" t="e">
        <f>#REF!-D1760</f>
        <v>#REF!</v>
      </c>
      <c r="AH1760" s="9"/>
      <c r="AI1760" s="9"/>
    </row>
    <row r="1761" spans="1:35" s="12" customFormat="1" ht="20.399999999999999" outlineLevel="1" x14ac:dyDescent="0.2">
      <c r="A1761" s="62" t="s">
        <v>2448</v>
      </c>
      <c r="B1761" s="80" t="s">
        <v>2031</v>
      </c>
      <c r="C1761" s="9" t="s">
        <v>47</v>
      </c>
      <c r="D1761" s="25">
        <f t="shared" si="464"/>
        <v>66</v>
      </c>
      <c r="E1761" s="54"/>
      <c r="F1761" s="9"/>
      <c r="G1761" s="49">
        <f t="shared" ref="G1761:AC1761" si="469">G1756</f>
        <v>8</v>
      </c>
      <c r="H1761" s="49">
        <f t="shared" si="469"/>
        <v>4</v>
      </c>
      <c r="I1761" s="49">
        <f t="shared" si="469"/>
        <v>4</v>
      </c>
      <c r="J1761" s="49">
        <f t="shared" si="469"/>
        <v>4</v>
      </c>
      <c r="K1761" s="49">
        <f t="shared" si="469"/>
        <v>3</v>
      </c>
      <c r="L1761" s="49">
        <f t="shared" si="469"/>
        <v>3</v>
      </c>
      <c r="M1761" s="49">
        <f t="shared" si="469"/>
        <v>3</v>
      </c>
      <c r="N1761" s="49">
        <f t="shared" si="469"/>
        <v>3</v>
      </c>
      <c r="O1761" s="49">
        <f t="shared" si="469"/>
        <v>3</v>
      </c>
      <c r="P1761" s="49">
        <f t="shared" si="469"/>
        <v>3</v>
      </c>
      <c r="Q1761" s="49">
        <f t="shared" si="469"/>
        <v>3</v>
      </c>
      <c r="R1761" s="49">
        <f t="shared" si="469"/>
        <v>3</v>
      </c>
      <c r="S1761" s="49">
        <f t="shared" si="469"/>
        <v>0</v>
      </c>
      <c r="T1761" s="49">
        <f t="shared" si="469"/>
        <v>0</v>
      </c>
      <c r="U1761" s="49">
        <f t="shared" si="469"/>
        <v>3</v>
      </c>
      <c r="V1761" s="49">
        <f t="shared" si="469"/>
        <v>4</v>
      </c>
      <c r="W1761" s="49">
        <f t="shared" si="469"/>
        <v>4</v>
      </c>
      <c r="X1761" s="49">
        <f t="shared" si="469"/>
        <v>2</v>
      </c>
      <c r="Y1761" s="49">
        <f t="shared" si="469"/>
        <v>3</v>
      </c>
      <c r="Z1761" s="49">
        <f t="shared" si="469"/>
        <v>2</v>
      </c>
      <c r="AA1761" s="49">
        <f t="shared" si="469"/>
        <v>2</v>
      </c>
      <c r="AB1761" s="49">
        <f t="shared" si="469"/>
        <v>2</v>
      </c>
      <c r="AC1761" s="49">
        <f t="shared" si="469"/>
        <v>0</v>
      </c>
      <c r="AD1761" s="53" t="e">
        <f>#REF!*D1761</f>
        <v>#REF!</v>
      </c>
      <c r="AE1761" s="53" t="e">
        <f>AD1761-#REF!</f>
        <v>#REF!</v>
      </c>
      <c r="AF1761" s="9"/>
      <c r="AG1761" s="33" t="e">
        <f>#REF!-D1761</f>
        <v>#REF!</v>
      </c>
      <c r="AH1761" s="9"/>
      <c r="AI1761" s="9"/>
    </row>
    <row r="1762" spans="1:35" s="12" customFormat="1" ht="20.399999999999999" outlineLevel="1" x14ac:dyDescent="0.2">
      <c r="A1762" s="62" t="s">
        <v>2449</v>
      </c>
      <c r="B1762" s="80" t="s">
        <v>114</v>
      </c>
      <c r="C1762" s="9" t="s">
        <v>47</v>
      </c>
      <c r="D1762" s="25">
        <f t="shared" si="464"/>
        <v>5</v>
      </c>
      <c r="E1762" s="54"/>
      <c r="F1762" s="9"/>
      <c r="G1762" s="9">
        <v>3</v>
      </c>
      <c r="H1762" s="9">
        <v>0</v>
      </c>
      <c r="I1762" s="9">
        <v>0</v>
      </c>
      <c r="J1762" s="9">
        <v>0</v>
      </c>
      <c r="K1762" s="9">
        <v>0</v>
      </c>
      <c r="L1762" s="9">
        <v>0</v>
      </c>
      <c r="M1762" s="9">
        <v>0</v>
      </c>
      <c r="N1762" s="9">
        <v>0</v>
      </c>
      <c r="O1762" s="9">
        <v>0</v>
      </c>
      <c r="P1762" s="9">
        <v>0</v>
      </c>
      <c r="Q1762" s="9">
        <v>0</v>
      </c>
      <c r="R1762" s="9">
        <v>2</v>
      </c>
      <c r="S1762" s="9">
        <v>0</v>
      </c>
      <c r="T1762" s="9">
        <v>0</v>
      </c>
      <c r="U1762" s="9">
        <v>0</v>
      </c>
      <c r="V1762" s="9">
        <v>0</v>
      </c>
      <c r="W1762" s="9">
        <v>0</v>
      </c>
      <c r="X1762" s="9">
        <v>0</v>
      </c>
      <c r="Y1762" s="9">
        <v>0</v>
      </c>
      <c r="Z1762" s="9">
        <v>0</v>
      </c>
      <c r="AA1762" s="9">
        <v>0</v>
      </c>
      <c r="AB1762" s="9">
        <v>0</v>
      </c>
      <c r="AC1762" s="9">
        <v>0</v>
      </c>
      <c r="AD1762" s="53" t="e">
        <f>#REF!*D1762</f>
        <v>#REF!</v>
      </c>
      <c r="AE1762" s="53" t="e">
        <f>AD1762-#REF!</f>
        <v>#REF!</v>
      </c>
      <c r="AF1762" s="9"/>
      <c r="AG1762" s="33" t="e">
        <f>#REF!-D1762</f>
        <v>#REF!</v>
      </c>
      <c r="AH1762" s="9"/>
      <c r="AI1762" s="9"/>
    </row>
    <row r="1763" spans="1:35" s="12" customFormat="1" ht="20.399999999999999" outlineLevel="1" x14ac:dyDescent="0.2">
      <c r="A1763" s="62" t="s">
        <v>2450</v>
      </c>
      <c r="B1763" s="80" t="s">
        <v>2246</v>
      </c>
      <c r="C1763" s="9" t="s">
        <v>47</v>
      </c>
      <c r="D1763" s="25">
        <f t="shared" si="464"/>
        <v>3</v>
      </c>
      <c r="E1763" s="54"/>
      <c r="F1763" s="9"/>
      <c r="G1763" s="9">
        <v>3</v>
      </c>
      <c r="H1763" s="9">
        <v>0</v>
      </c>
      <c r="I1763" s="9">
        <v>0</v>
      </c>
      <c r="J1763" s="9">
        <v>0</v>
      </c>
      <c r="K1763" s="9">
        <v>0</v>
      </c>
      <c r="L1763" s="9">
        <v>0</v>
      </c>
      <c r="M1763" s="9">
        <v>0</v>
      </c>
      <c r="N1763" s="9">
        <v>0</v>
      </c>
      <c r="O1763" s="9">
        <v>0</v>
      </c>
      <c r="P1763" s="9">
        <v>0</v>
      </c>
      <c r="Q1763" s="9">
        <v>0</v>
      </c>
      <c r="R1763" s="9">
        <v>0</v>
      </c>
      <c r="S1763" s="9">
        <v>0</v>
      </c>
      <c r="T1763" s="9">
        <v>0</v>
      </c>
      <c r="U1763" s="9">
        <v>0</v>
      </c>
      <c r="V1763" s="9">
        <v>0</v>
      </c>
      <c r="W1763" s="9">
        <v>0</v>
      </c>
      <c r="X1763" s="9">
        <v>0</v>
      </c>
      <c r="Y1763" s="9">
        <v>0</v>
      </c>
      <c r="Z1763" s="9">
        <v>0</v>
      </c>
      <c r="AA1763" s="9">
        <v>0</v>
      </c>
      <c r="AB1763" s="9">
        <v>0</v>
      </c>
      <c r="AC1763" s="9">
        <v>0</v>
      </c>
      <c r="AD1763" s="53" t="e">
        <f>#REF!*D1763</f>
        <v>#REF!</v>
      </c>
      <c r="AE1763" s="53" t="e">
        <f>AD1763-#REF!</f>
        <v>#REF!</v>
      </c>
      <c r="AF1763" s="9"/>
      <c r="AG1763" s="33" t="e">
        <f>#REF!-D1763</f>
        <v>#REF!</v>
      </c>
      <c r="AH1763" s="9"/>
      <c r="AI1763" s="9"/>
    </row>
    <row r="1764" spans="1:35" s="12" customFormat="1" ht="12" customHeight="1" outlineLevel="1" x14ac:dyDescent="0.2">
      <c r="A1764" s="62" t="s">
        <v>2451</v>
      </c>
      <c r="B1764" s="11" t="s">
        <v>2032</v>
      </c>
      <c r="C1764" s="9" t="s">
        <v>47</v>
      </c>
      <c r="D1764" s="25">
        <f t="shared" si="464"/>
        <v>1</v>
      </c>
      <c r="E1764" s="54"/>
      <c r="F1764" s="9"/>
      <c r="G1764" s="9">
        <v>1</v>
      </c>
      <c r="H1764" s="9">
        <v>0</v>
      </c>
      <c r="I1764" s="9">
        <v>0</v>
      </c>
      <c r="J1764" s="9">
        <v>0</v>
      </c>
      <c r="K1764" s="9">
        <v>0</v>
      </c>
      <c r="L1764" s="9">
        <v>0</v>
      </c>
      <c r="M1764" s="9">
        <v>0</v>
      </c>
      <c r="N1764" s="9">
        <v>0</v>
      </c>
      <c r="O1764" s="9">
        <v>0</v>
      </c>
      <c r="P1764" s="9">
        <v>0</v>
      </c>
      <c r="Q1764" s="9">
        <v>0</v>
      </c>
      <c r="R1764" s="9">
        <v>0</v>
      </c>
      <c r="S1764" s="9">
        <v>0</v>
      </c>
      <c r="T1764" s="9">
        <v>0</v>
      </c>
      <c r="U1764" s="9">
        <v>0</v>
      </c>
      <c r="V1764" s="9">
        <v>0</v>
      </c>
      <c r="W1764" s="9">
        <v>0</v>
      </c>
      <c r="X1764" s="9">
        <v>0</v>
      </c>
      <c r="Y1764" s="9">
        <v>0</v>
      </c>
      <c r="Z1764" s="9">
        <v>0</v>
      </c>
      <c r="AA1764" s="9">
        <v>0</v>
      </c>
      <c r="AB1764" s="9">
        <v>0</v>
      </c>
      <c r="AC1764" s="9">
        <v>0</v>
      </c>
      <c r="AD1764" s="53" t="e">
        <f>#REF!*D1764</f>
        <v>#REF!</v>
      </c>
      <c r="AE1764" s="53" t="e">
        <f>AD1764-#REF!</f>
        <v>#REF!</v>
      </c>
      <c r="AF1764" s="9"/>
      <c r="AG1764" s="33" t="e">
        <f>#REF!-D1764</f>
        <v>#REF!</v>
      </c>
      <c r="AH1764" s="9"/>
      <c r="AI1764" s="9"/>
    </row>
    <row r="1765" spans="1:35" s="12" customFormat="1" ht="30.6" outlineLevel="1" x14ac:dyDescent="0.2">
      <c r="A1765" s="62" t="s">
        <v>2452</v>
      </c>
      <c r="B1765" s="80" t="s">
        <v>2112</v>
      </c>
      <c r="C1765" s="9" t="s">
        <v>47</v>
      </c>
      <c r="D1765" s="25">
        <f t="shared" si="464"/>
        <v>158</v>
      </c>
      <c r="E1765" s="54"/>
      <c r="F1765" s="9"/>
      <c r="G1765" s="9">
        <v>0</v>
      </c>
      <c r="H1765" s="9">
        <f>23-6</f>
        <v>17</v>
      </c>
      <c r="I1765" s="9">
        <v>16</v>
      </c>
      <c r="J1765" s="9">
        <v>15</v>
      </c>
      <c r="K1765" s="9">
        <v>15</v>
      </c>
      <c r="L1765" s="9">
        <v>6</v>
      </c>
      <c r="M1765" s="9">
        <v>9</v>
      </c>
      <c r="N1765" s="9">
        <v>8</v>
      </c>
      <c r="O1765" s="9">
        <v>9</v>
      </c>
      <c r="P1765" s="9">
        <v>10</v>
      </c>
      <c r="Q1765" s="9">
        <v>6</v>
      </c>
      <c r="R1765" s="9">
        <v>6</v>
      </c>
      <c r="S1765" s="9">
        <v>0</v>
      </c>
      <c r="T1765" s="9">
        <v>0</v>
      </c>
      <c r="U1765" s="9">
        <v>7</v>
      </c>
      <c r="V1765" s="9">
        <v>6</v>
      </c>
      <c r="W1765" s="9">
        <v>6</v>
      </c>
      <c r="X1765" s="9">
        <v>7</v>
      </c>
      <c r="Y1765" s="9">
        <v>4</v>
      </c>
      <c r="Z1765" s="9">
        <v>4</v>
      </c>
      <c r="AA1765" s="9">
        <v>4</v>
      </c>
      <c r="AB1765" s="9">
        <v>3</v>
      </c>
      <c r="AC1765" s="9">
        <v>0</v>
      </c>
      <c r="AD1765" s="53" t="e">
        <f>#REF!*D1765</f>
        <v>#REF!</v>
      </c>
      <c r="AE1765" s="53" t="e">
        <f>AD1765-#REF!</f>
        <v>#REF!</v>
      </c>
      <c r="AF1765" s="9"/>
      <c r="AG1765" s="33" t="e">
        <f>#REF!-D1765</f>
        <v>#REF!</v>
      </c>
      <c r="AH1765" s="9"/>
      <c r="AI1765" s="9"/>
    </row>
    <row r="1766" spans="1:35" s="12" customFormat="1" ht="20.399999999999999" outlineLevel="1" x14ac:dyDescent="0.2">
      <c r="A1766" s="62" t="s">
        <v>2453</v>
      </c>
      <c r="B1766" s="80" t="s">
        <v>2034</v>
      </c>
      <c r="C1766" s="9" t="s">
        <v>47</v>
      </c>
      <c r="D1766" s="25">
        <f t="shared" si="464"/>
        <v>66</v>
      </c>
      <c r="E1766" s="54"/>
      <c r="F1766" s="9"/>
      <c r="G1766" s="49">
        <f t="shared" ref="G1766:AC1766" si="470">G1756</f>
        <v>8</v>
      </c>
      <c r="H1766" s="49">
        <f t="shared" si="470"/>
        <v>4</v>
      </c>
      <c r="I1766" s="49">
        <f t="shared" si="470"/>
        <v>4</v>
      </c>
      <c r="J1766" s="49">
        <f t="shared" si="470"/>
        <v>4</v>
      </c>
      <c r="K1766" s="49">
        <f t="shared" si="470"/>
        <v>3</v>
      </c>
      <c r="L1766" s="49">
        <f t="shared" si="470"/>
        <v>3</v>
      </c>
      <c r="M1766" s="49">
        <f t="shared" si="470"/>
        <v>3</v>
      </c>
      <c r="N1766" s="49">
        <f t="shared" si="470"/>
        <v>3</v>
      </c>
      <c r="O1766" s="49">
        <f t="shared" si="470"/>
        <v>3</v>
      </c>
      <c r="P1766" s="49">
        <f t="shared" si="470"/>
        <v>3</v>
      </c>
      <c r="Q1766" s="49">
        <f t="shared" si="470"/>
        <v>3</v>
      </c>
      <c r="R1766" s="49">
        <f t="shared" si="470"/>
        <v>3</v>
      </c>
      <c r="S1766" s="49">
        <f t="shared" si="470"/>
        <v>0</v>
      </c>
      <c r="T1766" s="49">
        <f t="shared" si="470"/>
        <v>0</v>
      </c>
      <c r="U1766" s="49">
        <f t="shared" si="470"/>
        <v>3</v>
      </c>
      <c r="V1766" s="49">
        <f t="shared" si="470"/>
        <v>4</v>
      </c>
      <c r="W1766" s="49">
        <f t="shared" si="470"/>
        <v>4</v>
      </c>
      <c r="X1766" s="49">
        <f t="shared" si="470"/>
        <v>2</v>
      </c>
      <c r="Y1766" s="49">
        <f t="shared" si="470"/>
        <v>3</v>
      </c>
      <c r="Z1766" s="49">
        <f t="shared" si="470"/>
        <v>2</v>
      </c>
      <c r="AA1766" s="49">
        <f t="shared" si="470"/>
        <v>2</v>
      </c>
      <c r="AB1766" s="49">
        <f t="shared" si="470"/>
        <v>2</v>
      </c>
      <c r="AC1766" s="49">
        <f t="shared" si="470"/>
        <v>0</v>
      </c>
      <c r="AD1766" s="53" t="e">
        <f>#REF!*D1766</f>
        <v>#REF!</v>
      </c>
      <c r="AE1766" s="53" t="e">
        <f>AD1766-#REF!</f>
        <v>#REF!</v>
      </c>
      <c r="AF1766" s="9"/>
      <c r="AG1766" s="33" t="e">
        <f>#REF!-D1766</f>
        <v>#REF!</v>
      </c>
      <c r="AH1766" s="9"/>
      <c r="AI1766" s="9"/>
    </row>
    <row r="1767" spans="1:35" s="12" customFormat="1" ht="20.399999999999999" outlineLevel="1" x14ac:dyDescent="0.2">
      <c r="A1767" s="62" t="s">
        <v>2454</v>
      </c>
      <c r="B1767" s="80" t="s">
        <v>2035</v>
      </c>
      <c r="C1767" s="9" t="s">
        <v>47</v>
      </c>
      <c r="D1767" s="25">
        <f t="shared" si="464"/>
        <v>158</v>
      </c>
      <c r="E1767" s="54"/>
      <c r="F1767" s="9"/>
      <c r="G1767" s="49">
        <f t="shared" ref="G1767:AC1767" si="471">G1765</f>
        <v>0</v>
      </c>
      <c r="H1767" s="49">
        <f t="shared" si="471"/>
        <v>17</v>
      </c>
      <c r="I1767" s="49">
        <f t="shared" si="471"/>
        <v>16</v>
      </c>
      <c r="J1767" s="49">
        <f t="shared" si="471"/>
        <v>15</v>
      </c>
      <c r="K1767" s="49">
        <f t="shared" si="471"/>
        <v>15</v>
      </c>
      <c r="L1767" s="49">
        <f t="shared" si="471"/>
        <v>6</v>
      </c>
      <c r="M1767" s="49">
        <f t="shared" si="471"/>
        <v>9</v>
      </c>
      <c r="N1767" s="49">
        <f t="shared" si="471"/>
        <v>8</v>
      </c>
      <c r="O1767" s="49">
        <f t="shared" si="471"/>
        <v>9</v>
      </c>
      <c r="P1767" s="49">
        <f t="shared" si="471"/>
        <v>10</v>
      </c>
      <c r="Q1767" s="49">
        <f t="shared" si="471"/>
        <v>6</v>
      </c>
      <c r="R1767" s="49">
        <f t="shared" si="471"/>
        <v>6</v>
      </c>
      <c r="S1767" s="49">
        <f t="shared" si="471"/>
        <v>0</v>
      </c>
      <c r="T1767" s="49">
        <f t="shared" si="471"/>
        <v>0</v>
      </c>
      <c r="U1767" s="49">
        <f t="shared" si="471"/>
        <v>7</v>
      </c>
      <c r="V1767" s="49">
        <f t="shared" si="471"/>
        <v>6</v>
      </c>
      <c r="W1767" s="49">
        <f t="shared" si="471"/>
        <v>6</v>
      </c>
      <c r="X1767" s="49">
        <f t="shared" si="471"/>
        <v>7</v>
      </c>
      <c r="Y1767" s="49">
        <f t="shared" si="471"/>
        <v>4</v>
      </c>
      <c r="Z1767" s="49">
        <f t="shared" si="471"/>
        <v>4</v>
      </c>
      <c r="AA1767" s="49">
        <f t="shared" si="471"/>
        <v>4</v>
      </c>
      <c r="AB1767" s="49">
        <f t="shared" si="471"/>
        <v>3</v>
      </c>
      <c r="AC1767" s="49">
        <f t="shared" si="471"/>
        <v>0</v>
      </c>
      <c r="AD1767" s="53" t="e">
        <f>#REF!*D1767</f>
        <v>#REF!</v>
      </c>
      <c r="AE1767" s="53" t="e">
        <f>AD1767-#REF!</f>
        <v>#REF!</v>
      </c>
      <c r="AF1767" s="9"/>
      <c r="AG1767" s="33" t="e">
        <f>#REF!-D1767</f>
        <v>#REF!</v>
      </c>
      <c r="AH1767" s="9"/>
      <c r="AI1767" s="9"/>
    </row>
    <row r="1768" spans="1:35" s="12" customFormat="1" ht="20.399999999999999" outlineLevel="1" x14ac:dyDescent="0.2">
      <c r="A1768" s="62" t="s">
        <v>2455</v>
      </c>
      <c r="B1768" s="80" t="s">
        <v>2036</v>
      </c>
      <c r="C1768" s="9" t="s">
        <v>47</v>
      </c>
      <c r="D1768" s="25">
        <f t="shared" si="464"/>
        <v>122</v>
      </c>
      <c r="E1768" s="54"/>
      <c r="F1768" s="9"/>
      <c r="G1768" s="9">
        <v>0</v>
      </c>
      <c r="H1768" s="9">
        <f>17-4</f>
        <v>13</v>
      </c>
      <c r="I1768" s="9">
        <v>12</v>
      </c>
      <c r="J1768" s="9">
        <v>13</v>
      </c>
      <c r="K1768" s="9">
        <v>11</v>
      </c>
      <c r="L1768" s="9">
        <v>6</v>
      </c>
      <c r="M1768" s="9">
        <v>7</v>
      </c>
      <c r="N1768" s="9">
        <v>7</v>
      </c>
      <c r="O1768" s="9">
        <v>7</v>
      </c>
      <c r="P1768" s="9">
        <v>9</v>
      </c>
      <c r="Q1768" s="9">
        <v>7</v>
      </c>
      <c r="R1768" s="9">
        <v>7</v>
      </c>
      <c r="S1768" s="9">
        <v>0</v>
      </c>
      <c r="T1768" s="9">
        <v>0</v>
      </c>
      <c r="U1768" s="49">
        <f t="shared" ref="U1768:AB1768" si="472">U1949</f>
        <v>4</v>
      </c>
      <c r="V1768" s="49">
        <f t="shared" si="472"/>
        <v>4</v>
      </c>
      <c r="W1768" s="49">
        <f t="shared" si="472"/>
        <v>4</v>
      </c>
      <c r="X1768" s="49">
        <f t="shared" si="472"/>
        <v>2</v>
      </c>
      <c r="Y1768" s="49">
        <f t="shared" si="472"/>
        <v>3</v>
      </c>
      <c r="Z1768" s="49">
        <f t="shared" si="472"/>
        <v>2</v>
      </c>
      <c r="AA1768" s="49">
        <f t="shared" si="472"/>
        <v>2</v>
      </c>
      <c r="AB1768" s="49">
        <f t="shared" si="472"/>
        <v>2</v>
      </c>
      <c r="AC1768" s="9">
        <v>0</v>
      </c>
      <c r="AD1768" s="53" t="e">
        <f>#REF!*D1768</f>
        <v>#REF!</v>
      </c>
      <c r="AE1768" s="53" t="e">
        <f>AD1768-#REF!</f>
        <v>#REF!</v>
      </c>
      <c r="AF1768" s="9"/>
      <c r="AG1768" s="33" t="e">
        <f>#REF!-D1768</f>
        <v>#REF!</v>
      </c>
      <c r="AH1768" s="9"/>
      <c r="AI1768" s="9"/>
    </row>
    <row r="1769" spans="1:35" s="12" customFormat="1" ht="20.399999999999999" outlineLevel="1" x14ac:dyDescent="0.2">
      <c r="A1769" s="62" t="s">
        <v>2456</v>
      </c>
      <c r="B1769" s="80" t="s">
        <v>2037</v>
      </c>
      <c r="C1769" s="9" t="s">
        <v>47</v>
      </c>
      <c r="D1769" s="25">
        <f t="shared" si="464"/>
        <v>36</v>
      </c>
      <c r="E1769" s="54"/>
      <c r="F1769" s="9"/>
      <c r="G1769" s="9">
        <v>0</v>
      </c>
      <c r="H1769" s="9">
        <v>2</v>
      </c>
      <c r="I1769" s="9">
        <v>2</v>
      </c>
      <c r="J1769" s="9">
        <v>2</v>
      </c>
      <c r="K1769" s="9">
        <v>2</v>
      </c>
      <c r="L1769" s="9">
        <v>2</v>
      </c>
      <c r="M1769" s="9">
        <v>3</v>
      </c>
      <c r="N1769" s="9">
        <v>3</v>
      </c>
      <c r="O1769" s="9">
        <v>3</v>
      </c>
      <c r="P1769" s="9">
        <v>3</v>
      </c>
      <c r="Q1769" s="9">
        <v>3</v>
      </c>
      <c r="R1769" s="9">
        <v>3</v>
      </c>
      <c r="S1769" s="9">
        <v>0</v>
      </c>
      <c r="T1769" s="9">
        <v>0</v>
      </c>
      <c r="U1769" s="9">
        <v>1</v>
      </c>
      <c r="V1769" s="9">
        <v>1</v>
      </c>
      <c r="W1769" s="9">
        <v>1</v>
      </c>
      <c r="X1769" s="9">
        <v>1</v>
      </c>
      <c r="Y1769" s="9">
        <v>1</v>
      </c>
      <c r="Z1769" s="9">
        <v>1</v>
      </c>
      <c r="AA1769" s="9">
        <v>1</v>
      </c>
      <c r="AB1769" s="9">
        <v>1</v>
      </c>
      <c r="AC1769" s="9">
        <v>0</v>
      </c>
      <c r="AD1769" s="53" t="e">
        <f>#REF!*D1769</f>
        <v>#REF!</v>
      </c>
      <c r="AE1769" s="53" t="e">
        <f>AD1769-#REF!</f>
        <v>#REF!</v>
      </c>
      <c r="AF1769" s="9"/>
      <c r="AG1769" s="33" t="e">
        <f>#REF!-D1769</f>
        <v>#REF!</v>
      </c>
      <c r="AH1769" s="9"/>
      <c r="AI1769" s="9"/>
    </row>
    <row r="1770" spans="1:35" s="12" customFormat="1" ht="20.399999999999999" outlineLevel="1" x14ac:dyDescent="0.2">
      <c r="A1770" s="62" t="s">
        <v>2457</v>
      </c>
      <c r="B1770" s="80" t="s">
        <v>2038</v>
      </c>
      <c r="C1770" s="9" t="s">
        <v>47</v>
      </c>
      <c r="D1770" s="25">
        <f t="shared" si="464"/>
        <v>73</v>
      </c>
      <c r="E1770" s="54"/>
      <c r="F1770" s="9"/>
      <c r="G1770" s="9">
        <v>0</v>
      </c>
      <c r="H1770" s="9">
        <v>8</v>
      </c>
      <c r="I1770" s="9">
        <v>7</v>
      </c>
      <c r="J1770" s="9">
        <v>2</v>
      </c>
      <c r="K1770" s="9">
        <v>4</v>
      </c>
      <c r="L1770" s="9">
        <v>6</v>
      </c>
      <c r="M1770" s="9">
        <v>5</v>
      </c>
      <c r="N1770" s="9">
        <v>5</v>
      </c>
      <c r="O1770" s="9">
        <v>5</v>
      </c>
      <c r="P1770" s="9">
        <v>5</v>
      </c>
      <c r="Q1770" s="9">
        <v>5</v>
      </c>
      <c r="R1770" s="9">
        <v>5</v>
      </c>
      <c r="S1770" s="9">
        <v>0</v>
      </c>
      <c r="T1770" s="9">
        <v>0</v>
      </c>
      <c r="U1770" s="9">
        <v>3</v>
      </c>
      <c r="V1770" s="9">
        <v>2</v>
      </c>
      <c r="W1770" s="9">
        <v>2</v>
      </c>
      <c r="X1770" s="9">
        <v>2</v>
      </c>
      <c r="Y1770" s="9">
        <v>2</v>
      </c>
      <c r="Z1770" s="9">
        <v>2</v>
      </c>
      <c r="AA1770" s="9">
        <v>2</v>
      </c>
      <c r="AB1770" s="9">
        <v>1</v>
      </c>
      <c r="AC1770" s="9">
        <v>0</v>
      </c>
      <c r="AD1770" s="53" t="e">
        <f>#REF!*D1770</f>
        <v>#REF!</v>
      </c>
      <c r="AE1770" s="53" t="e">
        <f>AD1770-#REF!</f>
        <v>#REF!</v>
      </c>
      <c r="AF1770" s="9"/>
      <c r="AG1770" s="33" t="e">
        <f>#REF!-D1770</f>
        <v>#REF!</v>
      </c>
      <c r="AH1770" s="9"/>
      <c r="AI1770" s="9"/>
    </row>
    <row r="1771" spans="1:35" s="12" customFormat="1" ht="20.399999999999999" outlineLevel="1" x14ac:dyDescent="0.2">
      <c r="A1771" s="62" t="s">
        <v>2458</v>
      </c>
      <c r="B1771" s="80" t="s">
        <v>2039</v>
      </c>
      <c r="C1771" s="9" t="s">
        <v>47</v>
      </c>
      <c r="D1771" s="25">
        <f t="shared" si="464"/>
        <v>36</v>
      </c>
      <c r="E1771" s="54"/>
      <c r="F1771" s="9"/>
      <c r="G1771" s="9">
        <v>0</v>
      </c>
      <c r="H1771" s="9">
        <v>2</v>
      </c>
      <c r="I1771" s="9">
        <v>2</v>
      </c>
      <c r="J1771" s="9">
        <v>2</v>
      </c>
      <c r="K1771" s="9">
        <v>2</v>
      </c>
      <c r="L1771" s="9">
        <v>2</v>
      </c>
      <c r="M1771" s="9">
        <v>3</v>
      </c>
      <c r="N1771" s="9">
        <v>3</v>
      </c>
      <c r="O1771" s="9">
        <v>3</v>
      </c>
      <c r="P1771" s="9">
        <v>3</v>
      </c>
      <c r="Q1771" s="9">
        <v>3</v>
      </c>
      <c r="R1771" s="9">
        <v>3</v>
      </c>
      <c r="S1771" s="9">
        <v>0</v>
      </c>
      <c r="T1771" s="9">
        <v>0</v>
      </c>
      <c r="U1771" s="9">
        <v>1</v>
      </c>
      <c r="V1771" s="9">
        <v>1</v>
      </c>
      <c r="W1771" s="9">
        <v>1</v>
      </c>
      <c r="X1771" s="9">
        <v>1</v>
      </c>
      <c r="Y1771" s="9">
        <v>1</v>
      </c>
      <c r="Z1771" s="9">
        <v>1</v>
      </c>
      <c r="AA1771" s="9">
        <v>1</v>
      </c>
      <c r="AB1771" s="9">
        <v>1</v>
      </c>
      <c r="AC1771" s="9">
        <v>0</v>
      </c>
      <c r="AD1771" s="53" t="e">
        <f>#REF!*D1771</f>
        <v>#REF!</v>
      </c>
      <c r="AE1771" s="53" t="e">
        <f>AD1771-#REF!</f>
        <v>#REF!</v>
      </c>
      <c r="AF1771" s="9"/>
      <c r="AG1771" s="33" t="e">
        <f>#REF!-D1771</f>
        <v>#REF!</v>
      </c>
      <c r="AH1771" s="9"/>
      <c r="AI1771" s="9"/>
    </row>
    <row r="1772" spans="1:35" s="12" customFormat="1" ht="20.399999999999999" outlineLevel="1" x14ac:dyDescent="0.2">
      <c r="A1772" s="62" t="s">
        <v>2459</v>
      </c>
      <c r="B1772" s="80" t="s">
        <v>2040</v>
      </c>
      <c r="C1772" s="9" t="s">
        <v>47</v>
      </c>
      <c r="D1772" s="25">
        <f t="shared" si="464"/>
        <v>92</v>
      </c>
      <c r="E1772" s="54"/>
      <c r="F1772" s="9"/>
      <c r="G1772" s="9">
        <v>0</v>
      </c>
      <c r="H1772" s="9">
        <v>7</v>
      </c>
      <c r="I1772" s="9">
        <v>8</v>
      </c>
      <c r="J1772" s="9">
        <v>8</v>
      </c>
      <c r="K1772" s="9">
        <v>11</v>
      </c>
      <c r="L1772" s="9">
        <v>2</v>
      </c>
      <c r="M1772" s="9">
        <v>6</v>
      </c>
      <c r="N1772" s="9">
        <v>6</v>
      </c>
      <c r="O1772" s="9">
        <v>6</v>
      </c>
      <c r="P1772" s="9">
        <v>7</v>
      </c>
      <c r="Q1772" s="9">
        <v>6</v>
      </c>
      <c r="R1772" s="9">
        <v>3</v>
      </c>
      <c r="S1772" s="9">
        <v>0</v>
      </c>
      <c r="T1772" s="9">
        <v>0</v>
      </c>
      <c r="U1772" s="9">
        <v>3</v>
      </c>
      <c r="V1772" s="9">
        <v>2</v>
      </c>
      <c r="W1772" s="9">
        <v>4</v>
      </c>
      <c r="X1772" s="9">
        <v>6</v>
      </c>
      <c r="Y1772" s="9">
        <v>2</v>
      </c>
      <c r="Z1772" s="9">
        <v>2</v>
      </c>
      <c r="AA1772" s="9">
        <v>2</v>
      </c>
      <c r="AB1772" s="9">
        <v>1</v>
      </c>
      <c r="AC1772" s="9">
        <v>0</v>
      </c>
      <c r="AD1772" s="53" t="e">
        <f>#REF!*D1772</f>
        <v>#REF!</v>
      </c>
      <c r="AE1772" s="53" t="e">
        <f>AD1772-#REF!</f>
        <v>#REF!</v>
      </c>
      <c r="AF1772" s="9"/>
      <c r="AG1772" s="33" t="e">
        <f>#REF!-D1772</f>
        <v>#REF!</v>
      </c>
      <c r="AH1772" s="9"/>
      <c r="AI1772" s="9"/>
    </row>
    <row r="1773" spans="1:35" s="12" customFormat="1" ht="20.399999999999999" outlineLevel="1" x14ac:dyDescent="0.2">
      <c r="A1773" s="62" t="s">
        <v>2460</v>
      </c>
      <c r="B1773" s="80" t="s">
        <v>2041</v>
      </c>
      <c r="C1773" s="9" t="s">
        <v>47</v>
      </c>
      <c r="D1773" s="25">
        <f t="shared" si="464"/>
        <v>120</v>
      </c>
      <c r="E1773" s="54"/>
      <c r="F1773" s="9"/>
      <c r="G1773" s="9">
        <v>0</v>
      </c>
      <c r="H1773" s="9">
        <v>12</v>
      </c>
      <c r="I1773" s="9">
        <v>7</v>
      </c>
      <c r="J1773" s="9">
        <v>15</v>
      </c>
      <c r="K1773" s="9">
        <v>13</v>
      </c>
      <c r="L1773" s="9">
        <v>2</v>
      </c>
      <c r="M1773" s="9">
        <v>8</v>
      </c>
      <c r="N1773" s="9">
        <v>8</v>
      </c>
      <c r="O1773" s="9">
        <v>8</v>
      </c>
      <c r="P1773" s="9">
        <v>12</v>
      </c>
      <c r="Q1773" s="9">
        <v>3</v>
      </c>
      <c r="R1773" s="9">
        <v>3</v>
      </c>
      <c r="S1773" s="9">
        <v>0</v>
      </c>
      <c r="T1773" s="9">
        <v>0</v>
      </c>
      <c r="U1773" s="9">
        <v>5</v>
      </c>
      <c r="V1773" s="9">
        <v>2</v>
      </c>
      <c r="W1773" s="9">
        <v>6</v>
      </c>
      <c r="X1773" s="9">
        <v>7</v>
      </c>
      <c r="Y1773" s="9">
        <v>2</v>
      </c>
      <c r="Z1773" s="9">
        <v>2</v>
      </c>
      <c r="AA1773" s="9">
        <v>2</v>
      </c>
      <c r="AB1773" s="9">
        <v>3</v>
      </c>
      <c r="AC1773" s="9">
        <v>0</v>
      </c>
      <c r="AD1773" s="53" t="e">
        <f>#REF!*D1773</f>
        <v>#REF!</v>
      </c>
      <c r="AE1773" s="53" t="e">
        <f>AD1773-#REF!</f>
        <v>#REF!</v>
      </c>
      <c r="AF1773" s="9"/>
      <c r="AG1773" s="33" t="e">
        <f>#REF!-D1773</f>
        <v>#REF!</v>
      </c>
      <c r="AH1773" s="9"/>
      <c r="AI1773" s="9"/>
    </row>
    <row r="1774" spans="1:35" s="12" customFormat="1" ht="10.199999999999999" outlineLevel="1" x14ac:dyDescent="0.2">
      <c r="A1774" s="62"/>
      <c r="B1774" s="80"/>
      <c r="C1774" s="9"/>
      <c r="D1774" s="25"/>
      <c r="E1774" s="54"/>
      <c r="F1774" s="9"/>
      <c r="G1774" s="9"/>
      <c r="H1774" s="9"/>
      <c r="I1774" s="9"/>
      <c r="J1774" s="9"/>
      <c r="K1774" s="9"/>
      <c r="L1774" s="9"/>
      <c r="M1774" s="9"/>
      <c r="N1774" s="9"/>
      <c r="O1774" s="9"/>
      <c r="P1774" s="9"/>
      <c r="Q1774" s="9"/>
      <c r="R1774" s="9"/>
      <c r="S1774" s="9"/>
      <c r="T1774" s="9"/>
      <c r="U1774" s="9"/>
      <c r="V1774" s="9"/>
      <c r="W1774" s="9"/>
      <c r="X1774" s="9"/>
      <c r="Y1774" s="9"/>
      <c r="Z1774" s="9"/>
      <c r="AA1774" s="9"/>
      <c r="AB1774" s="9"/>
      <c r="AC1774" s="9"/>
      <c r="AD1774" s="53" t="e">
        <f>#REF!*D1774</f>
        <v>#REF!</v>
      </c>
      <c r="AE1774" s="53" t="e">
        <f>AD1774-#REF!</f>
        <v>#REF!</v>
      </c>
      <c r="AF1774" s="9"/>
      <c r="AG1774" s="33" t="e">
        <f>#REF!-D1774</f>
        <v>#REF!</v>
      </c>
      <c r="AH1774" s="9"/>
      <c r="AI1774" s="9"/>
    </row>
    <row r="1775" spans="1:35" x14ac:dyDescent="0.25">
      <c r="A1775" s="18" t="s">
        <v>2048</v>
      </c>
      <c r="B1775" s="35" t="s">
        <v>2049</v>
      </c>
      <c r="C1775" s="18" t="s">
        <v>41</v>
      </c>
      <c r="D1775" s="52" t="e">
        <f>#REF!/#REF!*100</f>
        <v>#REF!</v>
      </c>
      <c r="G1775" s="9"/>
      <c r="H1775" s="81"/>
      <c r="I1775" s="81"/>
      <c r="J1775" s="76"/>
      <c r="K1775" s="76"/>
      <c r="L1775" s="76"/>
      <c r="M1775" s="76"/>
      <c r="N1775" s="81"/>
      <c r="O1775" s="76"/>
      <c r="P1775" s="76"/>
      <c r="Q1775" s="76"/>
      <c r="R1775" s="76"/>
      <c r="S1775" s="76"/>
      <c r="T1775" s="76"/>
      <c r="U1775" s="81"/>
      <c r="V1775" s="81"/>
      <c r="W1775" s="76"/>
      <c r="X1775" s="76"/>
      <c r="Y1775" s="76"/>
      <c r="Z1775" s="76"/>
      <c r="AA1775" s="81"/>
      <c r="AB1775" s="214" t="s">
        <v>375</v>
      </c>
      <c r="AC1775" s="214" t="s">
        <v>376</v>
      </c>
      <c r="AD1775" s="53" t="e">
        <f>#REF!*D1775</f>
        <v>#REF!</v>
      </c>
      <c r="AE1775" s="53" t="e">
        <f>AD1775-#REF!</f>
        <v>#REF!</v>
      </c>
      <c r="AG1775" s="33" t="e">
        <f>#REF!-D1775</f>
        <v>#REF!</v>
      </c>
    </row>
    <row r="1776" spans="1:35" s="12" customFormat="1" ht="24.75" customHeight="1" outlineLevel="1" x14ac:dyDescent="0.2">
      <c r="A1776" s="62" t="s">
        <v>2052</v>
      </c>
      <c r="B1776" s="47" t="s">
        <v>145</v>
      </c>
      <c r="C1776" s="9" t="s">
        <v>48</v>
      </c>
      <c r="D1776" s="25">
        <f t="shared" ref="D1776:D1789" si="473">SUM(G1776:AC1776)</f>
        <v>1070</v>
      </c>
      <c r="E1776" s="54"/>
      <c r="F1776" s="9"/>
      <c r="G1776" s="9">
        <v>0</v>
      </c>
      <c r="H1776" s="9">
        <v>0</v>
      </c>
      <c r="I1776" s="9">
        <v>0</v>
      </c>
      <c r="J1776" s="9">
        <v>0</v>
      </c>
      <c r="K1776" s="9">
        <v>0</v>
      </c>
      <c r="L1776" s="9">
        <v>0</v>
      </c>
      <c r="M1776" s="9">
        <v>145</v>
      </c>
      <c r="N1776" s="9">
        <f>55</f>
        <v>55</v>
      </c>
      <c r="O1776" s="9">
        <v>0</v>
      </c>
      <c r="P1776" s="9">
        <v>0</v>
      </c>
      <c r="Q1776" s="9">
        <v>0</v>
      </c>
      <c r="R1776" s="9">
        <v>160</v>
      </c>
      <c r="S1776" s="9">
        <v>340</v>
      </c>
      <c r="T1776" s="9">
        <v>0</v>
      </c>
      <c r="U1776" s="9">
        <v>0</v>
      </c>
      <c r="V1776" s="9">
        <v>0</v>
      </c>
      <c r="W1776" s="9">
        <v>0</v>
      </c>
      <c r="X1776" s="9">
        <v>85</v>
      </c>
      <c r="Y1776" s="9">
        <v>0</v>
      </c>
      <c r="Z1776" s="9">
        <v>0</v>
      </c>
      <c r="AA1776" s="9">
        <v>0</v>
      </c>
      <c r="AB1776" s="9">
        <v>190</v>
      </c>
      <c r="AC1776" s="9">
        <v>95</v>
      </c>
      <c r="AD1776" s="53" t="e">
        <f>#REF!*D1776</f>
        <v>#REF!</v>
      </c>
      <c r="AE1776" s="53" t="e">
        <f>AD1776-#REF!</f>
        <v>#REF!</v>
      </c>
      <c r="AF1776" s="8"/>
      <c r="AG1776" s="33" t="e">
        <f>#REF!-D1776</f>
        <v>#REF!</v>
      </c>
      <c r="AH1776" s="8"/>
      <c r="AI1776" s="8"/>
    </row>
    <row r="1777" spans="1:37" s="12" customFormat="1" ht="24.75" customHeight="1" outlineLevel="1" x14ac:dyDescent="0.2">
      <c r="A1777" s="62" t="s">
        <v>2053</v>
      </c>
      <c r="B1777" s="47" t="s">
        <v>146</v>
      </c>
      <c r="C1777" s="9" t="s">
        <v>48</v>
      </c>
      <c r="D1777" s="25">
        <f t="shared" si="473"/>
        <v>625</v>
      </c>
      <c r="E1777" s="54"/>
      <c r="F1777" s="9"/>
      <c r="G1777" s="9">
        <v>150</v>
      </c>
      <c r="H1777" s="9">
        <f>510-170</f>
        <v>340</v>
      </c>
      <c r="I1777" s="9">
        <v>0</v>
      </c>
      <c r="J1777" s="9">
        <v>0</v>
      </c>
      <c r="K1777" s="9">
        <v>0</v>
      </c>
      <c r="L1777" s="9">
        <v>0</v>
      </c>
      <c r="M1777" s="9">
        <v>0</v>
      </c>
      <c r="N1777" s="9">
        <v>0</v>
      </c>
      <c r="O1777" s="9">
        <v>0</v>
      </c>
      <c r="P1777" s="9">
        <v>0</v>
      </c>
      <c r="Q1777" s="9">
        <v>0</v>
      </c>
      <c r="R1777" s="9">
        <v>0</v>
      </c>
      <c r="S1777" s="9">
        <v>0</v>
      </c>
      <c r="T1777" s="9">
        <v>0</v>
      </c>
      <c r="U1777" s="9">
        <v>135</v>
      </c>
      <c r="V1777" s="9">
        <v>0</v>
      </c>
      <c r="W1777" s="9">
        <v>0</v>
      </c>
      <c r="X1777" s="9">
        <v>0</v>
      </c>
      <c r="Y1777" s="9">
        <v>0</v>
      </c>
      <c r="Z1777" s="9">
        <v>0</v>
      </c>
      <c r="AA1777" s="9">
        <v>0</v>
      </c>
      <c r="AB1777" s="9">
        <v>0</v>
      </c>
      <c r="AC1777" s="9">
        <v>0</v>
      </c>
      <c r="AD1777" s="53" t="e">
        <f>#REF!*D1777</f>
        <v>#REF!</v>
      </c>
      <c r="AE1777" s="53" t="e">
        <f>AD1777-#REF!</f>
        <v>#REF!</v>
      </c>
      <c r="AF1777" s="8"/>
      <c r="AG1777" s="33" t="e">
        <f>#REF!-D1777</f>
        <v>#REF!</v>
      </c>
      <c r="AH1777" s="8"/>
      <c r="AI1777" s="8"/>
    </row>
    <row r="1778" spans="1:37" s="17" customFormat="1" ht="40.799999999999997" outlineLevel="1" x14ac:dyDescent="0.2">
      <c r="A1778" s="62" t="s">
        <v>2054</v>
      </c>
      <c r="B1778" s="14" t="s">
        <v>2594</v>
      </c>
      <c r="C1778" s="9" t="s">
        <v>47</v>
      </c>
      <c r="D1778" s="25">
        <f t="shared" si="473"/>
        <v>20</v>
      </c>
      <c r="E1778" s="54"/>
      <c r="F1778" s="9"/>
      <c r="G1778" s="9">
        <v>0</v>
      </c>
      <c r="H1778" s="9">
        <f>24-10</f>
        <v>14</v>
      </c>
      <c r="I1778" s="9">
        <v>0</v>
      </c>
      <c r="J1778" s="9">
        <v>0</v>
      </c>
      <c r="K1778" s="9">
        <v>0</v>
      </c>
      <c r="L1778" s="9">
        <v>0</v>
      </c>
      <c r="M1778" s="9">
        <v>0</v>
      </c>
      <c r="N1778" s="9">
        <v>0</v>
      </c>
      <c r="O1778" s="9">
        <v>0</v>
      </c>
      <c r="P1778" s="9">
        <v>0</v>
      </c>
      <c r="Q1778" s="9">
        <v>0</v>
      </c>
      <c r="R1778" s="9">
        <v>0</v>
      </c>
      <c r="S1778" s="9">
        <v>0</v>
      </c>
      <c r="T1778" s="9">
        <v>0</v>
      </c>
      <c r="U1778" s="9">
        <v>6</v>
      </c>
      <c r="V1778" s="9">
        <v>0</v>
      </c>
      <c r="W1778" s="9">
        <v>0</v>
      </c>
      <c r="X1778" s="9">
        <v>0</v>
      </c>
      <c r="Y1778" s="9">
        <v>0</v>
      </c>
      <c r="Z1778" s="9">
        <v>0</v>
      </c>
      <c r="AA1778" s="9">
        <v>0</v>
      </c>
      <c r="AB1778" s="9">
        <v>0</v>
      </c>
      <c r="AC1778" s="9">
        <v>0</v>
      </c>
      <c r="AD1778" s="53" t="e">
        <f>#REF!*D1778</f>
        <v>#REF!</v>
      </c>
      <c r="AE1778" s="53" t="e">
        <f>AD1778-#REF!</f>
        <v>#REF!</v>
      </c>
      <c r="AF1778" s="21"/>
      <c r="AG1778" s="33" t="e">
        <f>#REF!-D1778</f>
        <v>#REF!</v>
      </c>
      <c r="AH1778" s="21"/>
      <c r="AI1778" s="21"/>
    </row>
    <row r="1779" spans="1:37" s="17" customFormat="1" ht="30.6" outlineLevel="1" x14ac:dyDescent="0.2">
      <c r="A1779" s="62" t="s">
        <v>2055</v>
      </c>
      <c r="B1779" s="14" t="s">
        <v>221</v>
      </c>
      <c r="C1779" s="9" t="s">
        <v>47</v>
      </c>
      <c r="D1779" s="25">
        <f t="shared" si="473"/>
        <v>20</v>
      </c>
      <c r="E1779" s="54"/>
      <c r="F1779" s="9"/>
      <c r="G1779" s="9">
        <v>0</v>
      </c>
      <c r="H1779" s="9">
        <v>14</v>
      </c>
      <c r="I1779" s="9">
        <v>0</v>
      </c>
      <c r="J1779" s="9">
        <v>0</v>
      </c>
      <c r="K1779" s="9">
        <v>0</v>
      </c>
      <c r="L1779" s="9">
        <v>0</v>
      </c>
      <c r="M1779" s="9">
        <v>0</v>
      </c>
      <c r="N1779" s="9">
        <v>0</v>
      </c>
      <c r="O1779" s="9">
        <v>0</v>
      </c>
      <c r="P1779" s="9">
        <v>0</v>
      </c>
      <c r="Q1779" s="9">
        <v>0</v>
      </c>
      <c r="R1779" s="9">
        <v>0</v>
      </c>
      <c r="S1779" s="9">
        <v>0</v>
      </c>
      <c r="T1779" s="9">
        <v>0</v>
      </c>
      <c r="U1779" s="9">
        <v>6</v>
      </c>
      <c r="V1779" s="9">
        <v>0</v>
      </c>
      <c r="W1779" s="9">
        <v>0</v>
      </c>
      <c r="X1779" s="9">
        <v>0</v>
      </c>
      <c r="Y1779" s="9">
        <v>0</v>
      </c>
      <c r="Z1779" s="9">
        <v>0</v>
      </c>
      <c r="AA1779" s="9">
        <v>0</v>
      </c>
      <c r="AB1779" s="9">
        <v>0</v>
      </c>
      <c r="AC1779" s="9">
        <v>0</v>
      </c>
      <c r="AD1779" s="53" t="e">
        <f>#REF!*D1779</f>
        <v>#REF!</v>
      </c>
      <c r="AE1779" s="53" t="e">
        <f>AD1779-#REF!</f>
        <v>#REF!</v>
      </c>
      <c r="AF1779" s="21"/>
      <c r="AG1779" s="33" t="e">
        <f>#REF!-D1779</f>
        <v>#REF!</v>
      </c>
      <c r="AH1779" s="21"/>
      <c r="AI1779" s="21"/>
    </row>
    <row r="1780" spans="1:37" s="12" customFormat="1" ht="30.6" outlineLevel="1" x14ac:dyDescent="0.2">
      <c r="A1780" s="62" t="s">
        <v>2056</v>
      </c>
      <c r="B1780" s="14" t="s">
        <v>2050</v>
      </c>
      <c r="C1780" s="9" t="s">
        <v>47</v>
      </c>
      <c r="D1780" s="25">
        <f t="shared" si="473"/>
        <v>3</v>
      </c>
      <c r="E1780" s="54"/>
      <c r="F1780" s="9"/>
      <c r="G1780" s="9">
        <v>2</v>
      </c>
      <c r="H1780" s="9">
        <v>1</v>
      </c>
      <c r="I1780" s="9">
        <v>0</v>
      </c>
      <c r="J1780" s="9">
        <v>0</v>
      </c>
      <c r="K1780" s="9">
        <v>0</v>
      </c>
      <c r="L1780" s="9">
        <v>0</v>
      </c>
      <c r="M1780" s="9">
        <v>0</v>
      </c>
      <c r="N1780" s="9">
        <v>0</v>
      </c>
      <c r="O1780" s="9">
        <v>0</v>
      </c>
      <c r="P1780" s="9">
        <v>0</v>
      </c>
      <c r="Q1780" s="9">
        <v>0</v>
      </c>
      <c r="R1780" s="9">
        <v>0</v>
      </c>
      <c r="S1780" s="9">
        <v>0</v>
      </c>
      <c r="T1780" s="9">
        <v>0</v>
      </c>
      <c r="U1780" s="9">
        <v>0</v>
      </c>
      <c r="V1780" s="9">
        <v>0</v>
      </c>
      <c r="W1780" s="9">
        <v>0</v>
      </c>
      <c r="X1780" s="9">
        <v>0</v>
      </c>
      <c r="Y1780" s="9">
        <v>0</v>
      </c>
      <c r="Z1780" s="9">
        <v>0</v>
      </c>
      <c r="AA1780" s="9">
        <v>0</v>
      </c>
      <c r="AB1780" s="9">
        <v>0</v>
      </c>
      <c r="AC1780" s="9">
        <v>0</v>
      </c>
      <c r="AD1780" s="53" t="e">
        <f>#REF!*D1780</f>
        <v>#REF!</v>
      </c>
      <c r="AE1780" s="53" t="e">
        <f>AD1780-#REF!</f>
        <v>#REF!</v>
      </c>
      <c r="AF1780" s="8"/>
      <c r="AG1780" s="33" t="e">
        <f>#REF!-D1780</f>
        <v>#REF!</v>
      </c>
      <c r="AH1780" s="8"/>
      <c r="AI1780" s="8"/>
    </row>
    <row r="1781" spans="1:37" s="17" customFormat="1" ht="21.6" outlineLevel="1" x14ac:dyDescent="0.2">
      <c r="A1781" s="62" t="s">
        <v>2057</v>
      </c>
      <c r="B1781" s="14" t="s">
        <v>223</v>
      </c>
      <c r="C1781" s="9" t="s">
        <v>47</v>
      </c>
      <c r="D1781" s="25">
        <f t="shared" si="473"/>
        <v>98</v>
      </c>
      <c r="E1781" s="54"/>
      <c r="F1781" s="9"/>
      <c r="G1781" s="9">
        <v>0</v>
      </c>
      <c r="H1781" s="9">
        <f>24-7</f>
        <v>17</v>
      </c>
      <c r="I1781" s="9">
        <v>0</v>
      </c>
      <c r="J1781" s="9">
        <v>0</v>
      </c>
      <c r="K1781" s="9">
        <v>0</v>
      </c>
      <c r="L1781" s="9">
        <v>0</v>
      </c>
      <c r="M1781" s="9">
        <v>10</v>
      </c>
      <c r="N1781" s="9">
        <v>5</v>
      </c>
      <c r="O1781" s="9">
        <v>0</v>
      </c>
      <c r="P1781" s="9">
        <v>0</v>
      </c>
      <c r="Q1781" s="9">
        <v>0</v>
      </c>
      <c r="R1781" s="9">
        <v>12</v>
      </c>
      <c r="S1781" s="9">
        <f>28+14</f>
        <v>42</v>
      </c>
      <c r="T1781" s="9">
        <v>0</v>
      </c>
      <c r="U1781" s="9">
        <v>6</v>
      </c>
      <c r="V1781" s="9">
        <v>0</v>
      </c>
      <c r="W1781" s="9">
        <v>0</v>
      </c>
      <c r="X1781" s="9">
        <v>0</v>
      </c>
      <c r="Y1781" s="9">
        <v>0</v>
      </c>
      <c r="Z1781" s="9">
        <v>0</v>
      </c>
      <c r="AA1781" s="9">
        <v>0</v>
      </c>
      <c r="AB1781" s="9">
        <v>4</v>
      </c>
      <c r="AC1781" s="9">
        <v>2</v>
      </c>
      <c r="AD1781" s="53" t="e">
        <f>#REF!*D1781</f>
        <v>#REF!</v>
      </c>
      <c r="AE1781" s="53" t="e">
        <f>AD1781-#REF!</f>
        <v>#REF!</v>
      </c>
      <c r="AF1781" s="21"/>
      <c r="AG1781" s="33" t="e">
        <f>#REF!-D1781</f>
        <v>#REF!</v>
      </c>
      <c r="AH1781" s="21"/>
      <c r="AI1781" s="21"/>
    </row>
    <row r="1782" spans="1:37" s="17" customFormat="1" ht="21.6" outlineLevel="1" x14ac:dyDescent="0.2">
      <c r="A1782" s="62" t="s">
        <v>2058</v>
      </c>
      <c r="B1782" s="14" t="s">
        <v>308</v>
      </c>
      <c r="C1782" s="9" t="s">
        <v>47</v>
      </c>
      <c r="D1782" s="25">
        <f t="shared" si="473"/>
        <v>47</v>
      </c>
      <c r="E1782" s="54"/>
      <c r="F1782" s="9"/>
      <c r="G1782" s="9">
        <v>0</v>
      </c>
      <c r="H1782" s="9">
        <v>17</v>
      </c>
      <c r="I1782" s="9">
        <v>0</v>
      </c>
      <c r="J1782" s="9">
        <v>0</v>
      </c>
      <c r="K1782" s="9">
        <v>0</v>
      </c>
      <c r="L1782" s="9">
        <v>0</v>
      </c>
      <c r="M1782" s="9">
        <v>0</v>
      </c>
      <c r="N1782" s="9">
        <v>0</v>
      </c>
      <c r="O1782" s="9">
        <v>0</v>
      </c>
      <c r="P1782" s="9">
        <v>0</v>
      </c>
      <c r="Q1782" s="9">
        <v>0</v>
      </c>
      <c r="R1782" s="9">
        <v>0</v>
      </c>
      <c r="S1782" s="9">
        <v>24</v>
      </c>
      <c r="T1782" s="9">
        <v>0</v>
      </c>
      <c r="U1782" s="9">
        <v>6</v>
      </c>
      <c r="V1782" s="9">
        <v>0</v>
      </c>
      <c r="W1782" s="9">
        <v>0</v>
      </c>
      <c r="X1782" s="9">
        <v>0</v>
      </c>
      <c r="Y1782" s="9">
        <v>0</v>
      </c>
      <c r="Z1782" s="9">
        <v>0</v>
      </c>
      <c r="AA1782" s="9">
        <v>0</v>
      </c>
      <c r="AB1782" s="9">
        <v>0</v>
      </c>
      <c r="AC1782" s="9">
        <v>0</v>
      </c>
      <c r="AD1782" s="53" t="e">
        <f>#REF!*D1782</f>
        <v>#REF!</v>
      </c>
      <c r="AE1782" s="53" t="e">
        <f>AD1782-#REF!</f>
        <v>#REF!</v>
      </c>
      <c r="AF1782" s="21"/>
      <c r="AG1782" s="33" t="e">
        <f>#REF!-D1782</f>
        <v>#REF!</v>
      </c>
      <c r="AH1782" s="21"/>
      <c r="AI1782" s="21"/>
    </row>
    <row r="1783" spans="1:37" s="17" customFormat="1" ht="31.8" outlineLevel="1" x14ac:dyDescent="0.2">
      <c r="A1783" s="62" t="s">
        <v>2059</v>
      </c>
      <c r="B1783" s="14" t="s">
        <v>2051</v>
      </c>
      <c r="C1783" s="9" t="s">
        <v>47</v>
      </c>
      <c r="D1783" s="25">
        <f t="shared" si="473"/>
        <v>23</v>
      </c>
      <c r="E1783" s="54"/>
      <c r="F1783" s="9"/>
      <c r="G1783" s="9">
        <v>0</v>
      </c>
      <c r="H1783" s="9">
        <v>17</v>
      </c>
      <c r="I1783" s="9">
        <v>0</v>
      </c>
      <c r="J1783" s="9">
        <v>0</v>
      </c>
      <c r="K1783" s="9">
        <v>0</v>
      </c>
      <c r="L1783" s="9">
        <v>0</v>
      </c>
      <c r="M1783" s="9">
        <v>0</v>
      </c>
      <c r="N1783" s="9">
        <v>0</v>
      </c>
      <c r="O1783" s="9">
        <v>0</v>
      </c>
      <c r="P1783" s="9">
        <v>0</v>
      </c>
      <c r="Q1783" s="9">
        <v>0</v>
      </c>
      <c r="R1783" s="9">
        <v>0</v>
      </c>
      <c r="S1783" s="9">
        <v>0</v>
      </c>
      <c r="T1783" s="9">
        <v>0</v>
      </c>
      <c r="U1783" s="9">
        <v>6</v>
      </c>
      <c r="V1783" s="9">
        <v>0</v>
      </c>
      <c r="W1783" s="9">
        <v>0</v>
      </c>
      <c r="X1783" s="9">
        <v>0</v>
      </c>
      <c r="Y1783" s="9">
        <v>0</v>
      </c>
      <c r="Z1783" s="9">
        <v>0</v>
      </c>
      <c r="AA1783" s="9">
        <v>0</v>
      </c>
      <c r="AB1783" s="9">
        <v>0</v>
      </c>
      <c r="AC1783" s="9">
        <v>0</v>
      </c>
      <c r="AD1783" s="53" t="e">
        <f>#REF!*D1783</f>
        <v>#REF!</v>
      </c>
      <c r="AE1783" s="53" t="e">
        <f>AD1783-#REF!</f>
        <v>#REF!</v>
      </c>
      <c r="AF1783" s="21"/>
      <c r="AG1783" s="33" t="e">
        <f>#REF!-D1783</f>
        <v>#REF!</v>
      </c>
      <c r="AH1783" s="21"/>
      <c r="AI1783" s="21"/>
    </row>
    <row r="1784" spans="1:37" s="17" customFormat="1" ht="31.8" outlineLevel="1" x14ac:dyDescent="0.2">
      <c r="A1784" s="62" t="s">
        <v>2060</v>
      </c>
      <c r="B1784" s="14" t="s">
        <v>224</v>
      </c>
      <c r="C1784" s="9" t="s">
        <v>47</v>
      </c>
      <c r="D1784" s="25">
        <f t="shared" si="473"/>
        <v>54</v>
      </c>
      <c r="E1784" s="54"/>
      <c r="F1784" s="9"/>
      <c r="G1784" s="9">
        <v>0</v>
      </c>
      <c r="H1784" s="9">
        <v>0</v>
      </c>
      <c r="I1784" s="9">
        <v>0</v>
      </c>
      <c r="J1784" s="9">
        <v>0</v>
      </c>
      <c r="K1784" s="9">
        <v>0</v>
      </c>
      <c r="L1784" s="9">
        <v>0</v>
      </c>
      <c r="M1784" s="9">
        <v>0</v>
      </c>
      <c r="N1784" s="9">
        <v>0</v>
      </c>
      <c r="O1784" s="9">
        <v>0</v>
      </c>
      <c r="P1784" s="9">
        <v>0</v>
      </c>
      <c r="Q1784" s="9">
        <v>0</v>
      </c>
      <c r="R1784" s="9">
        <v>0</v>
      </c>
      <c r="S1784" s="9">
        <v>24</v>
      </c>
      <c r="T1784" s="9">
        <v>0</v>
      </c>
      <c r="U1784" s="9">
        <v>6</v>
      </c>
      <c r="V1784" s="9">
        <v>0</v>
      </c>
      <c r="W1784" s="9">
        <v>0</v>
      </c>
      <c r="X1784" s="9">
        <v>0</v>
      </c>
      <c r="Y1784" s="9">
        <v>0</v>
      </c>
      <c r="Z1784" s="9">
        <v>6</v>
      </c>
      <c r="AA1784" s="9">
        <v>6</v>
      </c>
      <c r="AB1784" s="9">
        <v>6</v>
      </c>
      <c r="AC1784" s="9">
        <v>6</v>
      </c>
      <c r="AD1784" s="53" t="e">
        <f>#REF!*D1784</f>
        <v>#REF!</v>
      </c>
      <c r="AE1784" s="53" t="e">
        <f>AD1784-#REF!</f>
        <v>#REF!</v>
      </c>
      <c r="AF1784" s="21"/>
      <c r="AG1784" s="33" t="e">
        <f>#REF!-D1784</f>
        <v>#REF!</v>
      </c>
      <c r="AH1784" s="21"/>
      <c r="AI1784" s="21"/>
    </row>
    <row r="1785" spans="1:37" s="17" customFormat="1" ht="21.6" outlineLevel="1" x14ac:dyDescent="0.2">
      <c r="A1785" s="62" t="s">
        <v>2061</v>
      </c>
      <c r="B1785" s="14" t="s">
        <v>222</v>
      </c>
      <c r="C1785" s="9" t="s">
        <v>47</v>
      </c>
      <c r="D1785" s="25">
        <f t="shared" si="473"/>
        <v>960</v>
      </c>
      <c r="E1785" s="54"/>
      <c r="F1785" s="9"/>
      <c r="G1785" s="9">
        <v>0</v>
      </c>
      <c r="H1785" s="9">
        <v>0</v>
      </c>
      <c r="I1785" s="9">
        <v>0</v>
      </c>
      <c r="J1785" s="9">
        <v>0</v>
      </c>
      <c r="K1785" s="9">
        <v>0</v>
      </c>
      <c r="L1785" s="9">
        <v>0</v>
      </c>
      <c r="M1785" s="9">
        <v>135</v>
      </c>
      <c r="N1785" s="9">
        <v>55</v>
      </c>
      <c r="O1785" s="9">
        <v>0</v>
      </c>
      <c r="P1785" s="9">
        <v>0</v>
      </c>
      <c r="Q1785" s="9">
        <v>0</v>
      </c>
      <c r="R1785" s="9">
        <v>140</v>
      </c>
      <c r="S1785" s="9">
        <v>300</v>
      </c>
      <c r="T1785" s="9">
        <v>0</v>
      </c>
      <c r="U1785" s="9">
        <v>0</v>
      </c>
      <c r="V1785" s="9">
        <v>0</v>
      </c>
      <c r="W1785" s="9">
        <v>0</v>
      </c>
      <c r="X1785" s="9">
        <v>75</v>
      </c>
      <c r="Y1785" s="9">
        <v>0</v>
      </c>
      <c r="Z1785" s="9">
        <v>0</v>
      </c>
      <c r="AA1785" s="9">
        <v>0</v>
      </c>
      <c r="AB1785" s="9">
        <f>152+18</f>
        <v>170</v>
      </c>
      <c r="AC1785" s="9">
        <v>85</v>
      </c>
      <c r="AD1785" s="53" t="e">
        <f>#REF!*D1785</f>
        <v>#REF!</v>
      </c>
      <c r="AE1785" s="53" t="e">
        <f>AD1785-#REF!</f>
        <v>#REF!</v>
      </c>
      <c r="AF1785" s="21"/>
      <c r="AG1785" s="33" t="e">
        <f>#REF!-D1785</f>
        <v>#REF!</v>
      </c>
      <c r="AH1785" s="21"/>
      <c r="AI1785" s="21"/>
    </row>
    <row r="1786" spans="1:37" s="17" customFormat="1" ht="20.399999999999999" outlineLevel="1" x14ac:dyDescent="0.2">
      <c r="A1786" s="62" t="s">
        <v>2062</v>
      </c>
      <c r="B1786" s="14" t="s">
        <v>2498</v>
      </c>
      <c r="C1786" s="9" t="s">
        <v>47</v>
      </c>
      <c r="D1786" s="25">
        <f t="shared" si="473"/>
        <v>960</v>
      </c>
      <c r="E1786" s="54"/>
      <c r="F1786" s="9"/>
      <c r="G1786" s="9">
        <v>0</v>
      </c>
      <c r="H1786" s="9">
        <v>0</v>
      </c>
      <c r="I1786" s="9">
        <v>0</v>
      </c>
      <c r="J1786" s="9">
        <v>0</v>
      </c>
      <c r="K1786" s="9">
        <v>0</v>
      </c>
      <c r="L1786" s="9">
        <v>0</v>
      </c>
      <c r="M1786" s="9">
        <v>135</v>
      </c>
      <c r="N1786" s="9">
        <v>55</v>
      </c>
      <c r="O1786" s="9">
        <v>0</v>
      </c>
      <c r="P1786" s="9">
        <v>0</v>
      </c>
      <c r="Q1786" s="9">
        <v>0</v>
      </c>
      <c r="R1786" s="9">
        <v>140</v>
      </c>
      <c r="S1786" s="9">
        <v>300</v>
      </c>
      <c r="T1786" s="9">
        <v>0</v>
      </c>
      <c r="U1786" s="9">
        <v>0</v>
      </c>
      <c r="V1786" s="9">
        <v>0</v>
      </c>
      <c r="W1786" s="9">
        <v>0</v>
      </c>
      <c r="X1786" s="9">
        <v>75</v>
      </c>
      <c r="Y1786" s="9">
        <v>0</v>
      </c>
      <c r="Z1786" s="9">
        <v>0</v>
      </c>
      <c r="AA1786" s="9">
        <v>0</v>
      </c>
      <c r="AB1786" s="9">
        <v>170</v>
      </c>
      <c r="AC1786" s="9">
        <v>85</v>
      </c>
      <c r="AD1786" s="53" t="e">
        <f>#REF!*D1786</f>
        <v>#REF!</v>
      </c>
      <c r="AE1786" s="53" t="e">
        <f>AD1786-#REF!</f>
        <v>#REF!</v>
      </c>
      <c r="AF1786" s="21"/>
      <c r="AG1786" s="33" t="e">
        <f>#REF!-D1786</f>
        <v>#REF!</v>
      </c>
      <c r="AH1786" s="21"/>
      <c r="AI1786" s="21"/>
    </row>
    <row r="1787" spans="1:37" s="17" customFormat="1" ht="20.399999999999999" outlineLevel="1" x14ac:dyDescent="0.2">
      <c r="A1787" s="62" t="s">
        <v>2064</v>
      </c>
      <c r="B1787" s="14" t="s">
        <v>2063</v>
      </c>
      <c r="C1787" s="9" t="s">
        <v>47</v>
      </c>
      <c r="D1787" s="25">
        <f t="shared" si="473"/>
        <v>276</v>
      </c>
      <c r="E1787" s="54"/>
      <c r="F1787" s="9"/>
      <c r="G1787" s="9">
        <v>0</v>
      </c>
      <c r="H1787" s="9">
        <v>0</v>
      </c>
      <c r="I1787" s="9">
        <v>0</v>
      </c>
      <c r="J1787" s="9">
        <v>0</v>
      </c>
      <c r="K1787" s="9">
        <v>0</v>
      </c>
      <c r="L1787" s="9">
        <v>0</v>
      </c>
      <c r="M1787" s="9">
        <v>0</v>
      </c>
      <c r="N1787" s="9">
        <v>0</v>
      </c>
      <c r="O1787" s="9">
        <v>0</v>
      </c>
      <c r="P1787" s="9">
        <v>0</v>
      </c>
      <c r="Q1787" s="9">
        <v>0</v>
      </c>
      <c r="R1787" s="9">
        <v>0</v>
      </c>
      <c r="S1787" s="9">
        <v>0</v>
      </c>
      <c r="T1787" s="9">
        <v>200</v>
      </c>
      <c r="U1787" s="9">
        <v>0</v>
      </c>
      <c r="V1787" s="9">
        <v>0</v>
      </c>
      <c r="W1787" s="9">
        <v>0</v>
      </c>
      <c r="X1787" s="9">
        <v>0</v>
      </c>
      <c r="Y1787" s="9">
        <v>0</v>
      </c>
      <c r="Z1787" s="9">
        <v>55</v>
      </c>
      <c r="AA1787" s="9">
        <v>7</v>
      </c>
      <c r="AB1787" s="9">
        <v>7</v>
      </c>
      <c r="AC1787" s="9">
        <v>7</v>
      </c>
      <c r="AD1787" s="53" t="e">
        <f>#REF!*D1787</f>
        <v>#REF!</v>
      </c>
      <c r="AE1787" s="53" t="e">
        <f>AD1787-#REF!</f>
        <v>#REF!</v>
      </c>
      <c r="AF1787" s="21"/>
      <c r="AG1787" s="33" t="e">
        <f>#REF!-D1787</f>
        <v>#REF!</v>
      </c>
      <c r="AH1787" s="21"/>
      <c r="AI1787" s="21"/>
    </row>
    <row r="1788" spans="1:37" s="17" customFormat="1" ht="20.399999999999999" outlineLevel="1" x14ac:dyDescent="0.2">
      <c r="A1788" s="62" t="s">
        <v>2065</v>
      </c>
      <c r="B1788" s="14" t="s">
        <v>225</v>
      </c>
      <c r="C1788" s="9" t="s">
        <v>57</v>
      </c>
      <c r="D1788" s="25">
        <f t="shared" si="473"/>
        <v>405</v>
      </c>
      <c r="E1788" s="54"/>
      <c r="F1788" s="9"/>
      <c r="G1788" s="9">
        <v>0</v>
      </c>
      <c r="H1788" s="9">
        <v>0</v>
      </c>
      <c r="I1788" s="9">
        <v>0</v>
      </c>
      <c r="J1788" s="9">
        <v>0</v>
      </c>
      <c r="K1788" s="9">
        <v>0</v>
      </c>
      <c r="L1788" s="9">
        <v>0</v>
      </c>
      <c r="M1788" s="9">
        <v>0</v>
      </c>
      <c r="N1788" s="9">
        <v>0</v>
      </c>
      <c r="O1788" s="9">
        <v>0</v>
      </c>
      <c r="P1788" s="9">
        <v>0</v>
      </c>
      <c r="Q1788" s="9">
        <v>0</v>
      </c>
      <c r="R1788" s="9">
        <v>0</v>
      </c>
      <c r="S1788" s="9">
        <v>0</v>
      </c>
      <c r="T1788" s="9">
        <v>250</v>
      </c>
      <c r="U1788" s="9">
        <v>0</v>
      </c>
      <c r="V1788" s="9">
        <v>0</v>
      </c>
      <c r="W1788" s="9">
        <v>0</v>
      </c>
      <c r="X1788" s="9">
        <v>0</v>
      </c>
      <c r="Y1788" s="9">
        <v>0</v>
      </c>
      <c r="Z1788" s="9">
        <v>110</v>
      </c>
      <c r="AA1788" s="9">
        <v>15</v>
      </c>
      <c r="AB1788" s="9">
        <v>15</v>
      </c>
      <c r="AC1788" s="9">
        <v>15</v>
      </c>
      <c r="AD1788" s="53" t="e">
        <f>#REF!*D1788</f>
        <v>#REF!</v>
      </c>
      <c r="AE1788" s="53" t="e">
        <f>AD1788-#REF!</f>
        <v>#REF!</v>
      </c>
      <c r="AF1788" s="21"/>
      <c r="AG1788" s="33" t="e">
        <f>#REF!-D1788</f>
        <v>#REF!</v>
      </c>
      <c r="AH1788" s="21"/>
      <c r="AI1788" s="21"/>
    </row>
    <row r="1789" spans="1:37" s="17" customFormat="1" ht="10.199999999999999" outlineLevel="1" x14ac:dyDescent="0.2">
      <c r="A1789" s="62" t="s">
        <v>3095</v>
      </c>
      <c r="B1789" s="14" t="s">
        <v>3096</v>
      </c>
      <c r="C1789" s="9" t="s">
        <v>48</v>
      </c>
      <c r="D1789" s="25">
        <f t="shared" si="473"/>
        <v>22</v>
      </c>
      <c r="E1789" s="54"/>
      <c r="F1789" s="9"/>
      <c r="G1789" s="9">
        <v>0</v>
      </c>
      <c r="H1789" s="9">
        <v>0</v>
      </c>
      <c r="I1789" s="9">
        <v>0</v>
      </c>
      <c r="J1789" s="9">
        <v>0</v>
      </c>
      <c r="K1789" s="9">
        <v>0</v>
      </c>
      <c r="L1789" s="9">
        <v>0</v>
      </c>
      <c r="M1789" s="9">
        <v>0</v>
      </c>
      <c r="N1789" s="9">
        <v>0</v>
      </c>
      <c r="O1789" s="9">
        <v>0</v>
      </c>
      <c r="P1789" s="9">
        <v>0</v>
      </c>
      <c r="Q1789" s="9">
        <v>0</v>
      </c>
      <c r="R1789" s="9">
        <v>0</v>
      </c>
      <c r="S1789" s="9">
        <v>0</v>
      </c>
      <c r="T1789" s="9">
        <v>0</v>
      </c>
      <c r="U1789" s="9">
        <v>0</v>
      </c>
      <c r="V1789" s="9">
        <v>0</v>
      </c>
      <c r="W1789" s="9">
        <v>0</v>
      </c>
      <c r="X1789" s="9">
        <v>0</v>
      </c>
      <c r="Y1789" s="9">
        <v>0</v>
      </c>
      <c r="Z1789" s="9">
        <v>0</v>
      </c>
      <c r="AA1789" s="9">
        <v>0</v>
      </c>
      <c r="AB1789" s="9">
        <v>22</v>
      </c>
      <c r="AC1789" s="9">
        <v>0</v>
      </c>
      <c r="AD1789" s="53" t="e">
        <f>#REF!*D1789</f>
        <v>#REF!</v>
      </c>
      <c r="AE1789" s="53" t="e">
        <f>AD1789-#REF!</f>
        <v>#REF!</v>
      </c>
      <c r="AF1789" s="21"/>
      <c r="AG1789" s="33" t="e">
        <f>#REF!-D1789</f>
        <v>#REF!</v>
      </c>
      <c r="AH1789" s="21"/>
      <c r="AI1789" s="21"/>
    </row>
    <row r="1790" spans="1:37" x14ac:dyDescent="0.25">
      <c r="E1790" s="54"/>
      <c r="G1790" s="9"/>
      <c r="H1790" s="76"/>
      <c r="I1790" s="76"/>
      <c r="N1790" s="76"/>
      <c r="U1790" s="76"/>
      <c r="V1790" s="76"/>
      <c r="AA1790" s="76"/>
      <c r="AD1790" s="53" t="e">
        <f>#REF!*D1790</f>
        <v>#REF!</v>
      </c>
      <c r="AE1790" s="53" t="e">
        <f>AD1790-#REF!</f>
        <v>#REF!</v>
      </c>
      <c r="AG1790" s="33" t="e">
        <f>#REF!-D1790</f>
        <v>#REF!</v>
      </c>
      <c r="AJ1790" s="2"/>
      <c r="AK1790" s="2"/>
    </row>
    <row r="1791" spans="1:37" x14ac:dyDescent="0.25">
      <c r="A1791" s="58">
        <v>11</v>
      </c>
      <c r="B1791" s="59" t="s">
        <v>235</v>
      </c>
      <c r="C1791" s="58" t="s">
        <v>41</v>
      </c>
      <c r="D1791" s="60" t="e">
        <f>#REF!/#REF!*100</f>
        <v>#REF!</v>
      </c>
      <c r="E1791" s="200" t="s">
        <v>2806</v>
      </c>
      <c r="G1791" s="9"/>
      <c r="H1791" s="76"/>
      <c r="I1791" s="76"/>
      <c r="J1791" s="76"/>
      <c r="K1791" s="76"/>
      <c r="L1791" s="76"/>
      <c r="M1791" s="76"/>
      <c r="N1791" s="76"/>
      <c r="O1791" s="76"/>
      <c r="P1791" s="76"/>
      <c r="Q1791" s="76"/>
      <c r="R1791" s="76"/>
      <c r="S1791" s="76"/>
      <c r="T1791" s="76"/>
      <c r="U1791" s="76"/>
      <c r="V1791" s="76"/>
      <c r="W1791" s="76"/>
      <c r="X1791" s="76"/>
      <c r="Y1791" s="76"/>
      <c r="Z1791" s="76"/>
      <c r="AA1791" s="76"/>
      <c r="AB1791" s="76"/>
      <c r="AC1791" s="76"/>
      <c r="AD1791" s="53" t="e">
        <f>#REF!*D1791</f>
        <v>#REF!</v>
      </c>
      <c r="AE1791" s="53" t="e">
        <f>AD1791-#REF!</f>
        <v>#REF!</v>
      </c>
      <c r="AG1791" s="33" t="e">
        <f>#REF!-D1791</f>
        <v>#REF!</v>
      </c>
    </row>
    <row r="1792" spans="1:37" x14ac:dyDescent="0.25">
      <c r="A1792" s="18" t="s">
        <v>2149</v>
      </c>
      <c r="B1792" s="35" t="s">
        <v>2114</v>
      </c>
      <c r="C1792" s="18" t="s">
        <v>41</v>
      </c>
      <c r="D1792" s="52" t="e">
        <f>#REF!/#REF!*100</f>
        <v>#REF!</v>
      </c>
      <c r="G1792" s="9"/>
      <c r="H1792" s="81"/>
      <c r="I1792" s="81"/>
      <c r="J1792" s="76"/>
      <c r="K1792" s="76"/>
      <c r="L1792" s="76"/>
      <c r="M1792" s="76"/>
      <c r="N1792" s="81"/>
      <c r="O1792" s="76"/>
      <c r="P1792" s="76"/>
      <c r="Q1792" s="76"/>
      <c r="R1792" s="76"/>
      <c r="S1792" s="76"/>
      <c r="T1792" s="76"/>
      <c r="U1792" s="81"/>
      <c r="V1792" s="81"/>
      <c r="W1792" s="76"/>
      <c r="X1792" s="76"/>
      <c r="Y1792" s="76"/>
      <c r="Z1792" s="76"/>
      <c r="AA1792" s="81"/>
      <c r="AB1792" s="214" t="s">
        <v>375</v>
      </c>
      <c r="AC1792" s="76"/>
      <c r="AD1792" s="53" t="e">
        <f>#REF!*D1792</f>
        <v>#REF!</v>
      </c>
      <c r="AE1792" s="53" t="e">
        <f>AD1792-#REF!</f>
        <v>#REF!</v>
      </c>
      <c r="AG1792" s="33" t="e">
        <f>#REF!-D1792</f>
        <v>#REF!</v>
      </c>
    </row>
    <row r="1793" spans="1:38" s="12" customFormat="1" ht="30.6" outlineLevel="1" x14ac:dyDescent="0.2">
      <c r="A1793" s="62" t="s">
        <v>2150</v>
      </c>
      <c r="B1793" s="14" t="s">
        <v>236</v>
      </c>
      <c r="C1793" s="8" t="s">
        <v>48</v>
      </c>
      <c r="D1793" s="25">
        <f t="shared" ref="D1793:D1799" si="474">SUM(G1793:AC1793)*6</f>
        <v>1440</v>
      </c>
      <c r="E1793" s="54"/>
      <c r="F1793" s="78"/>
      <c r="G1793" s="9">
        <v>0</v>
      </c>
      <c r="H1793" s="9">
        <f>21-7</f>
        <v>14</v>
      </c>
      <c r="I1793" s="9">
        <f>45-6</f>
        <v>39</v>
      </c>
      <c r="J1793" s="9">
        <f>23-6</f>
        <v>17</v>
      </c>
      <c r="K1793" s="9">
        <f>33-13</f>
        <v>20</v>
      </c>
      <c r="L1793" s="9">
        <f>30-12</f>
        <v>18</v>
      </c>
      <c r="M1793" s="9">
        <v>13</v>
      </c>
      <c r="N1793" s="9">
        <v>13</v>
      </c>
      <c r="O1793" s="9">
        <v>13</v>
      </c>
      <c r="P1793" s="9">
        <v>11</v>
      </c>
      <c r="Q1793" s="9">
        <v>6</v>
      </c>
      <c r="R1793" s="9">
        <v>0</v>
      </c>
      <c r="S1793" s="9">
        <v>0</v>
      </c>
      <c r="T1793" s="9">
        <v>0</v>
      </c>
      <c r="U1793" s="9">
        <v>13</v>
      </c>
      <c r="V1793" s="9">
        <v>8</v>
      </c>
      <c r="W1793" s="9">
        <v>14.5</v>
      </c>
      <c r="X1793" s="9">
        <v>8.5</v>
      </c>
      <c r="Y1793" s="9">
        <v>14.5</v>
      </c>
      <c r="Z1793" s="9">
        <v>7</v>
      </c>
      <c r="AA1793" s="9">
        <v>7</v>
      </c>
      <c r="AB1793" s="9">
        <v>3.5</v>
      </c>
      <c r="AC1793" s="9">
        <v>0</v>
      </c>
      <c r="AD1793" s="53" t="e">
        <f>#REF!*D1793</f>
        <v>#REF!</v>
      </c>
      <c r="AE1793" s="53" t="e">
        <f>AD1793-#REF!</f>
        <v>#REF!</v>
      </c>
      <c r="AF1793" s="8"/>
      <c r="AG1793" s="33" t="e">
        <f>#REF!-D1793</f>
        <v>#REF!</v>
      </c>
      <c r="AH1793" s="8"/>
      <c r="AI1793" s="8"/>
      <c r="AJ1793" s="8"/>
      <c r="AK1793" s="8"/>
      <c r="AL1793" s="8"/>
    </row>
    <row r="1794" spans="1:38" s="17" customFormat="1" ht="30.6" outlineLevel="1" x14ac:dyDescent="0.2">
      <c r="A1794" s="62" t="s">
        <v>2151</v>
      </c>
      <c r="B1794" s="14" t="s">
        <v>237</v>
      </c>
      <c r="C1794" s="8" t="s">
        <v>48</v>
      </c>
      <c r="D1794" s="25">
        <f t="shared" si="474"/>
        <v>669</v>
      </c>
      <c r="E1794" s="54"/>
      <c r="F1794" s="78"/>
      <c r="G1794" s="9">
        <v>0</v>
      </c>
      <c r="H1794" s="9">
        <f>16-5.5</f>
        <v>10.5</v>
      </c>
      <c r="I1794" s="9">
        <f>16-5</f>
        <v>11</v>
      </c>
      <c r="J1794" s="9">
        <v>7</v>
      </c>
      <c r="K1794" s="9">
        <v>6</v>
      </c>
      <c r="L1794" s="9">
        <f>9-1.5</f>
        <v>7.5</v>
      </c>
      <c r="M1794" s="9">
        <v>7</v>
      </c>
      <c r="N1794" s="9">
        <v>7</v>
      </c>
      <c r="O1794" s="9">
        <v>6</v>
      </c>
      <c r="P1794" s="9">
        <v>4</v>
      </c>
      <c r="Q1794" s="9">
        <v>3</v>
      </c>
      <c r="R1794" s="9">
        <v>0</v>
      </c>
      <c r="S1794" s="9">
        <v>0</v>
      </c>
      <c r="T1794" s="9">
        <v>2</v>
      </c>
      <c r="U1794" s="9">
        <v>10</v>
      </c>
      <c r="V1794" s="9">
        <v>7</v>
      </c>
      <c r="W1794" s="9">
        <v>5</v>
      </c>
      <c r="X1794" s="9">
        <v>3</v>
      </c>
      <c r="Y1794" s="9">
        <v>2</v>
      </c>
      <c r="Z1794" s="9">
        <v>6</v>
      </c>
      <c r="AA1794" s="9">
        <v>6</v>
      </c>
      <c r="AB1794" s="9">
        <v>1.5</v>
      </c>
      <c r="AC1794" s="9">
        <v>0</v>
      </c>
      <c r="AD1794" s="53" t="e">
        <f>#REF!*D1794</f>
        <v>#REF!</v>
      </c>
      <c r="AE1794" s="53" t="e">
        <f>AD1794-#REF!</f>
        <v>#REF!</v>
      </c>
      <c r="AF1794" s="8"/>
      <c r="AG1794" s="33" t="e">
        <f>#REF!-D1794</f>
        <v>#REF!</v>
      </c>
      <c r="AH1794" s="8"/>
      <c r="AI1794" s="8"/>
      <c r="AJ1794" s="8"/>
      <c r="AK1794" s="8"/>
      <c r="AL1794" s="8"/>
    </row>
    <row r="1795" spans="1:38" s="12" customFormat="1" ht="30.6" outlineLevel="1" x14ac:dyDescent="0.2">
      <c r="A1795" s="62" t="s">
        <v>2152</v>
      </c>
      <c r="B1795" s="14" t="s">
        <v>238</v>
      </c>
      <c r="C1795" s="8" t="s">
        <v>48</v>
      </c>
      <c r="D1795" s="25">
        <f t="shared" si="474"/>
        <v>687</v>
      </c>
      <c r="E1795" s="54"/>
      <c r="F1795" s="78"/>
      <c r="G1795" s="9">
        <v>0</v>
      </c>
      <c r="H1795" s="9">
        <v>5</v>
      </c>
      <c r="I1795" s="9">
        <v>8</v>
      </c>
      <c r="J1795" s="9">
        <v>7</v>
      </c>
      <c r="K1795" s="9">
        <f>16-5.5</f>
        <v>10.5</v>
      </c>
      <c r="L1795" s="9">
        <f>9-3.5</f>
        <v>5.5</v>
      </c>
      <c r="M1795" s="9">
        <v>8</v>
      </c>
      <c r="N1795" s="9">
        <v>8</v>
      </c>
      <c r="O1795" s="9">
        <v>11</v>
      </c>
      <c r="P1795" s="9">
        <v>6</v>
      </c>
      <c r="Q1795" s="9">
        <v>8</v>
      </c>
      <c r="R1795" s="9">
        <v>0</v>
      </c>
      <c r="S1795" s="9">
        <v>0</v>
      </c>
      <c r="T1795" s="9">
        <f>54/6</f>
        <v>9</v>
      </c>
      <c r="U1795" s="9">
        <v>6.5</v>
      </c>
      <c r="V1795" s="9">
        <v>3</v>
      </c>
      <c r="W1795" s="9">
        <v>3</v>
      </c>
      <c r="X1795" s="9">
        <v>3</v>
      </c>
      <c r="Y1795" s="9">
        <v>2.5</v>
      </c>
      <c r="Z1795" s="9">
        <v>3</v>
      </c>
      <c r="AA1795" s="9">
        <v>6</v>
      </c>
      <c r="AB1795" s="9">
        <v>1.5</v>
      </c>
      <c r="AC1795" s="9">
        <v>0</v>
      </c>
      <c r="AD1795" s="53" t="e">
        <f>#REF!*D1795</f>
        <v>#REF!</v>
      </c>
      <c r="AE1795" s="53" t="e">
        <f>AD1795-#REF!</f>
        <v>#REF!</v>
      </c>
      <c r="AF1795" s="8"/>
      <c r="AG1795" s="33" t="e">
        <f>#REF!-D1795</f>
        <v>#REF!</v>
      </c>
      <c r="AH1795" s="8"/>
      <c r="AI1795" s="8"/>
      <c r="AJ1795" s="8"/>
      <c r="AK1795" s="8"/>
      <c r="AL1795" s="8"/>
    </row>
    <row r="1796" spans="1:38" s="17" customFormat="1" ht="30.6" outlineLevel="1" x14ac:dyDescent="0.2">
      <c r="A1796" s="62" t="s">
        <v>2153</v>
      </c>
      <c r="B1796" s="14" t="s">
        <v>230</v>
      </c>
      <c r="C1796" s="8" t="s">
        <v>48</v>
      </c>
      <c r="D1796" s="25">
        <f t="shared" si="474"/>
        <v>675</v>
      </c>
      <c r="E1796" s="54"/>
      <c r="F1796" s="78"/>
      <c r="G1796" s="9">
        <v>0</v>
      </c>
      <c r="H1796" s="9">
        <f>10-3.5</f>
        <v>6.5</v>
      </c>
      <c r="I1796" s="9">
        <v>7</v>
      </c>
      <c r="J1796" s="9">
        <v>8</v>
      </c>
      <c r="K1796" s="9">
        <f>26-7</f>
        <v>19</v>
      </c>
      <c r="L1796" s="9">
        <f>14-4.5</f>
        <v>9.5</v>
      </c>
      <c r="M1796" s="9">
        <v>9</v>
      </c>
      <c r="N1796" s="9">
        <v>9</v>
      </c>
      <c r="O1796" s="9">
        <v>7</v>
      </c>
      <c r="P1796" s="9">
        <v>5</v>
      </c>
      <c r="Q1796" s="9">
        <v>3</v>
      </c>
      <c r="R1796" s="9">
        <v>0</v>
      </c>
      <c r="S1796" s="9">
        <v>0</v>
      </c>
      <c r="T1796" s="9">
        <v>0</v>
      </c>
      <c r="U1796" s="9">
        <v>3</v>
      </c>
      <c r="V1796" s="9">
        <v>8</v>
      </c>
      <c r="W1796" s="9">
        <v>5</v>
      </c>
      <c r="X1796" s="9">
        <v>2.5</v>
      </c>
      <c r="Y1796" s="9">
        <v>2.5</v>
      </c>
      <c r="Z1796" s="9">
        <v>4</v>
      </c>
      <c r="AA1796" s="9">
        <v>4</v>
      </c>
      <c r="AB1796" s="9">
        <v>0.5</v>
      </c>
      <c r="AC1796" s="9">
        <v>0</v>
      </c>
      <c r="AD1796" s="53" t="e">
        <f>#REF!*D1796</f>
        <v>#REF!</v>
      </c>
      <c r="AE1796" s="53" t="e">
        <f>AD1796-#REF!</f>
        <v>#REF!</v>
      </c>
      <c r="AF1796" s="8"/>
      <c r="AG1796" s="33" t="e">
        <f>#REF!-D1796</f>
        <v>#REF!</v>
      </c>
      <c r="AH1796" s="8"/>
      <c r="AI1796" s="8"/>
      <c r="AJ1796" s="8"/>
      <c r="AK1796" s="8"/>
      <c r="AL1796" s="8"/>
    </row>
    <row r="1797" spans="1:38" s="17" customFormat="1" ht="30.6" outlineLevel="1" x14ac:dyDescent="0.2">
      <c r="A1797" s="62" t="s">
        <v>2154</v>
      </c>
      <c r="B1797" s="14" t="s">
        <v>175</v>
      </c>
      <c r="C1797" s="8" t="s">
        <v>48</v>
      </c>
      <c r="D1797" s="25">
        <f t="shared" si="474"/>
        <v>462</v>
      </c>
      <c r="E1797" s="54"/>
      <c r="F1797" s="78"/>
      <c r="G1797" s="9">
        <v>7</v>
      </c>
      <c r="H1797" s="9">
        <v>5</v>
      </c>
      <c r="I1797" s="9">
        <v>7</v>
      </c>
      <c r="J1797" s="9">
        <v>5</v>
      </c>
      <c r="K1797" s="9">
        <f>6-1.5</f>
        <v>4.5</v>
      </c>
      <c r="L1797" s="9">
        <f>5-1.5</f>
        <v>3.5</v>
      </c>
      <c r="M1797" s="9">
        <v>2</v>
      </c>
      <c r="N1797" s="9">
        <v>2</v>
      </c>
      <c r="O1797" s="9">
        <v>2</v>
      </c>
      <c r="P1797" s="9">
        <v>6</v>
      </c>
      <c r="Q1797" s="9">
        <v>4</v>
      </c>
      <c r="R1797" s="9">
        <v>0</v>
      </c>
      <c r="S1797" s="9">
        <v>0</v>
      </c>
      <c r="T1797" s="9">
        <v>4</v>
      </c>
      <c r="U1797" s="9">
        <v>6.5</v>
      </c>
      <c r="V1797" s="9">
        <v>2</v>
      </c>
      <c r="W1797" s="9">
        <v>8</v>
      </c>
      <c r="X1797" s="9">
        <v>1.5</v>
      </c>
      <c r="Y1797" s="9">
        <v>4</v>
      </c>
      <c r="Z1797" s="9">
        <v>1.5</v>
      </c>
      <c r="AA1797" s="9">
        <v>1.5</v>
      </c>
      <c r="AB1797" s="9">
        <v>0</v>
      </c>
      <c r="AC1797" s="9">
        <v>0</v>
      </c>
      <c r="AD1797" s="53" t="e">
        <f>#REF!*D1797</f>
        <v>#REF!</v>
      </c>
      <c r="AE1797" s="53" t="e">
        <f>AD1797-#REF!</f>
        <v>#REF!</v>
      </c>
      <c r="AF1797" s="8"/>
      <c r="AG1797" s="33" t="e">
        <f>#REF!-D1797</f>
        <v>#REF!</v>
      </c>
      <c r="AH1797" s="8"/>
      <c r="AI1797" s="8"/>
      <c r="AJ1797" s="8"/>
      <c r="AK1797" s="8"/>
      <c r="AL1797" s="8"/>
    </row>
    <row r="1798" spans="1:38" s="17" customFormat="1" ht="30.6" outlineLevel="1" x14ac:dyDescent="0.2">
      <c r="A1798" s="62" t="s">
        <v>2155</v>
      </c>
      <c r="B1798" s="14" t="s">
        <v>239</v>
      </c>
      <c r="C1798" s="8" t="s">
        <v>48</v>
      </c>
      <c r="D1798" s="25">
        <f t="shared" si="474"/>
        <v>165</v>
      </c>
      <c r="E1798" s="54"/>
      <c r="F1798" s="78"/>
      <c r="G1798" s="9">
        <v>0</v>
      </c>
      <c r="H1798" s="9">
        <v>0</v>
      </c>
      <c r="I1798" s="9">
        <v>1</v>
      </c>
      <c r="J1798" s="9">
        <v>0</v>
      </c>
      <c r="K1798" s="9">
        <v>0</v>
      </c>
      <c r="L1798" s="9">
        <f>14-5</f>
        <v>9</v>
      </c>
      <c r="M1798" s="9">
        <v>0</v>
      </c>
      <c r="N1798" s="9">
        <v>0</v>
      </c>
      <c r="O1798" s="9">
        <v>0</v>
      </c>
      <c r="P1798" s="9">
        <v>0</v>
      </c>
      <c r="Q1798" s="9">
        <v>0</v>
      </c>
      <c r="R1798" s="9">
        <v>0</v>
      </c>
      <c r="S1798" s="9">
        <v>0</v>
      </c>
      <c r="T1798" s="9">
        <v>3</v>
      </c>
      <c r="U1798" s="9">
        <v>0.5</v>
      </c>
      <c r="V1798" s="9">
        <v>1.5</v>
      </c>
      <c r="W1798" s="9">
        <v>0.5</v>
      </c>
      <c r="X1798" s="9">
        <v>0.5</v>
      </c>
      <c r="Y1798" s="9">
        <v>6</v>
      </c>
      <c r="Z1798" s="9">
        <v>0.5</v>
      </c>
      <c r="AA1798" s="9">
        <v>4.5</v>
      </c>
      <c r="AB1798" s="9">
        <v>0.5</v>
      </c>
      <c r="AC1798" s="9">
        <v>0</v>
      </c>
      <c r="AD1798" s="53" t="e">
        <f>#REF!*D1798</f>
        <v>#REF!</v>
      </c>
      <c r="AE1798" s="53" t="e">
        <f>AD1798-#REF!</f>
        <v>#REF!</v>
      </c>
      <c r="AF1798" s="8"/>
      <c r="AG1798" s="33" t="e">
        <f>#REF!-D1798</f>
        <v>#REF!</v>
      </c>
      <c r="AH1798" s="8"/>
      <c r="AI1798" s="8"/>
      <c r="AJ1798" s="8"/>
      <c r="AK1798" s="8"/>
      <c r="AL1798" s="8"/>
    </row>
    <row r="1799" spans="1:38" s="12" customFormat="1" ht="30.6" outlineLevel="1" x14ac:dyDescent="0.2">
      <c r="A1799" s="62" t="s">
        <v>2156</v>
      </c>
      <c r="B1799" s="14" t="s">
        <v>240</v>
      </c>
      <c r="C1799" s="8" t="s">
        <v>48</v>
      </c>
      <c r="D1799" s="25">
        <f t="shared" si="474"/>
        <v>156</v>
      </c>
      <c r="E1799" s="54"/>
      <c r="F1799" s="78"/>
      <c r="G1799" s="9">
        <v>0</v>
      </c>
      <c r="H1799" s="9">
        <v>0</v>
      </c>
      <c r="I1799" s="9">
        <v>0</v>
      </c>
      <c r="J1799" s="9">
        <v>0</v>
      </c>
      <c r="K1799" s="9">
        <v>0</v>
      </c>
      <c r="L1799" s="9">
        <v>0</v>
      </c>
      <c r="M1799" s="9">
        <v>0</v>
      </c>
      <c r="N1799" s="9">
        <v>0</v>
      </c>
      <c r="O1799" s="9">
        <v>0</v>
      </c>
      <c r="P1799" s="9">
        <v>0</v>
      </c>
      <c r="Q1799" s="9">
        <v>0</v>
      </c>
      <c r="R1799" s="9">
        <v>15</v>
      </c>
      <c r="S1799" s="9">
        <v>0</v>
      </c>
      <c r="T1799" s="9">
        <v>11</v>
      </c>
      <c r="U1799" s="9">
        <v>0</v>
      </c>
      <c r="V1799" s="9">
        <v>0</v>
      </c>
      <c r="W1799" s="9">
        <v>0</v>
      </c>
      <c r="X1799" s="9">
        <v>0</v>
      </c>
      <c r="Y1799" s="9">
        <v>0</v>
      </c>
      <c r="Z1799" s="9">
        <v>0</v>
      </c>
      <c r="AA1799" s="9">
        <v>0</v>
      </c>
      <c r="AB1799" s="9">
        <v>0</v>
      </c>
      <c r="AC1799" s="9">
        <v>0</v>
      </c>
      <c r="AD1799" s="53" t="e">
        <f>#REF!*D1799</f>
        <v>#REF!</v>
      </c>
      <c r="AE1799" s="53" t="e">
        <f>AD1799-#REF!</f>
        <v>#REF!</v>
      </c>
      <c r="AF1799" s="8"/>
      <c r="AG1799" s="33" t="e">
        <f>#REF!-D1799</f>
        <v>#REF!</v>
      </c>
      <c r="AH1799" s="8"/>
      <c r="AI1799" s="8"/>
    </row>
    <row r="1800" spans="1:38" s="17" customFormat="1" ht="20.399999999999999" outlineLevel="1" x14ac:dyDescent="0.2">
      <c r="A1800" s="62" t="s">
        <v>2157</v>
      </c>
      <c r="B1800" s="14" t="s">
        <v>241</v>
      </c>
      <c r="C1800" s="9" t="s">
        <v>47</v>
      </c>
      <c r="D1800" s="25">
        <f t="shared" ref="D1800:D1831" si="475">SUM(G1800:AC1800)</f>
        <v>124</v>
      </c>
      <c r="E1800" s="54"/>
      <c r="F1800" s="9"/>
      <c r="G1800" s="49">
        <f t="shared" ref="G1800:AC1800" si="476">MROUND(G1793/2,1)</f>
        <v>0</v>
      </c>
      <c r="H1800" s="49">
        <f t="shared" si="476"/>
        <v>7</v>
      </c>
      <c r="I1800" s="49">
        <f t="shared" si="476"/>
        <v>20</v>
      </c>
      <c r="J1800" s="49">
        <f t="shared" si="476"/>
        <v>9</v>
      </c>
      <c r="K1800" s="49">
        <f t="shared" si="476"/>
        <v>10</v>
      </c>
      <c r="L1800" s="49">
        <f t="shared" si="476"/>
        <v>9</v>
      </c>
      <c r="M1800" s="49">
        <f t="shared" si="476"/>
        <v>7</v>
      </c>
      <c r="N1800" s="49">
        <f t="shared" si="476"/>
        <v>7</v>
      </c>
      <c r="O1800" s="49">
        <f t="shared" si="476"/>
        <v>7</v>
      </c>
      <c r="P1800" s="49">
        <f t="shared" si="476"/>
        <v>6</v>
      </c>
      <c r="Q1800" s="49">
        <f t="shared" si="476"/>
        <v>3</v>
      </c>
      <c r="R1800" s="49">
        <f t="shared" si="476"/>
        <v>0</v>
      </c>
      <c r="S1800" s="49">
        <f t="shared" si="476"/>
        <v>0</v>
      </c>
      <c r="T1800" s="49">
        <f t="shared" si="476"/>
        <v>0</v>
      </c>
      <c r="U1800" s="49">
        <f t="shared" si="476"/>
        <v>7</v>
      </c>
      <c r="V1800" s="49">
        <f t="shared" si="476"/>
        <v>4</v>
      </c>
      <c r="W1800" s="49">
        <f t="shared" si="476"/>
        <v>7</v>
      </c>
      <c r="X1800" s="49">
        <f t="shared" si="476"/>
        <v>4</v>
      </c>
      <c r="Y1800" s="49">
        <f t="shared" si="476"/>
        <v>7</v>
      </c>
      <c r="Z1800" s="49">
        <f t="shared" si="476"/>
        <v>4</v>
      </c>
      <c r="AA1800" s="49">
        <f t="shared" si="476"/>
        <v>4</v>
      </c>
      <c r="AB1800" s="49">
        <f t="shared" si="476"/>
        <v>2</v>
      </c>
      <c r="AC1800" s="49">
        <f t="shared" si="476"/>
        <v>0</v>
      </c>
      <c r="AD1800" s="53" t="e">
        <f>#REF!*D1800</f>
        <v>#REF!</v>
      </c>
      <c r="AE1800" s="53" t="e">
        <f>AD1800-#REF!</f>
        <v>#REF!</v>
      </c>
      <c r="AF1800" s="8"/>
      <c r="AG1800" s="33" t="e">
        <f>#REF!-D1800</f>
        <v>#REF!</v>
      </c>
      <c r="AH1800" s="8"/>
      <c r="AI1800" s="8"/>
    </row>
    <row r="1801" spans="1:38" s="12" customFormat="1" ht="20.399999999999999" outlineLevel="1" x14ac:dyDescent="0.2">
      <c r="A1801" s="62" t="s">
        <v>2158</v>
      </c>
      <c r="B1801" s="14" t="s">
        <v>242</v>
      </c>
      <c r="C1801" s="9" t="s">
        <v>47</v>
      </c>
      <c r="D1801" s="25">
        <f t="shared" si="475"/>
        <v>60</v>
      </c>
      <c r="E1801" s="54"/>
      <c r="F1801" s="9"/>
      <c r="G1801" s="49">
        <f t="shared" ref="G1801:AC1801" si="477">MROUND(G1794/2,1)</f>
        <v>0</v>
      </c>
      <c r="H1801" s="49">
        <f t="shared" si="477"/>
        <v>5</v>
      </c>
      <c r="I1801" s="49">
        <f t="shared" si="477"/>
        <v>6</v>
      </c>
      <c r="J1801" s="49">
        <f t="shared" si="477"/>
        <v>4</v>
      </c>
      <c r="K1801" s="49">
        <f t="shared" si="477"/>
        <v>3</v>
      </c>
      <c r="L1801" s="49">
        <f t="shared" si="477"/>
        <v>4</v>
      </c>
      <c r="M1801" s="49">
        <f t="shared" si="477"/>
        <v>4</v>
      </c>
      <c r="N1801" s="49">
        <f t="shared" si="477"/>
        <v>4</v>
      </c>
      <c r="O1801" s="49">
        <f t="shared" si="477"/>
        <v>3</v>
      </c>
      <c r="P1801" s="49">
        <f t="shared" si="477"/>
        <v>2</v>
      </c>
      <c r="Q1801" s="49">
        <f t="shared" si="477"/>
        <v>2</v>
      </c>
      <c r="R1801" s="49">
        <f t="shared" si="477"/>
        <v>0</v>
      </c>
      <c r="S1801" s="49">
        <f t="shared" si="477"/>
        <v>0</v>
      </c>
      <c r="T1801" s="49">
        <f t="shared" si="477"/>
        <v>1</v>
      </c>
      <c r="U1801" s="49">
        <f t="shared" si="477"/>
        <v>5</v>
      </c>
      <c r="V1801" s="49">
        <f t="shared" si="477"/>
        <v>4</v>
      </c>
      <c r="W1801" s="49">
        <f t="shared" si="477"/>
        <v>3</v>
      </c>
      <c r="X1801" s="49">
        <f t="shared" si="477"/>
        <v>2</v>
      </c>
      <c r="Y1801" s="49">
        <f t="shared" si="477"/>
        <v>1</v>
      </c>
      <c r="Z1801" s="49">
        <f t="shared" si="477"/>
        <v>3</v>
      </c>
      <c r="AA1801" s="49">
        <f t="shared" si="477"/>
        <v>3</v>
      </c>
      <c r="AB1801" s="49">
        <f t="shared" si="477"/>
        <v>1</v>
      </c>
      <c r="AC1801" s="49">
        <f t="shared" si="477"/>
        <v>0</v>
      </c>
      <c r="AD1801" s="53" t="e">
        <f>#REF!*D1801</f>
        <v>#REF!</v>
      </c>
      <c r="AE1801" s="53" t="e">
        <f>AD1801-#REF!</f>
        <v>#REF!</v>
      </c>
      <c r="AF1801" s="8"/>
      <c r="AG1801" s="33" t="e">
        <f>#REF!-D1801</f>
        <v>#REF!</v>
      </c>
      <c r="AH1801" s="8"/>
      <c r="AI1801" s="8"/>
    </row>
    <row r="1802" spans="1:38" s="17" customFormat="1" ht="20.399999999999999" outlineLevel="1" x14ac:dyDescent="0.2">
      <c r="A1802" s="62" t="s">
        <v>2159</v>
      </c>
      <c r="B1802" s="14" t="s">
        <v>243</v>
      </c>
      <c r="C1802" s="9" t="s">
        <v>47</v>
      </c>
      <c r="D1802" s="25">
        <f t="shared" si="475"/>
        <v>61</v>
      </c>
      <c r="E1802" s="54"/>
      <c r="F1802" s="9"/>
      <c r="G1802" s="49">
        <f t="shared" ref="G1802:AC1802" si="478">MROUND(G1795/2,1)</f>
        <v>0</v>
      </c>
      <c r="H1802" s="49">
        <f t="shared" si="478"/>
        <v>3</v>
      </c>
      <c r="I1802" s="49">
        <f t="shared" si="478"/>
        <v>4</v>
      </c>
      <c r="J1802" s="49">
        <f t="shared" si="478"/>
        <v>4</v>
      </c>
      <c r="K1802" s="49">
        <f t="shared" si="478"/>
        <v>5</v>
      </c>
      <c r="L1802" s="49">
        <f t="shared" si="478"/>
        <v>3</v>
      </c>
      <c r="M1802" s="49">
        <f t="shared" si="478"/>
        <v>4</v>
      </c>
      <c r="N1802" s="49">
        <f t="shared" si="478"/>
        <v>4</v>
      </c>
      <c r="O1802" s="49">
        <f t="shared" si="478"/>
        <v>6</v>
      </c>
      <c r="P1802" s="49">
        <f t="shared" si="478"/>
        <v>3</v>
      </c>
      <c r="Q1802" s="49">
        <f t="shared" si="478"/>
        <v>4</v>
      </c>
      <c r="R1802" s="49">
        <f t="shared" si="478"/>
        <v>0</v>
      </c>
      <c r="S1802" s="49">
        <f t="shared" si="478"/>
        <v>0</v>
      </c>
      <c r="T1802" s="49">
        <f t="shared" si="478"/>
        <v>5</v>
      </c>
      <c r="U1802" s="49">
        <f t="shared" si="478"/>
        <v>3</v>
      </c>
      <c r="V1802" s="49">
        <f t="shared" si="478"/>
        <v>2</v>
      </c>
      <c r="W1802" s="49">
        <f t="shared" si="478"/>
        <v>2</v>
      </c>
      <c r="X1802" s="49">
        <f t="shared" si="478"/>
        <v>2</v>
      </c>
      <c r="Y1802" s="49">
        <f t="shared" si="478"/>
        <v>1</v>
      </c>
      <c r="Z1802" s="49">
        <f t="shared" si="478"/>
        <v>2</v>
      </c>
      <c r="AA1802" s="49">
        <f t="shared" si="478"/>
        <v>3</v>
      </c>
      <c r="AB1802" s="49">
        <f t="shared" si="478"/>
        <v>1</v>
      </c>
      <c r="AC1802" s="49">
        <f t="shared" si="478"/>
        <v>0</v>
      </c>
      <c r="AD1802" s="53" t="e">
        <f>#REF!*D1802</f>
        <v>#REF!</v>
      </c>
      <c r="AE1802" s="53" t="e">
        <f>AD1802-#REF!</f>
        <v>#REF!</v>
      </c>
      <c r="AF1802" s="8"/>
      <c r="AG1802" s="33" t="e">
        <f>#REF!-D1802</f>
        <v>#REF!</v>
      </c>
      <c r="AH1802" s="8"/>
      <c r="AI1802" s="8"/>
    </row>
    <row r="1803" spans="1:38" s="17" customFormat="1" ht="20.399999999999999" outlineLevel="1" x14ac:dyDescent="0.2">
      <c r="A1803" s="62" t="s">
        <v>2160</v>
      </c>
      <c r="B1803" s="14" t="s">
        <v>231</v>
      </c>
      <c r="C1803" s="9" t="s">
        <v>47</v>
      </c>
      <c r="D1803" s="25">
        <f t="shared" si="475"/>
        <v>60</v>
      </c>
      <c r="E1803" s="54"/>
      <c r="F1803" s="9"/>
      <c r="G1803" s="49">
        <f t="shared" ref="G1803:AC1803" si="479">MROUND(G1796/2,1)</f>
        <v>0</v>
      </c>
      <c r="H1803" s="49">
        <f t="shared" si="479"/>
        <v>3</v>
      </c>
      <c r="I1803" s="49">
        <f t="shared" si="479"/>
        <v>4</v>
      </c>
      <c r="J1803" s="49">
        <f t="shared" si="479"/>
        <v>4</v>
      </c>
      <c r="K1803" s="49">
        <f t="shared" si="479"/>
        <v>10</v>
      </c>
      <c r="L1803" s="49">
        <f t="shared" si="479"/>
        <v>5</v>
      </c>
      <c r="M1803" s="49">
        <f t="shared" si="479"/>
        <v>5</v>
      </c>
      <c r="N1803" s="49">
        <f t="shared" si="479"/>
        <v>5</v>
      </c>
      <c r="O1803" s="49">
        <f t="shared" si="479"/>
        <v>4</v>
      </c>
      <c r="P1803" s="49">
        <f t="shared" si="479"/>
        <v>3</v>
      </c>
      <c r="Q1803" s="49">
        <f t="shared" si="479"/>
        <v>2</v>
      </c>
      <c r="R1803" s="49">
        <f t="shared" si="479"/>
        <v>0</v>
      </c>
      <c r="S1803" s="49">
        <f t="shared" si="479"/>
        <v>0</v>
      </c>
      <c r="T1803" s="49">
        <f t="shared" si="479"/>
        <v>0</v>
      </c>
      <c r="U1803" s="49">
        <f t="shared" si="479"/>
        <v>2</v>
      </c>
      <c r="V1803" s="49">
        <f t="shared" si="479"/>
        <v>4</v>
      </c>
      <c r="W1803" s="49">
        <f t="shared" si="479"/>
        <v>3</v>
      </c>
      <c r="X1803" s="49">
        <f t="shared" si="479"/>
        <v>1</v>
      </c>
      <c r="Y1803" s="49">
        <f t="shared" si="479"/>
        <v>1</v>
      </c>
      <c r="Z1803" s="49">
        <f t="shared" si="479"/>
        <v>2</v>
      </c>
      <c r="AA1803" s="49">
        <f t="shared" si="479"/>
        <v>2</v>
      </c>
      <c r="AB1803" s="49">
        <f t="shared" si="479"/>
        <v>0</v>
      </c>
      <c r="AC1803" s="49">
        <f t="shared" si="479"/>
        <v>0</v>
      </c>
      <c r="AD1803" s="53" t="e">
        <f>#REF!*D1803</f>
        <v>#REF!</v>
      </c>
      <c r="AE1803" s="53" t="e">
        <f>AD1803-#REF!</f>
        <v>#REF!</v>
      </c>
      <c r="AF1803" s="8"/>
      <c r="AG1803" s="33" t="e">
        <f>#REF!-D1803</f>
        <v>#REF!</v>
      </c>
      <c r="AH1803" s="8"/>
      <c r="AI1803" s="8"/>
    </row>
    <row r="1804" spans="1:38" s="17" customFormat="1" ht="20.399999999999999" outlineLevel="1" x14ac:dyDescent="0.2">
      <c r="A1804" s="62" t="s">
        <v>2161</v>
      </c>
      <c r="B1804" s="14" t="s">
        <v>134</v>
      </c>
      <c r="C1804" s="9" t="s">
        <v>47</v>
      </c>
      <c r="D1804" s="25">
        <f t="shared" si="475"/>
        <v>41</v>
      </c>
      <c r="E1804" s="54"/>
      <c r="F1804" s="9"/>
      <c r="G1804" s="49">
        <f t="shared" ref="G1804:AC1804" si="480">MROUND(G1797/2,1)</f>
        <v>4</v>
      </c>
      <c r="H1804" s="49">
        <f t="shared" si="480"/>
        <v>3</v>
      </c>
      <c r="I1804" s="49">
        <f t="shared" si="480"/>
        <v>4</v>
      </c>
      <c r="J1804" s="49">
        <f t="shared" si="480"/>
        <v>3</v>
      </c>
      <c r="K1804" s="49">
        <f t="shared" si="480"/>
        <v>2</v>
      </c>
      <c r="L1804" s="49">
        <f t="shared" si="480"/>
        <v>2</v>
      </c>
      <c r="M1804" s="49">
        <f t="shared" si="480"/>
        <v>1</v>
      </c>
      <c r="N1804" s="49">
        <f t="shared" si="480"/>
        <v>1</v>
      </c>
      <c r="O1804" s="49">
        <f t="shared" si="480"/>
        <v>1</v>
      </c>
      <c r="P1804" s="49">
        <f t="shared" si="480"/>
        <v>3</v>
      </c>
      <c r="Q1804" s="49">
        <f t="shared" si="480"/>
        <v>2</v>
      </c>
      <c r="R1804" s="49">
        <f t="shared" si="480"/>
        <v>0</v>
      </c>
      <c r="S1804" s="49">
        <f t="shared" si="480"/>
        <v>0</v>
      </c>
      <c r="T1804" s="49">
        <f t="shared" si="480"/>
        <v>2</v>
      </c>
      <c r="U1804" s="49">
        <f t="shared" si="480"/>
        <v>3</v>
      </c>
      <c r="V1804" s="49">
        <f t="shared" si="480"/>
        <v>1</v>
      </c>
      <c r="W1804" s="49">
        <f t="shared" si="480"/>
        <v>4</v>
      </c>
      <c r="X1804" s="49">
        <f t="shared" si="480"/>
        <v>1</v>
      </c>
      <c r="Y1804" s="49">
        <f t="shared" si="480"/>
        <v>2</v>
      </c>
      <c r="Z1804" s="49">
        <f t="shared" si="480"/>
        <v>1</v>
      </c>
      <c r="AA1804" s="49">
        <f t="shared" si="480"/>
        <v>1</v>
      </c>
      <c r="AB1804" s="49">
        <f t="shared" si="480"/>
        <v>0</v>
      </c>
      <c r="AC1804" s="49">
        <f t="shared" si="480"/>
        <v>0</v>
      </c>
      <c r="AD1804" s="53" t="e">
        <f>#REF!*D1804</f>
        <v>#REF!</v>
      </c>
      <c r="AE1804" s="53" t="e">
        <f>AD1804-#REF!</f>
        <v>#REF!</v>
      </c>
      <c r="AF1804" s="8"/>
      <c r="AG1804" s="33" t="e">
        <f>#REF!-D1804</f>
        <v>#REF!</v>
      </c>
      <c r="AH1804" s="8"/>
      <c r="AI1804" s="8"/>
    </row>
    <row r="1805" spans="1:38" s="17" customFormat="1" ht="20.399999999999999" outlineLevel="1" x14ac:dyDescent="0.2">
      <c r="A1805" s="62" t="s">
        <v>2162</v>
      </c>
      <c r="B1805" s="14" t="s">
        <v>244</v>
      </c>
      <c r="C1805" s="9" t="s">
        <v>47</v>
      </c>
      <c r="D1805" s="25">
        <f t="shared" si="475"/>
        <v>14</v>
      </c>
      <c r="E1805" s="54"/>
      <c r="F1805" s="9"/>
      <c r="G1805" s="49">
        <f t="shared" ref="G1805:AC1805" si="481">MROUND(G1798/2,1)</f>
        <v>0</v>
      </c>
      <c r="H1805" s="49">
        <f t="shared" si="481"/>
        <v>0</v>
      </c>
      <c r="I1805" s="49">
        <f t="shared" si="481"/>
        <v>1</v>
      </c>
      <c r="J1805" s="49">
        <f t="shared" si="481"/>
        <v>0</v>
      </c>
      <c r="K1805" s="49">
        <f t="shared" si="481"/>
        <v>0</v>
      </c>
      <c r="L1805" s="49">
        <f t="shared" si="481"/>
        <v>5</v>
      </c>
      <c r="M1805" s="49">
        <f t="shared" si="481"/>
        <v>0</v>
      </c>
      <c r="N1805" s="49">
        <f t="shared" si="481"/>
        <v>0</v>
      </c>
      <c r="O1805" s="49">
        <f t="shared" si="481"/>
        <v>0</v>
      </c>
      <c r="P1805" s="49">
        <f t="shared" si="481"/>
        <v>0</v>
      </c>
      <c r="Q1805" s="49">
        <f t="shared" si="481"/>
        <v>0</v>
      </c>
      <c r="R1805" s="49">
        <f t="shared" si="481"/>
        <v>0</v>
      </c>
      <c r="S1805" s="49">
        <f t="shared" si="481"/>
        <v>0</v>
      </c>
      <c r="T1805" s="49">
        <f t="shared" si="481"/>
        <v>2</v>
      </c>
      <c r="U1805" s="49">
        <f t="shared" si="481"/>
        <v>0</v>
      </c>
      <c r="V1805" s="49">
        <f t="shared" si="481"/>
        <v>1</v>
      </c>
      <c r="W1805" s="49">
        <f t="shared" si="481"/>
        <v>0</v>
      </c>
      <c r="X1805" s="49">
        <f t="shared" si="481"/>
        <v>0</v>
      </c>
      <c r="Y1805" s="49">
        <f t="shared" si="481"/>
        <v>3</v>
      </c>
      <c r="Z1805" s="49">
        <f t="shared" si="481"/>
        <v>0</v>
      </c>
      <c r="AA1805" s="49">
        <f t="shared" si="481"/>
        <v>2</v>
      </c>
      <c r="AB1805" s="49">
        <f t="shared" si="481"/>
        <v>0</v>
      </c>
      <c r="AC1805" s="49">
        <f t="shared" si="481"/>
        <v>0</v>
      </c>
      <c r="AD1805" s="53" t="e">
        <f>#REF!*D1805</f>
        <v>#REF!</v>
      </c>
      <c r="AE1805" s="53" t="e">
        <f>AD1805-#REF!</f>
        <v>#REF!</v>
      </c>
      <c r="AF1805" s="8"/>
      <c r="AG1805" s="33" t="e">
        <f>#REF!-D1805</f>
        <v>#REF!</v>
      </c>
      <c r="AH1805" s="8"/>
      <c r="AI1805" s="8"/>
    </row>
    <row r="1806" spans="1:38" s="12" customFormat="1" ht="20.399999999999999" outlineLevel="1" x14ac:dyDescent="0.2">
      <c r="A1806" s="62" t="s">
        <v>2163</v>
      </c>
      <c r="B1806" s="14" t="s">
        <v>245</v>
      </c>
      <c r="C1806" s="9" t="s">
        <v>47</v>
      </c>
      <c r="D1806" s="25">
        <f t="shared" si="475"/>
        <v>18</v>
      </c>
      <c r="E1806" s="54"/>
      <c r="F1806" s="9"/>
      <c r="G1806" s="49">
        <f t="shared" ref="G1806:Q1806" si="482">MROUND(G1799/2,1)</f>
        <v>0</v>
      </c>
      <c r="H1806" s="49">
        <f t="shared" si="482"/>
        <v>0</v>
      </c>
      <c r="I1806" s="49">
        <f t="shared" si="482"/>
        <v>0</v>
      </c>
      <c r="J1806" s="49">
        <f t="shared" si="482"/>
        <v>0</v>
      </c>
      <c r="K1806" s="49">
        <f t="shared" si="482"/>
        <v>0</v>
      </c>
      <c r="L1806" s="49">
        <f t="shared" si="482"/>
        <v>0</v>
      </c>
      <c r="M1806" s="49">
        <f t="shared" si="482"/>
        <v>0</v>
      </c>
      <c r="N1806" s="49">
        <f t="shared" si="482"/>
        <v>0</v>
      </c>
      <c r="O1806" s="49">
        <f t="shared" si="482"/>
        <v>0</v>
      </c>
      <c r="P1806" s="49">
        <f t="shared" si="482"/>
        <v>0</v>
      </c>
      <c r="Q1806" s="49">
        <f t="shared" si="482"/>
        <v>0</v>
      </c>
      <c r="R1806" s="49">
        <v>12</v>
      </c>
      <c r="S1806" s="49">
        <f t="shared" ref="S1806:AC1806" si="483">MROUND(S1799/2,1)</f>
        <v>0</v>
      </c>
      <c r="T1806" s="49">
        <f t="shared" si="483"/>
        <v>6</v>
      </c>
      <c r="U1806" s="49">
        <f t="shared" si="483"/>
        <v>0</v>
      </c>
      <c r="V1806" s="49">
        <f t="shared" si="483"/>
        <v>0</v>
      </c>
      <c r="W1806" s="49">
        <f t="shared" si="483"/>
        <v>0</v>
      </c>
      <c r="X1806" s="49">
        <f t="shared" si="483"/>
        <v>0</v>
      </c>
      <c r="Y1806" s="49">
        <f t="shared" si="483"/>
        <v>0</v>
      </c>
      <c r="Z1806" s="49">
        <f t="shared" si="483"/>
        <v>0</v>
      </c>
      <c r="AA1806" s="49">
        <f t="shared" si="483"/>
        <v>0</v>
      </c>
      <c r="AB1806" s="49">
        <f t="shared" si="483"/>
        <v>0</v>
      </c>
      <c r="AC1806" s="49">
        <f t="shared" si="483"/>
        <v>0</v>
      </c>
      <c r="AD1806" s="53" t="e">
        <f>#REF!*D1806</f>
        <v>#REF!</v>
      </c>
      <c r="AE1806" s="53" t="e">
        <f>AD1806-#REF!</f>
        <v>#REF!</v>
      </c>
      <c r="AF1806" s="8"/>
      <c r="AG1806" s="33" t="e">
        <f>#REF!-D1806</f>
        <v>#REF!</v>
      </c>
      <c r="AH1806" s="8"/>
      <c r="AI1806" s="8"/>
    </row>
    <row r="1807" spans="1:38" s="17" customFormat="1" ht="10.199999999999999" outlineLevel="1" x14ac:dyDescent="0.2">
      <c r="A1807" s="62" t="s">
        <v>2164</v>
      </c>
      <c r="B1807" s="11" t="s">
        <v>246</v>
      </c>
      <c r="C1807" s="9" t="s">
        <v>47</v>
      </c>
      <c r="D1807" s="25">
        <f t="shared" si="475"/>
        <v>683</v>
      </c>
      <c r="E1807" s="54"/>
      <c r="F1807" s="9"/>
      <c r="G1807" s="88">
        <f t="shared" ref="G1807:AB1807" si="484">G1904+G1905</f>
        <v>0</v>
      </c>
      <c r="H1807" s="88">
        <f t="shared" si="484"/>
        <v>32</v>
      </c>
      <c r="I1807" s="88">
        <f t="shared" si="484"/>
        <v>73</v>
      </c>
      <c r="J1807" s="88">
        <f t="shared" si="484"/>
        <v>45</v>
      </c>
      <c r="K1807" s="88">
        <f t="shared" si="484"/>
        <v>55</v>
      </c>
      <c r="L1807" s="88">
        <f t="shared" si="484"/>
        <v>46</v>
      </c>
      <c r="M1807" s="88">
        <f t="shared" si="484"/>
        <v>42</v>
      </c>
      <c r="N1807" s="88">
        <f t="shared" si="484"/>
        <v>42</v>
      </c>
      <c r="O1807" s="88">
        <f t="shared" si="484"/>
        <v>41</v>
      </c>
      <c r="P1807" s="88">
        <f t="shared" si="484"/>
        <v>40</v>
      </c>
      <c r="Q1807" s="88">
        <f t="shared" si="484"/>
        <v>30</v>
      </c>
      <c r="R1807" s="88">
        <f t="shared" si="484"/>
        <v>2</v>
      </c>
      <c r="S1807" s="88">
        <f t="shared" si="484"/>
        <v>0</v>
      </c>
      <c r="T1807" s="88">
        <f t="shared" si="484"/>
        <v>0</v>
      </c>
      <c r="U1807" s="88">
        <f t="shared" si="484"/>
        <v>29</v>
      </c>
      <c r="V1807" s="88">
        <f t="shared" si="484"/>
        <v>25</v>
      </c>
      <c r="W1807" s="88">
        <f t="shared" si="484"/>
        <v>46</v>
      </c>
      <c r="X1807" s="88">
        <f t="shared" si="484"/>
        <v>31</v>
      </c>
      <c r="Y1807" s="88">
        <f t="shared" si="484"/>
        <v>37</v>
      </c>
      <c r="Z1807" s="88">
        <f t="shared" si="484"/>
        <v>27</v>
      </c>
      <c r="AA1807" s="88">
        <f t="shared" si="484"/>
        <v>31</v>
      </c>
      <c r="AB1807" s="88">
        <f t="shared" si="484"/>
        <v>9</v>
      </c>
      <c r="AC1807" s="9">
        <v>0</v>
      </c>
      <c r="AD1807" s="53" t="e">
        <f>#REF!*D1807</f>
        <v>#REF!</v>
      </c>
      <c r="AE1807" s="53" t="e">
        <f>AD1807-#REF!</f>
        <v>#REF!</v>
      </c>
      <c r="AF1807" s="8"/>
      <c r="AG1807" s="33" t="e">
        <f>#REF!-D1807</f>
        <v>#REF!</v>
      </c>
      <c r="AH1807" s="8"/>
      <c r="AI1807" s="8"/>
    </row>
    <row r="1808" spans="1:38" s="12" customFormat="1" ht="10.199999999999999" outlineLevel="1" x14ac:dyDescent="0.2">
      <c r="A1808" s="62" t="s">
        <v>2165</v>
      </c>
      <c r="B1808" s="96" t="s">
        <v>247</v>
      </c>
      <c r="C1808" s="9" t="s">
        <v>47</v>
      </c>
      <c r="D1808" s="25">
        <f t="shared" si="475"/>
        <v>683</v>
      </c>
      <c r="E1808" s="54"/>
      <c r="F1808" s="9"/>
      <c r="G1808" s="88">
        <f t="shared" ref="G1808:AC1808" si="485">G1807</f>
        <v>0</v>
      </c>
      <c r="H1808" s="88">
        <f t="shared" si="485"/>
        <v>32</v>
      </c>
      <c r="I1808" s="88">
        <f t="shared" si="485"/>
        <v>73</v>
      </c>
      <c r="J1808" s="88">
        <f t="shared" si="485"/>
        <v>45</v>
      </c>
      <c r="K1808" s="88">
        <f t="shared" si="485"/>
        <v>55</v>
      </c>
      <c r="L1808" s="88">
        <f t="shared" si="485"/>
        <v>46</v>
      </c>
      <c r="M1808" s="88">
        <f t="shared" si="485"/>
        <v>42</v>
      </c>
      <c r="N1808" s="88">
        <f t="shared" si="485"/>
        <v>42</v>
      </c>
      <c r="O1808" s="88">
        <f t="shared" si="485"/>
        <v>41</v>
      </c>
      <c r="P1808" s="88">
        <f t="shared" si="485"/>
        <v>40</v>
      </c>
      <c r="Q1808" s="88">
        <f t="shared" si="485"/>
        <v>30</v>
      </c>
      <c r="R1808" s="88">
        <f t="shared" si="485"/>
        <v>2</v>
      </c>
      <c r="S1808" s="88">
        <f t="shared" si="485"/>
        <v>0</v>
      </c>
      <c r="T1808" s="88">
        <f t="shared" si="485"/>
        <v>0</v>
      </c>
      <c r="U1808" s="88">
        <f t="shared" si="485"/>
        <v>29</v>
      </c>
      <c r="V1808" s="88">
        <f t="shared" si="485"/>
        <v>25</v>
      </c>
      <c r="W1808" s="88">
        <f t="shared" si="485"/>
        <v>46</v>
      </c>
      <c r="X1808" s="88">
        <f t="shared" si="485"/>
        <v>31</v>
      </c>
      <c r="Y1808" s="88">
        <f t="shared" si="485"/>
        <v>37</v>
      </c>
      <c r="Z1808" s="88">
        <f t="shared" si="485"/>
        <v>27</v>
      </c>
      <c r="AA1808" s="88">
        <f t="shared" si="485"/>
        <v>31</v>
      </c>
      <c r="AB1808" s="88">
        <f t="shared" si="485"/>
        <v>9</v>
      </c>
      <c r="AC1808" s="88">
        <f t="shared" si="485"/>
        <v>0</v>
      </c>
      <c r="AD1808" s="53" t="e">
        <f>#REF!*D1808</f>
        <v>#REF!</v>
      </c>
      <c r="AE1808" s="53" t="e">
        <f>AD1808-#REF!</f>
        <v>#REF!</v>
      </c>
      <c r="AF1808" s="8"/>
      <c r="AG1808" s="33" t="e">
        <f>#REF!-D1808</f>
        <v>#REF!</v>
      </c>
      <c r="AH1808" s="8"/>
      <c r="AI1808" s="8"/>
    </row>
    <row r="1809" spans="1:35" s="17" customFormat="1" ht="20.399999999999999" outlineLevel="1" x14ac:dyDescent="0.2">
      <c r="A1809" s="62" t="s">
        <v>2166</v>
      </c>
      <c r="B1809" s="14" t="s">
        <v>248</v>
      </c>
      <c r="C1809" s="9" t="s">
        <v>47</v>
      </c>
      <c r="D1809" s="25">
        <f t="shared" si="475"/>
        <v>341</v>
      </c>
      <c r="E1809" s="54"/>
      <c r="F1809" s="9"/>
      <c r="G1809" s="9">
        <v>0</v>
      </c>
      <c r="H1809" s="9">
        <f>25-8</f>
        <v>17</v>
      </c>
      <c r="I1809" s="9">
        <f>53-17</f>
        <v>36</v>
      </c>
      <c r="J1809" s="9">
        <v>21</v>
      </c>
      <c r="K1809" s="9">
        <f>43-18</f>
        <v>25</v>
      </c>
      <c r="L1809" s="9">
        <f>48-18</f>
        <v>30</v>
      </c>
      <c r="M1809" s="9">
        <v>34</v>
      </c>
      <c r="N1809" s="9">
        <v>34</v>
      </c>
      <c r="O1809" s="9">
        <v>34</v>
      </c>
      <c r="P1809" s="9">
        <v>14</v>
      </c>
      <c r="Q1809" s="9">
        <v>7</v>
      </c>
      <c r="R1809" s="9">
        <v>0</v>
      </c>
      <c r="S1809" s="9">
        <v>0</v>
      </c>
      <c r="T1809" s="9">
        <v>0</v>
      </c>
      <c r="U1809" s="9">
        <v>8</v>
      </c>
      <c r="V1809" s="9">
        <v>17</v>
      </c>
      <c r="W1809" s="9">
        <v>8</v>
      </c>
      <c r="X1809" s="9">
        <v>18</v>
      </c>
      <c r="Y1809" s="9">
        <v>18</v>
      </c>
      <c r="Z1809" s="9">
        <v>8</v>
      </c>
      <c r="AA1809" s="9">
        <v>8</v>
      </c>
      <c r="AB1809" s="9">
        <v>4</v>
      </c>
      <c r="AC1809" s="9">
        <v>0</v>
      </c>
      <c r="AD1809" s="53" t="e">
        <f>#REF!*D1809</f>
        <v>#REF!</v>
      </c>
      <c r="AE1809" s="53" t="e">
        <f>AD1809-#REF!</f>
        <v>#REF!</v>
      </c>
      <c r="AF1809" s="8"/>
      <c r="AG1809" s="33" t="e">
        <f>#REF!-D1809</f>
        <v>#REF!</v>
      </c>
      <c r="AH1809" s="8"/>
      <c r="AI1809" s="8"/>
    </row>
    <row r="1810" spans="1:35" s="17" customFormat="1" ht="20.399999999999999" outlineLevel="1" x14ac:dyDescent="0.2">
      <c r="A1810" s="62" t="s">
        <v>2167</v>
      </c>
      <c r="B1810" s="14" t="s">
        <v>249</v>
      </c>
      <c r="C1810" s="9" t="s">
        <v>47</v>
      </c>
      <c r="D1810" s="25">
        <f t="shared" si="475"/>
        <v>18</v>
      </c>
      <c r="E1810" s="54"/>
      <c r="F1810" s="9"/>
      <c r="G1810" s="9">
        <v>0</v>
      </c>
      <c r="H1810" s="9">
        <v>2</v>
      </c>
      <c r="I1810" s="9">
        <v>2</v>
      </c>
      <c r="J1810" s="9">
        <v>3</v>
      </c>
      <c r="K1810" s="9">
        <v>1</v>
      </c>
      <c r="L1810" s="9">
        <v>1</v>
      </c>
      <c r="M1810" s="9">
        <v>1</v>
      </c>
      <c r="N1810" s="9">
        <v>1</v>
      </c>
      <c r="O1810" s="9">
        <v>1</v>
      </c>
      <c r="P1810" s="9">
        <v>0</v>
      </c>
      <c r="Q1810" s="9">
        <v>0</v>
      </c>
      <c r="R1810" s="9">
        <v>0</v>
      </c>
      <c r="S1810" s="9">
        <v>0</v>
      </c>
      <c r="T1810" s="9">
        <v>1</v>
      </c>
      <c r="U1810" s="9">
        <v>1</v>
      </c>
      <c r="V1810" s="9">
        <v>0</v>
      </c>
      <c r="W1810" s="9">
        <v>0</v>
      </c>
      <c r="X1810" s="9">
        <v>1</v>
      </c>
      <c r="Y1810" s="9">
        <v>0</v>
      </c>
      <c r="Z1810" s="9">
        <v>1</v>
      </c>
      <c r="AA1810" s="9">
        <v>1</v>
      </c>
      <c r="AB1810" s="9">
        <v>1</v>
      </c>
      <c r="AC1810" s="9">
        <v>0</v>
      </c>
      <c r="AD1810" s="53" t="e">
        <f>#REF!*D1810</f>
        <v>#REF!</v>
      </c>
      <c r="AE1810" s="53" t="e">
        <f>AD1810-#REF!</f>
        <v>#REF!</v>
      </c>
      <c r="AF1810" s="8"/>
      <c r="AG1810" s="33" t="e">
        <f>#REF!-D1810</f>
        <v>#REF!</v>
      </c>
      <c r="AH1810" s="8"/>
      <c r="AI1810" s="8"/>
    </row>
    <row r="1811" spans="1:35" s="17" customFormat="1" ht="20.399999999999999" outlineLevel="1" x14ac:dyDescent="0.2">
      <c r="A1811" s="62" t="s">
        <v>2168</v>
      </c>
      <c r="B1811" s="14" t="s">
        <v>286</v>
      </c>
      <c r="C1811" s="9" t="s">
        <v>47</v>
      </c>
      <c r="D1811" s="25">
        <f t="shared" si="475"/>
        <v>30</v>
      </c>
      <c r="E1811" s="54"/>
      <c r="F1811" s="9"/>
      <c r="G1811" s="9">
        <v>0</v>
      </c>
      <c r="H1811" s="9">
        <v>0</v>
      </c>
      <c r="I1811" s="9">
        <v>4</v>
      </c>
      <c r="J1811" s="9">
        <v>3</v>
      </c>
      <c r="K1811" s="9">
        <v>1</v>
      </c>
      <c r="L1811" s="9">
        <v>1</v>
      </c>
      <c r="M1811" s="9">
        <v>3</v>
      </c>
      <c r="N1811" s="9">
        <v>3</v>
      </c>
      <c r="O1811" s="9">
        <v>3</v>
      </c>
      <c r="P1811" s="9">
        <v>4</v>
      </c>
      <c r="Q1811" s="9">
        <v>4</v>
      </c>
      <c r="R1811" s="9">
        <v>0</v>
      </c>
      <c r="S1811" s="9">
        <v>0</v>
      </c>
      <c r="T1811" s="9">
        <v>2</v>
      </c>
      <c r="U1811" s="9">
        <v>0</v>
      </c>
      <c r="V1811" s="9">
        <v>1</v>
      </c>
      <c r="W1811" s="9">
        <v>1</v>
      </c>
      <c r="X1811" s="9">
        <v>0</v>
      </c>
      <c r="Y1811" s="9">
        <v>0</v>
      </c>
      <c r="Z1811" s="9">
        <v>0</v>
      </c>
      <c r="AA1811" s="9">
        <v>0</v>
      </c>
      <c r="AB1811" s="9">
        <v>0</v>
      </c>
      <c r="AC1811" s="9">
        <v>0</v>
      </c>
      <c r="AD1811" s="53" t="e">
        <f>#REF!*D1811</f>
        <v>#REF!</v>
      </c>
      <c r="AE1811" s="53" t="e">
        <f>AD1811-#REF!</f>
        <v>#REF!</v>
      </c>
      <c r="AF1811" s="8"/>
      <c r="AG1811" s="33" t="e">
        <f>#REF!-D1811</f>
        <v>#REF!</v>
      </c>
      <c r="AH1811" s="8"/>
      <c r="AI1811" s="8"/>
    </row>
    <row r="1812" spans="1:35" s="17" customFormat="1" ht="20.399999999999999" outlineLevel="1" x14ac:dyDescent="0.2">
      <c r="A1812" s="62" t="s">
        <v>2169</v>
      </c>
      <c r="B1812" s="14" t="s">
        <v>232</v>
      </c>
      <c r="C1812" s="9" t="s">
        <v>47</v>
      </c>
      <c r="D1812" s="25">
        <f t="shared" si="475"/>
        <v>34</v>
      </c>
      <c r="E1812" s="54"/>
      <c r="F1812" s="9"/>
      <c r="G1812" s="9">
        <v>0</v>
      </c>
      <c r="H1812" s="9">
        <v>6</v>
      </c>
      <c r="I1812" s="9">
        <v>1</v>
      </c>
      <c r="J1812" s="9">
        <v>2</v>
      </c>
      <c r="K1812" s="9">
        <v>2</v>
      </c>
      <c r="L1812" s="9">
        <v>2</v>
      </c>
      <c r="M1812" s="9">
        <v>3</v>
      </c>
      <c r="N1812" s="9">
        <v>3</v>
      </c>
      <c r="O1812" s="9">
        <v>3</v>
      </c>
      <c r="P1812" s="9">
        <v>1</v>
      </c>
      <c r="Q1812" s="9">
        <v>0</v>
      </c>
      <c r="R1812" s="9">
        <v>2</v>
      </c>
      <c r="S1812" s="9">
        <v>0</v>
      </c>
      <c r="T1812" s="9">
        <v>0</v>
      </c>
      <c r="U1812" s="9">
        <v>2</v>
      </c>
      <c r="V1812" s="9">
        <v>0</v>
      </c>
      <c r="W1812" s="9">
        <v>0</v>
      </c>
      <c r="X1812" s="9">
        <v>1</v>
      </c>
      <c r="Y1812" s="9">
        <v>1</v>
      </c>
      <c r="Z1812" s="9">
        <v>2</v>
      </c>
      <c r="AA1812" s="9">
        <v>2</v>
      </c>
      <c r="AB1812" s="9">
        <v>1</v>
      </c>
      <c r="AC1812" s="9">
        <v>0</v>
      </c>
      <c r="AD1812" s="53" t="e">
        <f>#REF!*D1812</f>
        <v>#REF!</v>
      </c>
      <c r="AE1812" s="53" t="e">
        <f>AD1812-#REF!</f>
        <v>#REF!</v>
      </c>
      <c r="AF1812" s="8"/>
      <c r="AG1812" s="33" t="e">
        <f>#REF!-D1812</f>
        <v>#REF!</v>
      </c>
      <c r="AH1812" s="8"/>
      <c r="AI1812" s="8"/>
    </row>
    <row r="1813" spans="1:35" s="12" customFormat="1" ht="20.399999999999999" outlineLevel="1" x14ac:dyDescent="0.2">
      <c r="A1813" s="62" t="s">
        <v>2170</v>
      </c>
      <c r="B1813" s="14" t="s">
        <v>135</v>
      </c>
      <c r="C1813" s="9" t="s">
        <v>47</v>
      </c>
      <c r="D1813" s="25">
        <f t="shared" si="475"/>
        <v>50</v>
      </c>
      <c r="E1813" s="54"/>
      <c r="F1813" s="9"/>
      <c r="G1813" s="9">
        <v>1</v>
      </c>
      <c r="H1813" s="9">
        <v>0</v>
      </c>
      <c r="I1813" s="9">
        <v>1</v>
      </c>
      <c r="J1813" s="9">
        <v>3</v>
      </c>
      <c r="K1813" s="9">
        <v>2</v>
      </c>
      <c r="L1813" s="9">
        <v>2</v>
      </c>
      <c r="M1813" s="9">
        <v>3</v>
      </c>
      <c r="N1813" s="9">
        <v>3</v>
      </c>
      <c r="O1813" s="9">
        <v>3</v>
      </c>
      <c r="P1813" s="9">
        <v>1</v>
      </c>
      <c r="Q1813" s="9">
        <v>4</v>
      </c>
      <c r="R1813" s="9">
        <v>0</v>
      </c>
      <c r="S1813" s="9">
        <v>0</v>
      </c>
      <c r="T1813" s="9">
        <v>22</v>
      </c>
      <c r="U1813" s="9">
        <v>0</v>
      </c>
      <c r="V1813" s="9">
        <v>1</v>
      </c>
      <c r="W1813" s="9">
        <v>1</v>
      </c>
      <c r="X1813" s="9">
        <v>1</v>
      </c>
      <c r="Y1813" s="9">
        <v>2</v>
      </c>
      <c r="Z1813" s="9">
        <v>0</v>
      </c>
      <c r="AA1813" s="9">
        <v>0</v>
      </c>
      <c r="AB1813" s="9">
        <v>0</v>
      </c>
      <c r="AC1813" s="9">
        <v>0</v>
      </c>
      <c r="AD1813" s="53" t="e">
        <f>#REF!*D1813</f>
        <v>#REF!</v>
      </c>
      <c r="AE1813" s="53" t="e">
        <f>AD1813-#REF!</f>
        <v>#REF!</v>
      </c>
      <c r="AF1813" s="8"/>
      <c r="AG1813" s="33" t="e">
        <f>#REF!-D1813</f>
        <v>#REF!</v>
      </c>
      <c r="AH1813" s="8"/>
      <c r="AI1813" s="8"/>
    </row>
    <row r="1814" spans="1:35" s="17" customFormat="1" ht="20.399999999999999" outlineLevel="1" x14ac:dyDescent="0.2">
      <c r="A1814" s="62" t="s">
        <v>2171</v>
      </c>
      <c r="B1814" s="14" t="s">
        <v>250</v>
      </c>
      <c r="C1814" s="9" t="s">
        <v>47</v>
      </c>
      <c r="D1814" s="25">
        <f t="shared" si="475"/>
        <v>10</v>
      </c>
      <c r="E1814" s="54"/>
      <c r="F1814" s="9"/>
      <c r="G1814" s="9">
        <v>0</v>
      </c>
      <c r="H1814" s="9">
        <v>0</v>
      </c>
      <c r="I1814" s="9">
        <v>0</v>
      </c>
      <c r="J1814" s="9">
        <v>0</v>
      </c>
      <c r="K1814" s="9">
        <v>0</v>
      </c>
      <c r="L1814" s="9">
        <v>5</v>
      </c>
      <c r="M1814" s="9">
        <v>0</v>
      </c>
      <c r="N1814" s="9">
        <v>0</v>
      </c>
      <c r="O1814" s="9">
        <v>0</v>
      </c>
      <c r="P1814" s="9">
        <v>0</v>
      </c>
      <c r="Q1814" s="9">
        <v>0</v>
      </c>
      <c r="R1814" s="9">
        <v>0</v>
      </c>
      <c r="S1814" s="9">
        <v>0</v>
      </c>
      <c r="T1814" s="9">
        <v>3</v>
      </c>
      <c r="U1814" s="9">
        <v>0</v>
      </c>
      <c r="V1814" s="9">
        <v>0</v>
      </c>
      <c r="W1814" s="9">
        <v>0</v>
      </c>
      <c r="X1814" s="9">
        <v>0</v>
      </c>
      <c r="Y1814" s="9">
        <v>2</v>
      </c>
      <c r="Z1814" s="9">
        <v>0</v>
      </c>
      <c r="AA1814" s="9">
        <v>0</v>
      </c>
      <c r="AB1814" s="9">
        <v>0</v>
      </c>
      <c r="AC1814" s="9">
        <v>0</v>
      </c>
      <c r="AD1814" s="53" t="e">
        <f>#REF!*D1814</f>
        <v>#REF!</v>
      </c>
      <c r="AE1814" s="53" t="e">
        <f>AD1814-#REF!</f>
        <v>#REF!</v>
      </c>
      <c r="AF1814" s="8"/>
      <c r="AG1814" s="33" t="e">
        <f>#REF!-D1814</f>
        <v>#REF!</v>
      </c>
      <c r="AH1814" s="8"/>
      <c r="AI1814" s="8"/>
    </row>
    <row r="1815" spans="1:35" s="12" customFormat="1" ht="20.399999999999999" outlineLevel="1" x14ac:dyDescent="0.2">
      <c r="A1815" s="62" t="s">
        <v>2172</v>
      </c>
      <c r="B1815" s="14" t="s">
        <v>251</v>
      </c>
      <c r="C1815" s="9" t="s">
        <v>47</v>
      </c>
      <c r="D1815" s="25">
        <f t="shared" si="475"/>
        <v>9</v>
      </c>
      <c r="E1815" s="54"/>
      <c r="F1815" s="9"/>
      <c r="G1815" s="9">
        <v>0</v>
      </c>
      <c r="H1815" s="9">
        <v>0</v>
      </c>
      <c r="I1815" s="9">
        <v>0</v>
      </c>
      <c r="J1815" s="9">
        <v>0</v>
      </c>
      <c r="K1815" s="9">
        <v>0</v>
      </c>
      <c r="L1815" s="9">
        <v>0</v>
      </c>
      <c r="M1815" s="9">
        <v>0</v>
      </c>
      <c r="N1815" s="9">
        <v>0</v>
      </c>
      <c r="O1815" s="9">
        <v>0</v>
      </c>
      <c r="P1815" s="9">
        <v>0</v>
      </c>
      <c r="Q1815" s="9">
        <v>0</v>
      </c>
      <c r="R1815" s="9">
        <v>7</v>
      </c>
      <c r="S1815" s="9">
        <v>0</v>
      </c>
      <c r="T1815" s="9">
        <v>2</v>
      </c>
      <c r="U1815" s="9">
        <v>0</v>
      </c>
      <c r="V1815" s="9">
        <v>0</v>
      </c>
      <c r="W1815" s="9">
        <v>0</v>
      </c>
      <c r="X1815" s="9">
        <v>0</v>
      </c>
      <c r="Y1815" s="9">
        <v>0</v>
      </c>
      <c r="Z1815" s="9">
        <v>0</v>
      </c>
      <c r="AA1815" s="9">
        <v>0</v>
      </c>
      <c r="AB1815" s="9">
        <v>0</v>
      </c>
      <c r="AC1815" s="9">
        <v>0</v>
      </c>
      <c r="AD1815" s="53" t="e">
        <f>#REF!*D1815</f>
        <v>#REF!</v>
      </c>
      <c r="AE1815" s="53" t="e">
        <f>AD1815-#REF!</f>
        <v>#REF!</v>
      </c>
      <c r="AF1815" s="8"/>
      <c r="AG1815" s="33" t="e">
        <f>#REF!-D1815</f>
        <v>#REF!</v>
      </c>
      <c r="AH1815" s="8"/>
      <c r="AI1815" s="8"/>
    </row>
    <row r="1816" spans="1:35" s="17" customFormat="1" ht="20.399999999999999" outlineLevel="1" x14ac:dyDescent="0.2">
      <c r="A1816" s="62" t="s">
        <v>2173</v>
      </c>
      <c r="B1816" s="14" t="s">
        <v>2133</v>
      </c>
      <c r="C1816" s="9" t="s">
        <v>47</v>
      </c>
      <c r="D1816" s="25">
        <f t="shared" si="475"/>
        <v>8</v>
      </c>
      <c r="E1816" s="54"/>
      <c r="F1816" s="9"/>
      <c r="G1816" s="9">
        <v>0</v>
      </c>
      <c r="H1816" s="9">
        <v>2</v>
      </c>
      <c r="I1816" s="9">
        <v>0</v>
      </c>
      <c r="J1816" s="9">
        <v>0</v>
      </c>
      <c r="K1816" s="9">
        <v>0</v>
      </c>
      <c r="L1816" s="9">
        <v>0</v>
      </c>
      <c r="M1816" s="9">
        <v>0</v>
      </c>
      <c r="N1816" s="9">
        <v>0</v>
      </c>
      <c r="O1816" s="9">
        <v>0</v>
      </c>
      <c r="P1816" s="9">
        <v>0</v>
      </c>
      <c r="Q1816" s="9">
        <v>0</v>
      </c>
      <c r="R1816" s="9">
        <v>0</v>
      </c>
      <c r="S1816" s="9">
        <v>0</v>
      </c>
      <c r="T1816" s="9">
        <v>0</v>
      </c>
      <c r="U1816" s="9">
        <v>2</v>
      </c>
      <c r="V1816" s="9">
        <v>0</v>
      </c>
      <c r="W1816" s="9">
        <v>0</v>
      </c>
      <c r="X1816" s="9">
        <v>0</v>
      </c>
      <c r="Y1816" s="9">
        <v>0</v>
      </c>
      <c r="Z1816" s="9">
        <v>2</v>
      </c>
      <c r="AA1816" s="9">
        <v>2</v>
      </c>
      <c r="AB1816" s="9">
        <v>0</v>
      </c>
      <c r="AC1816" s="9">
        <v>0</v>
      </c>
      <c r="AD1816" s="53" t="e">
        <f>#REF!*D1816</f>
        <v>#REF!</v>
      </c>
      <c r="AE1816" s="53" t="e">
        <f>AD1816-#REF!</f>
        <v>#REF!</v>
      </c>
      <c r="AF1816" s="8"/>
      <c r="AG1816" s="33" t="e">
        <f>#REF!-D1816</f>
        <v>#REF!</v>
      </c>
      <c r="AH1816" s="8"/>
      <c r="AI1816" s="8"/>
    </row>
    <row r="1817" spans="1:35" s="17" customFormat="1" ht="20.399999999999999" outlineLevel="1" x14ac:dyDescent="0.2">
      <c r="A1817" s="62" t="s">
        <v>2174</v>
      </c>
      <c r="B1817" s="14" t="s">
        <v>136</v>
      </c>
      <c r="C1817" s="9" t="s">
        <v>47</v>
      </c>
      <c r="D1817" s="25">
        <f t="shared" si="475"/>
        <v>10</v>
      </c>
      <c r="E1817" s="54"/>
      <c r="F1817" s="9"/>
      <c r="G1817" s="9">
        <v>2</v>
      </c>
      <c r="H1817" s="9">
        <v>2</v>
      </c>
      <c r="I1817" s="9">
        <v>0</v>
      </c>
      <c r="J1817" s="9">
        <v>0</v>
      </c>
      <c r="K1817" s="9">
        <v>0</v>
      </c>
      <c r="L1817" s="9">
        <v>0</v>
      </c>
      <c r="M1817" s="9">
        <v>0</v>
      </c>
      <c r="N1817" s="9">
        <v>0</v>
      </c>
      <c r="O1817" s="9">
        <v>0</v>
      </c>
      <c r="P1817" s="9">
        <v>0</v>
      </c>
      <c r="Q1817" s="9">
        <v>0</v>
      </c>
      <c r="R1817" s="9">
        <v>0</v>
      </c>
      <c r="S1817" s="9">
        <v>0</v>
      </c>
      <c r="T1817" s="9">
        <v>0</v>
      </c>
      <c r="U1817" s="9">
        <v>2</v>
      </c>
      <c r="V1817" s="9">
        <v>0</v>
      </c>
      <c r="W1817" s="9">
        <v>0</v>
      </c>
      <c r="X1817" s="9">
        <v>0</v>
      </c>
      <c r="Y1817" s="9">
        <v>0</v>
      </c>
      <c r="Z1817" s="9">
        <v>2</v>
      </c>
      <c r="AA1817" s="9">
        <v>2</v>
      </c>
      <c r="AB1817" s="9">
        <v>0</v>
      </c>
      <c r="AC1817" s="9">
        <v>0</v>
      </c>
      <c r="AD1817" s="53" t="e">
        <f>#REF!*D1817</f>
        <v>#REF!</v>
      </c>
      <c r="AE1817" s="53" t="e">
        <f>AD1817-#REF!</f>
        <v>#REF!</v>
      </c>
      <c r="AF1817" s="8"/>
      <c r="AG1817" s="33" t="e">
        <f>#REF!-D1817</f>
        <v>#REF!</v>
      </c>
      <c r="AH1817" s="8"/>
      <c r="AI1817" s="8"/>
    </row>
    <row r="1818" spans="1:35" s="12" customFormat="1" ht="10.199999999999999" outlineLevel="1" x14ac:dyDescent="0.2">
      <c r="A1818" s="62" t="s">
        <v>2175</v>
      </c>
      <c r="B1818" s="11" t="s">
        <v>252</v>
      </c>
      <c r="C1818" s="9" t="s">
        <v>47</v>
      </c>
      <c r="D1818" s="25">
        <f t="shared" si="475"/>
        <v>153</v>
      </c>
      <c r="E1818" s="54"/>
      <c r="F1818" s="9"/>
      <c r="G1818" s="9">
        <v>0</v>
      </c>
      <c r="H1818" s="9">
        <v>7</v>
      </c>
      <c r="I1818" s="9">
        <v>22</v>
      </c>
      <c r="J1818" s="9">
        <v>13</v>
      </c>
      <c r="K1818" s="9">
        <f>23-9</f>
        <v>14</v>
      </c>
      <c r="L1818" s="9">
        <f>23-9</f>
        <v>14</v>
      </c>
      <c r="M1818" s="9">
        <v>9</v>
      </c>
      <c r="N1818" s="9">
        <v>9</v>
      </c>
      <c r="O1818" s="9">
        <v>9</v>
      </c>
      <c r="P1818" s="9">
        <v>12</v>
      </c>
      <c r="Q1818" s="9">
        <v>0</v>
      </c>
      <c r="R1818" s="9">
        <v>0</v>
      </c>
      <c r="S1818" s="9">
        <v>0</v>
      </c>
      <c r="T1818" s="9">
        <v>0</v>
      </c>
      <c r="U1818" s="9">
        <v>3</v>
      </c>
      <c r="V1818" s="9">
        <v>10</v>
      </c>
      <c r="W1818" s="9">
        <v>5</v>
      </c>
      <c r="X1818" s="9">
        <v>9</v>
      </c>
      <c r="Y1818" s="9">
        <v>9</v>
      </c>
      <c r="Z1818" s="9">
        <v>3</v>
      </c>
      <c r="AA1818" s="9">
        <v>3</v>
      </c>
      <c r="AB1818" s="9">
        <v>2</v>
      </c>
      <c r="AC1818" s="9">
        <v>0</v>
      </c>
      <c r="AD1818" s="53" t="e">
        <f>#REF!*D1818</f>
        <v>#REF!</v>
      </c>
      <c r="AE1818" s="53" t="e">
        <f>AD1818-#REF!</f>
        <v>#REF!</v>
      </c>
      <c r="AF1818" s="8"/>
      <c r="AG1818" s="33" t="e">
        <f>#REF!-D1818</f>
        <v>#REF!</v>
      </c>
      <c r="AH1818" s="8"/>
      <c r="AI1818" s="8"/>
    </row>
    <row r="1819" spans="1:35" s="12" customFormat="1" ht="10.199999999999999" outlineLevel="1" x14ac:dyDescent="0.2">
      <c r="A1819" s="62" t="s">
        <v>2176</v>
      </c>
      <c r="B1819" s="11" t="s">
        <v>2134</v>
      </c>
      <c r="C1819" s="9" t="s">
        <v>47</v>
      </c>
      <c r="D1819" s="25">
        <f t="shared" si="475"/>
        <v>8</v>
      </c>
      <c r="E1819" s="54"/>
      <c r="F1819" s="9"/>
      <c r="G1819" s="9">
        <v>0</v>
      </c>
      <c r="H1819" s="9">
        <v>1</v>
      </c>
      <c r="I1819" s="9">
        <v>0</v>
      </c>
      <c r="J1819" s="9">
        <v>1</v>
      </c>
      <c r="K1819" s="9">
        <v>1</v>
      </c>
      <c r="L1819" s="9">
        <v>1</v>
      </c>
      <c r="M1819" s="9">
        <v>0</v>
      </c>
      <c r="N1819" s="9">
        <v>0</v>
      </c>
      <c r="O1819" s="9">
        <v>0</v>
      </c>
      <c r="P1819" s="9">
        <v>0</v>
      </c>
      <c r="Q1819" s="9">
        <v>0</v>
      </c>
      <c r="R1819" s="9">
        <v>0</v>
      </c>
      <c r="S1819" s="9">
        <v>0</v>
      </c>
      <c r="T1819" s="9">
        <v>4</v>
      </c>
      <c r="U1819" s="9">
        <v>0</v>
      </c>
      <c r="V1819" s="9">
        <v>0</v>
      </c>
      <c r="W1819" s="9">
        <v>0</v>
      </c>
      <c r="X1819" s="9">
        <v>0</v>
      </c>
      <c r="Y1819" s="9">
        <v>0</v>
      </c>
      <c r="Z1819" s="9">
        <v>0</v>
      </c>
      <c r="AA1819" s="9">
        <v>0</v>
      </c>
      <c r="AB1819" s="9">
        <v>0</v>
      </c>
      <c r="AC1819" s="9">
        <v>0</v>
      </c>
      <c r="AD1819" s="53" t="e">
        <f>#REF!*D1819</f>
        <v>#REF!</v>
      </c>
      <c r="AE1819" s="53" t="e">
        <f>AD1819-#REF!</f>
        <v>#REF!</v>
      </c>
      <c r="AF1819" s="8"/>
      <c r="AG1819" s="33" t="e">
        <f>#REF!-D1819</f>
        <v>#REF!</v>
      </c>
      <c r="AH1819" s="8"/>
      <c r="AI1819" s="8"/>
    </row>
    <row r="1820" spans="1:35" s="12" customFormat="1" ht="10.199999999999999" outlineLevel="1" x14ac:dyDescent="0.2">
      <c r="A1820" s="62" t="s">
        <v>2177</v>
      </c>
      <c r="B1820" s="11" t="s">
        <v>2135</v>
      </c>
      <c r="C1820" s="9" t="s">
        <v>47</v>
      </c>
      <c r="D1820" s="25">
        <f t="shared" si="475"/>
        <v>20</v>
      </c>
      <c r="E1820" s="54"/>
      <c r="F1820" s="9"/>
      <c r="G1820" s="9">
        <v>0</v>
      </c>
      <c r="H1820" s="9">
        <v>0</v>
      </c>
      <c r="I1820" s="9">
        <v>2</v>
      </c>
      <c r="J1820" s="9">
        <v>0</v>
      </c>
      <c r="K1820" s="9">
        <v>0</v>
      </c>
      <c r="L1820" s="9">
        <v>0</v>
      </c>
      <c r="M1820" s="9">
        <v>0</v>
      </c>
      <c r="N1820" s="9">
        <v>0</v>
      </c>
      <c r="O1820" s="9">
        <v>0</v>
      </c>
      <c r="P1820" s="9">
        <v>0</v>
      </c>
      <c r="Q1820" s="9">
        <v>0</v>
      </c>
      <c r="R1820" s="9">
        <v>0</v>
      </c>
      <c r="S1820" s="9">
        <v>0</v>
      </c>
      <c r="T1820" s="9">
        <v>18</v>
      </c>
      <c r="U1820" s="9">
        <v>0</v>
      </c>
      <c r="V1820" s="9">
        <v>0</v>
      </c>
      <c r="W1820" s="9">
        <v>0</v>
      </c>
      <c r="X1820" s="9">
        <v>0</v>
      </c>
      <c r="Y1820" s="9">
        <v>0</v>
      </c>
      <c r="Z1820" s="9">
        <v>0</v>
      </c>
      <c r="AA1820" s="9">
        <v>0</v>
      </c>
      <c r="AB1820" s="9">
        <v>0</v>
      </c>
      <c r="AC1820" s="9">
        <v>0</v>
      </c>
      <c r="AD1820" s="53" t="e">
        <f>#REF!*D1820</f>
        <v>#REF!</v>
      </c>
      <c r="AE1820" s="53" t="e">
        <f>AD1820-#REF!</f>
        <v>#REF!</v>
      </c>
      <c r="AF1820" s="8"/>
      <c r="AG1820" s="33" t="e">
        <f>#REF!-D1820</f>
        <v>#REF!</v>
      </c>
      <c r="AH1820" s="8"/>
      <c r="AI1820" s="8"/>
    </row>
    <row r="1821" spans="1:35" s="12" customFormat="1" ht="10.199999999999999" outlineLevel="1" x14ac:dyDescent="0.2">
      <c r="A1821" s="62" t="s">
        <v>2178</v>
      </c>
      <c r="B1821" s="11" t="s">
        <v>253</v>
      </c>
      <c r="C1821" s="9" t="s">
        <v>47</v>
      </c>
      <c r="D1821" s="25">
        <f t="shared" si="475"/>
        <v>8</v>
      </c>
      <c r="E1821" s="54"/>
      <c r="F1821" s="9"/>
      <c r="G1821" s="9">
        <v>0</v>
      </c>
      <c r="H1821" s="9">
        <v>1</v>
      </c>
      <c r="I1821" s="9">
        <v>2</v>
      </c>
      <c r="J1821" s="9">
        <v>0</v>
      </c>
      <c r="K1821" s="9">
        <v>2</v>
      </c>
      <c r="L1821" s="9">
        <v>1</v>
      </c>
      <c r="M1821" s="9">
        <v>0</v>
      </c>
      <c r="N1821" s="9">
        <v>0</v>
      </c>
      <c r="O1821" s="9">
        <v>0</v>
      </c>
      <c r="P1821" s="9">
        <v>0</v>
      </c>
      <c r="Q1821" s="9">
        <v>0</v>
      </c>
      <c r="R1821" s="9">
        <v>0</v>
      </c>
      <c r="S1821" s="9">
        <v>0</v>
      </c>
      <c r="T1821" s="9">
        <v>0</v>
      </c>
      <c r="U1821" s="9">
        <v>0</v>
      </c>
      <c r="V1821" s="9">
        <v>0</v>
      </c>
      <c r="W1821" s="9">
        <v>0</v>
      </c>
      <c r="X1821" s="9">
        <v>1</v>
      </c>
      <c r="Y1821" s="9">
        <v>1</v>
      </c>
      <c r="Z1821" s="9">
        <v>0</v>
      </c>
      <c r="AA1821" s="9">
        <v>0</v>
      </c>
      <c r="AB1821" s="9">
        <v>0</v>
      </c>
      <c r="AC1821" s="9">
        <v>0</v>
      </c>
      <c r="AD1821" s="53" t="e">
        <f>#REF!*D1821</f>
        <v>#REF!</v>
      </c>
      <c r="AE1821" s="53" t="e">
        <f>AD1821-#REF!</f>
        <v>#REF!</v>
      </c>
      <c r="AF1821" s="8"/>
      <c r="AG1821" s="33" t="e">
        <f>#REF!-D1821</f>
        <v>#REF!</v>
      </c>
      <c r="AH1821" s="8"/>
      <c r="AI1821" s="8"/>
    </row>
    <row r="1822" spans="1:35" s="17" customFormat="1" ht="10.199999999999999" outlineLevel="1" x14ac:dyDescent="0.2">
      <c r="A1822" s="62" t="s">
        <v>2179</v>
      </c>
      <c r="B1822" s="11" t="s">
        <v>137</v>
      </c>
      <c r="C1822" s="9" t="s">
        <v>47</v>
      </c>
      <c r="D1822" s="25">
        <f t="shared" si="475"/>
        <v>48</v>
      </c>
      <c r="E1822" s="54"/>
      <c r="F1822" s="9"/>
      <c r="G1822" s="9">
        <v>1</v>
      </c>
      <c r="H1822" s="9">
        <v>4</v>
      </c>
      <c r="I1822" s="9">
        <v>4</v>
      </c>
      <c r="J1822" s="9">
        <v>1</v>
      </c>
      <c r="K1822" s="9">
        <v>1</v>
      </c>
      <c r="L1822" s="9">
        <v>2</v>
      </c>
      <c r="M1822" s="9">
        <v>2</v>
      </c>
      <c r="N1822" s="9">
        <v>2</v>
      </c>
      <c r="O1822" s="9">
        <v>2</v>
      </c>
      <c r="P1822" s="9">
        <v>1</v>
      </c>
      <c r="Q1822" s="9">
        <v>0</v>
      </c>
      <c r="R1822" s="9">
        <v>0</v>
      </c>
      <c r="S1822" s="9">
        <v>0</v>
      </c>
      <c r="T1822" s="9">
        <v>22</v>
      </c>
      <c r="U1822" s="9">
        <v>1</v>
      </c>
      <c r="V1822" s="9">
        <v>0</v>
      </c>
      <c r="W1822" s="9">
        <v>1</v>
      </c>
      <c r="X1822" s="9">
        <v>1</v>
      </c>
      <c r="Y1822" s="9">
        <v>1</v>
      </c>
      <c r="Z1822" s="9">
        <v>1</v>
      </c>
      <c r="AA1822" s="9">
        <v>1</v>
      </c>
      <c r="AB1822" s="9">
        <v>0</v>
      </c>
      <c r="AC1822" s="9">
        <v>0</v>
      </c>
      <c r="AD1822" s="53" t="e">
        <f>#REF!*D1822</f>
        <v>#REF!</v>
      </c>
      <c r="AE1822" s="53" t="e">
        <f>AD1822-#REF!</f>
        <v>#REF!</v>
      </c>
      <c r="AF1822" s="8"/>
      <c r="AG1822" s="33" t="e">
        <f>#REF!-D1822</f>
        <v>#REF!</v>
      </c>
      <c r="AH1822" s="8"/>
      <c r="AI1822" s="8"/>
    </row>
    <row r="1823" spans="1:35" s="12" customFormat="1" ht="10.199999999999999" outlineLevel="1" x14ac:dyDescent="0.2">
      <c r="A1823" s="62" t="s">
        <v>2180</v>
      </c>
      <c r="B1823" s="11" t="s">
        <v>254</v>
      </c>
      <c r="C1823" s="9" t="s">
        <v>47</v>
      </c>
      <c r="D1823" s="25">
        <f t="shared" si="475"/>
        <v>6</v>
      </c>
      <c r="E1823" s="54"/>
      <c r="F1823" s="9"/>
      <c r="G1823" s="9">
        <v>0</v>
      </c>
      <c r="H1823" s="9">
        <v>0</v>
      </c>
      <c r="I1823" s="9">
        <v>1</v>
      </c>
      <c r="J1823" s="9">
        <v>0</v>
      </c>
      <c r="K1823" s="9">
        <v>0</v>
      </c>
      <c r="L1823" s="9">
        <v>0</v>
      </c>
      <c r="M1823" s="9">
        <v>0</v>
      </c>
      <c r="N1823" s="9">
        <v>0</v>
      </c>
      <c r="O1823" s="9">
        <v>0</v>
      </c>
      <c r="P1823" s="9">
        <v>0</v>
      </c>
      <c r="Q1823" s="9">
        <v>0</v>
      </c>
      <c r="R1823" s="9">
        <v>0</v>
      </c>
      <c r="S1823" s="9">
        <v>0</v>
      </c>
      <c r="T1823" s="9">
        <v>5</v>
      </c>
      <c r="U1823" s="9">
        <v>0</v>
      </c>
      <c r="V1823" s="9">
        <v>0</v>
      </c>
      <c r="W1823" s="9">
        <v>0</v>
      </c>
      <c r="X1823" s="9">
        <v>0</v>
      </c>
      <c r="Y1823" s="9">
        <v>0</v>
      </c>
      <c r="Z1823" s="9">
        <v>0</v>
      </c>
      <c r="AA1823" s="9">
        <v>0</v>
      </c>
      <c r="AB1823" s="9">
        <v>0</v>
      </c>
      <c r="AC1823" s="9">
        <v>0</v>
      </c>
      <c r="AD1823" s="53" t="e">
        <f>#REF!*D1823</f>
        <v>#REF!</v>
      </c>
      <c r="AE1823" s="53" t="e">
        <f>AD1823-#REF!</f>
        <v>#REF!</v>
      </c>
      <c r="AF1823" s="8"/>
      <c r="AG1823" s="33" t="e">
        <f>#REF!-D1823</f>
        <v>#REF!</v>
      </c>
      <c r="AH1823" s="8"/>
      <c r="AI1823" s="8"/>
    </row>
    <row r="1824" spans="1:35" s="17" customFormat="1" ht="10.199999999999999" outlineLevel="1" x14ac:dyDescent="0.2">
      <c r="A1824" s="62" t="s">
        <v>2181</v>
      </c>
      <c r="B1824" s="11" t="s">
        <v>255</v>
      </c>
      <c r="C1824" s="9" t="s">
        <v>47</v>
      </c>
      <c r="D1824" s="25">
        <f t="shared" si="475"/>
        <v>2</v>
      </c>
      <c r="E1824" s="54"/>
      <c r="F1824" s="9"/>
      <c r="G1824" s="9">
        <v>0</v>
      </c>
      <c r="H1824" s="9">
        <v>0</v>
      </c>
      <c r="I1824" s="9">
        <v>0</v>
      </c>
      <c r="J1824" s="9">
        <v>0</v>
      </c>
      <c r="K1824" s="9">
        <v>0</v>
      </c>
      <c r="L1824" s="9">
        <v>0</v>
      </c>
      <c r="M1824" s="9">
        <v>0</v>
      </c>
      <c r="N1824" s="9">
        <v>0</v>
      </c>
      <c r="O1824" s="9">
        <v>0</v>
      </c>
      <c r="P1824" s="9">
        <v>0</v>
      </c>
      <c r="Q1824" s="9">
        <v>0</v>
      </c>
      <c r="R1824" s="9">
        <v>2</v>
      </c>
      <c r="S1824" s="9">
        <v>0</v>
      </c>
      <c r="T1824" s="9">
        <v>0</v>
      </c>
      <c r="U1824" s="9">
        <v>0</v>
      </c>
      <c r="V1824" s="9">
        <v>0</v>
      </c>
      <c r="W1824" s="9">
        <v>0</v>
      </c>
      <c r="X1824" s="9">
        <v>0</v>
      </c>
      <c r="Y1824" s="9">
        <v>0</v>
      </c>
      <c r="Z1824" s="9">
        <v>0</v>
      </c>
      <c r="AA1824" s="9">
        <v>0</v>
      </c>
      <c r="AB1824" s="9">
        <v>0</v>
      </c>
      <c r="AC1824" s="9">
        <v>0</v>
      </c>
      <c r="AD1824" s="53" t="e">
        <f>#REF!*D1824</f>
        <v>#REF!</v>
      </c>
      <c r="AE1824" s="53" t="e">
        <f>AD1824-#REF!</f>
        <v>#REF!</v>
      </c>
      <c r="AF1824" s="8"/>
      <c r="AG1824" s="33" t="e">
        <f>#REF!-D1824</f>
        <v>#REF!</v>
      </c>
      <c r="AH1824" s="8"/>
      <c r="AI1824" s="8"/>
    </row>
    <row r="1825" spans="1:35" s="12" customFormat="1" ht="21.6" outlineLevel="1" x14ac:dyDescent="0.2">
      <c r="A1825" s="62" t="s">
        <v>2182</v>
      </c>
      <c r="B1825" s="14" t="s">
        <v>2138</v>
      </c>
      <c r="C1825" s="9" t="s">
        <v>47</v>
      </c>
      <c r="D1825" s="25">
        <f t="shared" si="475"/>
        <v>93</v>
      </c>
      <c r="E1825" s="54"/>
      <c r="F1825" s="9"/>
      <c r="G1825" s="9">
        <v>0</v>
      </c>
      <c r="H1825" s="9">
        <v>7</v>
      </c>
      <c r="I1825" s="9">
        <f>22-7</f>
        <v>15</v>
      </c>
      <c r="J1825" s="9">
        <v>5</v>
      </c>
      <c r="K1825" s="9">
        <v>8</v>
      </c>
      <c r="L1825" s="9">
        <v>6</v>
      </c>
      <c r="M1825" s="9">
        <v>6</v>
      </c>
      <c r="N1825" s="9">
        <v>6</v>
      </c>
      <c r="O1825" s="9">
        <v>6</v>
      </c>
      <c r="P1825" s="9">
        <v>6</v>
      </c>
      <c r="Q1825" s="9">
        <v>0</v>
      </c>
      <c r="R1825" s="9">
        <v>2</v>
      </c>
      <c r="S1825" s="9">
        <v>0</v>
      </c>
      <c r="T1825" s="9">
        <v>0</v>
      </c>
      <c r="U1825" s="9">
        <v>2</v>
      </c>
      <c r="V1825" s="9">
        <v>7</v>
      </c>
      <c r="W1825" s="9">
        <v>2</v>
      </c>
      <c r="X1825" s="9">
        <v>6</v>
      </c>
      <c r="Y1825" s="9">
        <v>3</v>
      </c>
      <c r="Z1825" s="9">
        <v>2</v>
      </c>
      <c r="AA1825" s="9">
        <v>2</v>
      </c>
      <c r="AB1825" s="9">
        <v>2</v>
      </c>
      <c r="AC1825" s="9">
        <v>0</v>
      </c>
      <c r="AD1825" s="53" t="e">
        <f>#REF!*D1825</f>
        <v>#REF!</v>
      </c>
      <c r="AE1825" s="53" t="e">
        <f>AD1825-#REF!</f>
        <v>#REF!</v>
      </c>
      <c r="AF1825" s="8"/>
      <c r="AG1825" s="33" t="e">
        <f>#REF!-D1825</f>
        <v>#REF!</v>
      </c>
      <c r="AH1825" s="8"/>
      <c r="AI1825" s="8"/>
    </row>
    <row r="1826" spans="1:35" s="12" customFormat="1" ht="21.6" outlineLevel="1" x14ac:dyDescent="0.2">
      <c r="A1826" s="62" t="s">
        <v>2183</v>
      </c>
      <c r="B1826" s="14" t="s">
        <v>2139</v>
      </c>
      <c r="C1826" s="9" t="s">
        <v>47</v>
      </c>
      <c r="D1826" s="25">
        <f t="shared" si="475"/>
        <v>56</v>
      </c>
      <c r="E1826" s="54"/>
      <c r="F1826" s="9"/>
      <c r="G1826" s="9">
        <v>0</v>
      </c>
      <c r="H1826" s="9">
        <v>1</v>
      </c>
      <c r="I1826" s="9">
        <v>5</v>
      </c>
      <c r="J1826" s="9">
        <v>5</v>
      </c>
      <c r="K1826" s="9">
        <v>5</v>
      </c>
      <c r="L1826" s="9">
        <v>5</v>
      </c>
      <c r="M1826" s="9">
        <v>5</v>
      </c>
      <c r="N1826" s="9">
        <v>5</v>
      </c>
      <c r="O1826" s="9">
        <v>5</v>
      </c>
      <c r="P1826" s="9">
        <v>5</v>
      </c>
      <c r="Q1826" s="9">
        <v>0</v>
      </c>
      <c r="R1826" s="9">
        <v>2</v>
      </c>
      <c r="S1826" s="9">
        <v>0</v>
      </c>
      <c r="T1826" s="9">
        <v>0</v>
      </c>
      <c r="U1826" s="9">
        <v>1</v>
      </c>
      <c r="V1826" s="9">
        <v>2</v>
      </c>
      <c r="W1826" s="9">
        <v>2</v>
      </c>
      <c r="X1826" s="9">
        <v>3</v>
      </c>
      <c r="Y1826" s="9">
        <v>2</v>
      </c>
      <c r="Z1826" s="9">
        <v>1</v>
      </c>
      <c r="AA1826" s="9">
        <v>1</v>
      </c>
      <c r="AB1826" s="9">
        <v>1</v>
      </c>
      <c r="AC1826" s="9">
        <v>0</v>
      </c>
      <c r="AD1826" s="53" t="e">
        <f>#REF!*D1826</f>
        <v>#REF!</v>
      </c>
      <c r="AE1826" s="53" t="e">
        <f>AD1826-#REF!</f>
        <v>#REF!</v>
      </c>
      <c r="AF1826" s="8"/>
      <c r="AG1826" s="33" t="e">
        <f>#REF!-D1826</f>
        <v>#REF!</v>
      </c>
      <c r="AH1826" s="8"/>
      <c r="AI1826" s="8"/>
    </row>
    <row r="1827" spans="1:35" s="12" customFormat="1" ht="21.6" outlineLevel="1" x14ac:dyDescent="0.2">
      <c r="A1827" s="62" t="s">
        <v>2184</v>
      </c>
      <c r="B1827" s="14" t="s">
        <v>2140</v>
      </c>
      <c r="C1827" s="9" t="s">
        <v>47</v>
      </c>
      <c r="D1827" s="25">
        <f t="shared" si="475"/>
        <v>28</v>
      </c>
      <c r="E1827" s="54"/>
      <c r="F1827" s="9"/>
      <c r="G1827" s="9">
        <v>0</v>
      </c>
      <c r="H1827" s="9">
        <v>2</v>
      </c>
      <c r="I1827" s="9">
        <v>1</v>
      </c>
      <c r="J1827" s="9">
        <v>3</v>
      </c>
      <c r="K1827" s="9">
        <v>5</v>
      </c>
      <c r="L1827" s="9">
        <v>1</v>
      </c>
      <c r="M1827" s="9">
        <v>2</v>
      </c>
      <c r="N1827" s="9">
        <v>2</v>
      </c>
      <c r="O1827" s="9">
        <v>2</v>
      </c>
      <c r="P1827" s="9">
        <v>2</v>
      </c>
      <c r="Q1827" s="9">
        <v>0</v>
      </c>
      <c r="R1827" s="9">
        <v>0</v>
      </c>
      <c r="S1827" s="9">
        <v>0</v>
      </c>
      <c r="T1827" s="9">
        <v>0</v>
      </c>
      <c r="U1827" s="9">
        <v>1</v>
      </c>
      <c r="V1827" s="9">
        <v>0</v>
      </c>
      <c r="W1827" s="9">
        <v>1</v>
      </c>
      <c r="X1827" s="9">
        <v>3</v>
      </c>
      <c r="Y1827" s="9">
        <v>1</v>
      </c>
      <c r="Z1827" s="9">
        <v>1</v>
      </c>
      <c r="AA1827" s="9">
        <v>1</v>
      </c>
      <c r="AB1827" s="9">
        <v>0</v>
      </c>
      <c r="AC1827" s="9">
        <v>0</v>
      </c>
      <c r="AD1827" s="53" t="e">
        <f>#REF!*D1827</f>
        <v>#REF!</v>
      </c>
      <c r="AE1827" s="53" t="e">
        <f>AD1827-#REF!</f>
        <v>#REF!</v>
      </c>
      <c r="AF1827" s="8"/>
      <c r="AG1827" s="33" t="e">
        <f>#REF!-D1827</f>
        <v>#REF!</v>
      </c>
      <c r="AH1827" s="8"/>
      <c r="AI1827" s="8"/>
    </row>
    <row r="1828" spans="1:35" s="12" customFormat="1" ht="11.4" outlineLevel="1" x14ac:dyDescent="0.2">
      <c r="A1828" s="62" t="s">
        <v>2185</v>
      </c>
      <c r="B1828" s="11" t="s">
        <v>256</v>
      </c>
      <c r="C1828" s="9" t="s">
        <v>47</v>
      </c>
      <c r="D1828" s="25">
        <f t="shared" si="475"/>
        <v>3</v>
      </c>
      <c r="E1828" s="54"/>
      <c r="F1828" s="9"/>
      <c r="G1828" s="9">
        <v>0</v>
      </c>
      <c r="H1828" s="9">
        <v>1</v>
      </c>
      <c r="I1828" s="9">
        <v>2</v>
      </c>
      <c r="J1828" s="9">
        <v>0</v>
      </c>
      <c r="K1828" s="9">
        <v>0</v>
      </c>
      <c r="L1828" s="9">
        <v>0</v>
      </c>
      <c r="M1828" s="9">
        <v>0</v>
      </c>
      <c r="N1828" s="9">
        <v>0</v>
      </c>
      <c r="O1828" s="9">
        <v>0</v>
      </c>
      <c r="P1828" s="9">
        <v>0</v>
      </c>
      <c r="Q1828" s="9">
        <v>0</v>
      </c>
      <c r="R1828" s="9">
        <v>0</v>
      </c>
      <c r="S1828" s="9">
        <v>0</v>
      </c>
      <c r="T1828" s="9">
        <v>0</v>
      </c>
      <c r="U1828" s="9">
        <v>0</v>
      </c>
      <c r="V1828" s="9">
        <v>0</v>
      </c>
      <c r="W1828" s="9">
        <v>0</v>
      </c>
      <c r="X1828" s="9">
        <v>0</v>
      </c>
      <c r="Y1828" s="9">
        <v>0</v>
      </c>
      <c r="Z1828" s="9">
        <v>0</v>
      </c>
      <c r="AA1828" s="9">
        <v>0</v>
      </c>
      <c r="AB1828" s="9">
        <v>0</v>
      </c>
      <c r="AC1828" s="9">
        <v>0</v>
      </c>
      <c r="AD1828" s="53" t="e">
        <f>#REF!*D1828</f>
        <v>#REF!</v>
      </c>
      <c r="AE1828" s="53" t="e">
        <f>AD1828-#REF!</f>
        <v>#REF!</v>
      </c>
      <c r="AF1828" s="8"/>
      <c r="AG1828" s="33" t="e">
        <f>#REF!-D1828</f>
        <v>#REF!</v>
      </c>
      <c r="AH1828" s="8"/>
      <c r="AI1828" s="8"/>
    </row>
    <row r="1829" spans="1:35" s="17" customFormat="1" ht="12.75" customHeight="1" outlineLevel="1" x14ac:dyDescent="0.2">
      <c r="A1829" s="62" t="s">
        <v>2186</v>
      </c>
      <c r="B1829" s="47" t="s">
        <v>257</v>
      </c>
      <c r="C1829" s="8" t="s">
        <v>47</v>
      </c>
      <c r="D1829" s="25">
        <f t="shared" si="475"/>
        <v>5</v>
      </c>
      <c r="E1829" s="54"/>
      <c r="F1829" s="9"/>
      <c r="G1829" s="9">
        <v>0</v>
      </c>
      <c r="H1829" s="9">
        <v>1</v>
      </c>
      <c r="I1829" s="9">
        <v>0</v>
      </c>
      <c r="J1829" s="9">
        <v>1</v>
      </c>
      <c r="K1829" s="9">
        <v>1</v>
      </c>
      <c r="L1829" s="9">
        <v>1</v>
      </c>
      <c r="M1829" s="9">
        <v>0</v>
      </c>
      <c r="N1829" s="9">
        <v>0</v>
      </c>
      <c r="O1829" s="9">
        <v>0</v>
      </c>
      <c r="P1829" s="9">
        <v>0</v>
      </c>
      <c r="Q1829" s="9">
        <v>0</v>
      </c>
      <c r="R1829" s="9">
        <v>0</v>
      </c>
      <c r="S1829" s="9">
        <v>0</v>
      </c>
      <c r="T1829" s="9">
        <v>0</v>
      </c>
      <c r="U1829" s="9">
        <v>0</v>
      </c>
      <c r="V1829" s="9">
        <v>0</v>
      </c>
      <c r="W1829" s="9">
        <v>0</v>
      </c>
      <c r="X1829" s="9">
        <v>1</v>
      </c>
      <c r="Y1829" s="9">
        <v>0</v>
      </c>
      <c r="Z1829" s="9">
        <v>0</v>
      </c>
      <c r="AA1829" s="9">
        <v>0</v>
      </c>
      <c r="AB1829" s="9">
        <v>0</v>
      </c>
      <c r="AC1829" s="9">
        <v>0</v>
      </c>
      <c r="AD1829" s="53" t="e">
        <f>#REF!*D1829</f>
        <v>#REF!</v>
      </c>
      <c r="AE1829" s="53" t="e">
        <f>AD1829-#REF!</f>
        <v>#REF!</v>
      </c>
      <c r="AF1829" s="8"/>
      <c r="AG1829" s="33" t="e">
        <f>#REF!-D1829</f>
        <v>#REF!</v>
      </c>
      <c r="AH1829" s="8"/>
      <c r="AI1829" s="8"/>
    </row>
    <row r="1830" spans="1:35" s="12" customFormat="1" ht="11.4" outlineLevel="1" x14ac:dyDescent="0.2">
      <c r="A1830" s="62" t="s">
        <v>2187</v>
      </c>
      <c r="B1830" s="14" t="s">
        <v>258</v>
      </c>
      <c r="C1830" s="8" t="s">
        <v>47</v>
      </c>
      <c r="D1830" s="25">
        <f t="shared" si="475"/>
        <v>42</v>
      </c>
      <c r="E1830" s="54"/>
      <c r="F1830" s="9"/>
      <c r="G1830" s="9">
        <v>0</v>
      </c>
      <c r="H1830" s="9">
        <v>1</v>
      </c>
      <c r="I1830" s="9">
        <v>2</v>
      </c>
      <c r="J1830" s="9">
        <v>3</v>
      </c>
      <c r="K1830" s="9">
        <v>7</v>
      </c>
      <c r="L1830" s="9">
        <v>4</v>
      </c>
      <c r="M1830" s="9">
        <v>4</v>
      </c>
      <c r="N1830" s="9">
        <v>4</v>
      </c>
      <c r="O1830" s="9">
        <v>4</v>
      </c>
      <c r="P1830" s="9">
        <v>4</v>
      </c>
      <c r="Q1830" s="9">
        <v>0</v>
      </c>
      <c r="R1830" s="9">
        <v>0</v>
      </c>
      <c r="S1830" s="9">
        <v>0</v>
      </c>
      <c r="T1830" s="9">
        <v>0</v>
      </c>
      <c r="U1830" s="9">
        <v>0</v>
      </c>
      <c r="V1830" s="9">
        <v>1</v>
      </c>
      <c r="W1830" s="9">
        <v>1</v>
      </c>
      <c r="X1830" s="9">
        <v>5</v>
      </c>
      <c r="Y1830" s="9">
        <v>2</v>
      </c>
      <c r="Z1830" s="9">
        <v>0</v>
      </c>
      <c r="AA1830" s="9">
        <v>0</v>
      </c>
      <c r="AB1830" s="9">
        <v>0</v>
      </c>
      <c r="AC1830" s="9">
        <v>0</v>
      </c>
      <c r="AD1830" s="53" t="e">
        <f>#REF!*D1830</f>
        <v>#REF!</v>
      </c>
      <c r="AE1830" s="53" t="e">
        <f>AD1830-#REF!</f>
        <v>#REF!</v>
      </c>
      <c r="AF1830" s="8"/>
      <c r="AG1830" s="33" t="e">
        <f>#REF!-D1830</f>
        <v>#REF!</v>
      </c>
      <c r="AH1830" s="8"/>
      <c r="AI1830" s="8"/>
    </row>
    <row r="1831" spans="1:35" s="17" customFormat="1" ht="11.4" outlineLevel="1" x14ac:dyDescent="0.2">
      <c r="A1831" s="62" t="s">
        <v>2188</v>
      </c>
      <c r="B1831" s="14" t="s">
        <v>259</v>
      </c>
      <c r="C1831" s="8" t="s">
        <v>47</v>
      </c>
      <c r="D1831" s="25">
        <f t="shared" si="475"/>
        <v>6</v>
      </c>
      <c r="E1831" s="54"/>
      <c r="F1831" s="9"/>
      <c r="G1831" s="9">
        <v>0</v>
      </c>
      <c r="H1831" s="9">
        <v>1</v>
      </c>
      <c r="I1831" s="9">
        <v>1</v>
      </c>
      <c r="J1831" s="9">
        <v>0</v>
      </c>
      <c r="K1831" s="9">
        <v>0</v>
      </c>
      <c r="L1831" s="9">
        <v>0</v>
      </c>
      <c r="M1831" s="9">
        <v>1</v>
      </c>
      <c r="N1831" s="9">
        <v>1</v>
      </c>
      <c r="O1831" s="9">
        <v>1</v>
      </c>
      <c r="P1831" s="9">
        <v>0</v>
      </c>
      <c r="Q1831" s="9">
        <v>0</v>
      </c>
      <c r="R1831" s="9">
        <v>0</v>
      </c>
      <c r="S1831" s="9">
        <v>0</v>
      </c>
      <c r="T1831" s="9">
        <v>0</v>
      </c>
      <c r="U1831" s="9">
        <v>0</v>
      </c>
      <c r="V1831" s="9">
        <v>1</v>
      </c>
      <c r="W1831" s="9">
        <v>0</v>
      </c>
      <c r="X1831" s="9">
        <v>0</v>
      </c>
      <c r="Y1831" s="9">
        <v>0</v>
      </c>
      <c r="Z1831" s="9">
        <v>0</v>
      </c>
      <c r="AA1831" s="9">
        <v>0</v>
      </c>
      <c r="AB1831" s="9">
        <v>0</v>
      </c>
      <c r="AC1831" s="9">
        <v>0</v>
      </c>
      <c r="AD1831" s="53" t="e">
        <f>#REF!*D1831</f>
        <v>#REF!</v>
      </c>
      <c r="AE1831" s="53" t="e">
        <f>AD1831-#REF!</f>
        <v>#REF!</v>
      </c>
      <c r="AF1831" s="8"/>
      <c r="AG1831" s="33" t="e">
        <f>#REF!-D1831</f>
        <v>#REF!</v>
      </c>
      <c r="AH1831" s="8"/>
      <c r="AI1831" s="8"/>
    </row>
    <row r="1832" spans="1:35" s="12" customFormat="1" ht="11.4" outlineLevel="1" x14ac:dyDescent="0.2">
      <c r="A1832" s="62" t="s">
        <v>2189</v>
      </c>
      <c r="B1832" s="14" t="s">
        <v>260</v>
      </c>
      <c r="C1832" s="8" t="s">
        <v>47</v>
      </c>
      <c r="D1832" s="25">
        <f t="shared" ref="D1832:D1863" si="486">SUM(G1832:AC1832)</f>
        <v>13</v>
      </c>
      <c r="E1832" s="54"/>
      <c r="F1832" s="9"/>
      <c r="G1832" s="9">
        <v>0</v>
      </c>
      <c r="H1832" s="9">
        <v>0</v>
      </c>
      <c r="I1832" s="9">
        <v>4</v>
      </c>
      <c r="J1832" s="9">
        <v>1</v>
      </c>
      <c r="K1832" s="9">
        <v>1</v>
      </c>
      <c r="L1832" s="9">
        <v>1</v>
      </c>
      <c r="M1832" s="9">
        <v>1</v>
      </c>
      <c r="N1832" s="9">
        <v>1</v>
      </c>
      <c r="O1832" s="9">
        <v>1</v>
      </c>
      <c r="P1832" s="9">
        <v>1</v>
      </c>
      <c r="Q1832" s="9">
        <v>0</v>
      </c>
      <c r="R1832" s="9">
        <v>0</v>
      </c>
      <c r="S1832" s="9">
        <v>0</v>
      </c>
      <c r="T1832" s="9">
        <v>0</v>
      </c>
      <c r="U1832" s="9">
        <v>0</v>
      </c>
      <c r="V1832" s="9">
        <v>1</v>
      </c>
      <c r="W1832" s="9">
        <v>0</v>
      </c>
      <c r="X1832" s="9">
        <v>1</v>
      </c>
      <c r="Y1832" s="9">
        <v>0</v>
      </c>
      <c r="Z1832" s="9">
        <v>0</v>
      </c>
      <c r="AA1832" s="9">
        <v>0</v>
      </c>
      <c r="AB1832" s="9">
        <v>0</v>
      </c>
      <c r="AC1832" s="9">
        <v>0</v>
      </c>
      <c r="AD1832" s="53" t="e">
        <f>#REF!*D1832</f>
        <v>#REF!</v>
      </c>
      <c r="AE1832" s="53" t="e">
        <f>AD1832-#REF!</f>
        <v>#REF!</v>
      </c>
      <c r="AF1832" s="8"/>
      <c r="AG1832" s="33" t="e">
        <f>#REF!-D1832</f>
        <v>#REF!</v>
      </c>
      <c r="AH1832" s="8"/>
      <c r="AI1832" s="8"/>
    </row>
    <row r="1833" spans="1:35" s="17" customFormat="1" ht="11.4" outlineLevel="1" x14ac:dyDescent="0.2">
      <c r="A1833" s="62" t="s">
        <v>2190</v>
      </c>
      <c r="B1833" s="14" t="s">
        <v>261</v>
      </c>
      <c r="C1833" s="8" t="s">
        <v>47</v>
      </c>
      <c r="D1833" s="25">
        <f t="shared" si="486"/>
        <v>63</v>
      </c>
      <c r="E1833" s="54"/>
      <c r="F1833" s="9"/>
      <c r="G1833" s="9">
        <v>0</v>
      </c>
      <c r="H1833" s="9">
        <v>3</v>
      </c>
      <c r="I1833" s="9">
        <v>7</v>
      </c>
      <c r="J1833" s="9">
        <v>6</v>
      </c>
      <c r="K1833" s="9">
        <v>6</v>
      </c>
      <c r="L1833" s="9">
        <v>6</v>
      </c>
      <c r="M1833" s="9">
        <v>4</v>
      </c>
      <c r="N1833" s="9">
        <v>4</v>
      </c>
      <c r="O1833" s="9">
        <v>4</v>
      </c>
      <c r="P1833" s="9">
        <v>4</v>
      </c>
      <c r="Q1833" s="9">
        <v>0</v>
      </c>
      <c r="R1833" s="9">
        <v>0</v>
      </c>
      <c r="S1833" s="9">
        <v>0</v>
      </c>
      <c r="T1833" s="9">
        <v>0</v>
      </c>
      <c r="U1833" s="9">
        <v>2</v>
      </c>
      <c r="V1833" s="9">
        <v>3</v>
      </c>
      <c r="W1833" s="9">
        <v>2</v>
      </c>
      <c r="X1833" s="9">
        <v>4</v>
      </c>
      <c r="Y1833" s="9">
        <v>4</v>
      </c>
      <c r="Z1833" s="9">
        <v>2</v>
      </c>
      <c r="AA1833" s="9">
        <v>2</v>
      </c>
      <c r="AB1833" s="9">
        <v>0</v>
      </c>
      <c r="AC1833" s="9">
        <v>0</v>
      </c>
      <c r="AD1833" s="53" t="e">
        <f>#REF!*D1833</f>
        <v>#REF!</v>
      </c>
      <c r="AE1833" s="53" t="e">
        <f>AD1833-#REF!</f>
        <v>#REF!</v>
      </c>
      <c r="AF1833" s="8"/>
      <c r="AG1833" s="33" t="e">
        <f>#REF!-D1833</f>
        <v>#REF!</v>
      </c>
      <c r="AH1833" s="8"/>
      <c r="AI1833" s="8"/>
    </row>
    <row r="1834" spans="1:35" s="17" customFormat="1" ht="13.5" customHeight="1" outlineLevel="1" x14ac:dyDescent="0.2">
      <c r="A1834" s="62" t="s">
        <v>2191</v>
      </c>
      <c r="B1834" s="47" t="s">
        <v>2141</v>
      </c>
      <c r="C1834" s="8" t="s">
        <v>47</v>
      </c>
      <c r="D1834" s="25">
        <f t="shared" si="486"/>
        <v>4</v>
      </c>
      <c r="E1834" s="54"/>
      <c r="F1834" s="9"/>
      <c r="G1834" s="9">
        <v>0</v>
      </c>
      <c r="H1834" s="9">
        <v>1</v>
      </c>
      <c r="I1834" s="9">
        <v>2</v>
      </c>
      <c r="J1834" s="9">
        <v>0</v>
      </c>
      <c r="K1834" s="9">
        <v>0</v>
      </c>
      <c r="L1834" s="9">
        <v>0</v>
      </c>
      <c r="M1834" s="9">
        <v>0</v>
      </c>
      <c r="N1834" s="9">
        <v>0</v>
      </c>
      <c r="O1834" s="9">
        <v>0</v>
      </c>
      <c r="P1834" s="9">
        <v>0</v>
      </c>
      <c r="Q1834" s="9">
        <v>0</v>
      </c>
      <c r="R1834" s="9">
        <v>0</v>
      </c>
      <c r="S1834" s="9">
        <v>0</v>
      </c>
      <c r="T1834" s="9">
        <v>0</v>
      </c>
      <c r="U1834" s="9">
        <v>0</v>
      </c>
      <c r="V1834" s="9">
        <v>1</v>
      </c>
      <c r="W1834" s="9">
        <v>0</v>
      </c>
      <c r="X1834" s="9">
        <v>0</v>
      </c>
      <c r="Y1834" s="9">
        <v>0</v>
      </c>
      <c r="Z1834" s="9">
        <v>0</v>
      </c>
      <c r="AA1834" s="9">
        <v>0</v>
      </c>
      <c r="AB1834" s="9">
        <v>0</v>
      </c>
      <c r="AC1834" s="9">
        <v>0</v>
      </c>
      <c r="AD1834" s="53" t="e">
        <f>#REF!*D1834</f>
        <v>#REF!</v>
      </c>
      <c r="AE1834" s="53" t="e">
        <f>AD1834-#REF!</f>
        <v>#REF!</v>
      </c>
      <c r="AF1834" s="8"/>
      <c r="AG1834" s="33" t="e">
        <f>#REF!-D1834</f>
        <v>#REF!</v>
      </c>
      <c r="AH1834" s="8"/>
      <c r="AI1834" s="8"/>
    </row>
    <row r="1835" spans="1:35" s="17" customFormat="1" ht="11.4" outlineLevel="1" x14ac:dyDescent="0.2">
      <c r="A1835" s="62" t="s">
        <v>2192</v>
      </c>
      <c r="B1835" s="14" t="s">
        <v>174</v>
      </c>
      <c r="C1835" s="8" t="s">
        <v>47</v>
      </c>
      <c r="D1835" s="25">
        <f t="shared" si="486"/>
        <v>21</v>
      </c>
      <c r="E1835" s="54"/>
      <c r="F1835" s="9"/>
      <c r="G1835" s="9">
        <v>0</v>
      </c>
      <c r="H1835" s="9">
        <v>1</v>
      </c>
      <c r="I1835" s="9">
        <v>1</v>
      </c>
      <c r="J1835" s="9">
        <v>2</v>
      </c>
      <c r="K1835" s="9">
        <v>2</v>
      </c>
      <c r="L1835" s="9">
        <v>1</v>
      </c>
      <c r="M1835" s="9">
        <v>3</v>
      </c>
      <c r="N1835" s="9">
        <v>3</v>
      </c>
      <c r="O1835" s="9">
        <v>3</v>
      </c>
      <c r="P1835" s="9">
        <v>2</v>
      </c>
      <c r="Q1835" s="9">
        <v>0</v>
      </c>
      <c r="R1835" s="9">
        <v>0</v>
      </c>
      <c r="S1835" s="9">
        <v>0</v>
      </c>
      <c r="T1835" s="9">
        <v>0</v>
      </c>
      <c r="U1835" s="9">
        <v>0</v>
      </c>
      <c r="V1835" s="9">
        <v>0</v>
      </c>
      <c r="W1835" s="9">
        <v>1</v>
      </c>
      <c r="X1835" s="9">
        <v>1</v>
      </c>
      <c r="Y1835" s="9">
        <v>1</v>
      </c>
      <c r="Z1835" s="9">
        <v>0</v>
      </c>
      <c r="AA1835" s="9">
        <v>0</v>
      </c>
      <c r="AB1835" s="9">
        <v>0</v>
      </c>
      <c r="AC1835" s="9">
        <v>0</v>
      </c>
      <c r="AD1835" s="53" t="e">
        <f>#REF!*D1835</f>
        <v>#REF!</v>
      </c>
      <c r="AE1835" s="53" t="e">
        <f>AD1835-#REF!</f>
        <v>#REF!</v>
      </c>
      <c r="AF1835" s="8"/>
      <c r="AG1835" s="33" t="e">
        <f>#REF!-D1835</f>
        <v>#REF!</v>
      </c>
      <c r="AH1835" s="8"/>
      <c r="AI1835" s="8"/>
    </row>
    <row r="1836" spans="1:35" s="12" customFormat="1" ht="11.4" outlineLevel="1" x14ac:dyDescent="0.2">
      <c r="A1836" s="62" t="s">
        <v>2193</v>
      </c>
      <c r="B1836" s="11" t="s">
        <v>262</v>
      </c>
      <c r="C1836" s="9" t="s">
        <v>47</v>
      </c>
      <c r="D1836" s="25">
        <f t="shared" si="486"/>
        <v>11</v>
      </c>
      <c r="E1836" s="54"/>
      <c r="F1836" s="9"/>
      <c r="G1836" s="9">
        <v>0</v>
      </c>
      <c r="H1836" s="9">
        <v>1</v>
      </c>
      <c r="I1836" s="9">
        <v>0</v>
      </c>
      <c r="J1836" s="9">
        <v>2</v>
      </c>
      <c r="K1836" s="9">
        <v>1</v>
      </c>
      <c r="L1836" s="9">
        <v>0</v>
      </c>
      <c r="M1836" s="9">
        <v>1</v>
      </c>
      <c r="N1836" s="9">
        <v>1</v>
      </c>
      <c r="O1836" s="9">
        <v>1</v>
      </c>
      <c r="P1836" s="9">
        <v>1</v>
      </c>
      <c r="Q1836" s="9">
        <v>0</v>
      </c>
      <c r="R1836" s="9">
        <v>0</v>
      </c>
      <c r="S1836" s="9">
        <v>0</v>
      </c>
      <c r="T1836" s="9">
        <v>0</v>
      </c>
      <c r="U1836" s="9">
        <v>0</v>
      </c>
      <c r="V1836" s="9">
        <v>3</v>
      </c>
      <c r="W1836" s="9">
        <v>0</v>
      </c>
      <c r="X1836" s="9">
        <v>0</v>
      </c>
      <c r="Y1836" s="9">
        <v>0</v>
      </c>
      <c r="Z1836" s="9">
        <v>0</v>
      </c>
      <c r="AA1836" s="9">
        <v>0</v>
      </c>
      <c r="AB1836" s="9">
        <v>0</v>
      </c>
      <c r="AC1836" s="9">
        <v>0</v>
      </c>
      <c r="AD1836" s="53" t="e">
        <f>#REF!*D1836</f>
        <v>#REF!</v>
      </c>
      <c r="AE1836" s="53" t="e">
        <f>AD1836-#REF!</f>
        <v>#REF!</v>
      </c>
      <c r="AF1836" s="8"/>
      <c r="AG1836" s="33" t="e">
        <f>#REF!-D1836</f>
        <v>#REF!</v>
      </c>
      <c r="AH1836" s="8"/>
      <c r="AI1836" s="8"/>
    </row>
    <row r="1837" spans="1:35" s="17" customFormat="1" ht="11.4" outlineLevel="1" x14ac:dyDescent="0.2">
      <c r="A1837" s="62" t="s">
        <v>2194</v>
      </c>
      <c r="B1837" s="14" t="s">
        <v>138</v>
      </c>
      <c r="C1837" s="8" t="s">
        <v>47</v>
      </c>
      <c r="D1837" s="25">
        <f t="shared" si="486"/>
        <v>30</v>
      </c>
      <c r="E1837" s="54"/>
      <c r="F1837" s="9"/>
      <c r="G1837" s="9">
        <v>0</v>
      </c>
      <c r="H1837" s="9">
        <v>2</v>
      </c>
      <c r="I1837" s="9">
        <v>3</v>
      </c>
      <c r="J1837" s="9">
        <v>3</v>
      </c>
      <c r="K1837" s="9">
        <v>2</v>
      </c>
      <c r="L1837" s="9">
        <v>4</v>
      </c>
      <c r="M1837" s="9">
        <v>1</v>
      </c>
      <c r="N1837" s="9">
        <v>1</v>
      </c>
      <c r="O1837" s="9">
        <v>1</v>
      </c>
      <c r="P1837" s="9">
        <v>8</v>
      </c>
      <c r="Q1837" s="9">
        <v>0</v>
      </c>
      <c r="R1837" s="9">
        <v>0</v>
      </c>
      <c r="S1837" s="9">
        <v>0</v>
      </c>
      <c r="T1837" s="9">
        <v>0</v>
      </c>
      <c r="U1837" s="9">
        <v>0</v>
      </c>
      <c r="V1837" s="9">
        <v>1</v>
      </c>
      <c r="W1837" s="9">
        <v>1</v>
      </c>
      <c r="X1837" s="9">
        <v>1</v>
      </c>
      <c r="Y1837" s="9">
        <v>2</v>
      </c>
      <c r="Z1837" s="9">
        <v>0</v>
      </c>
      <c r="AA1837" s="9">
        <v>0</v>
      </c>
      <c r="AB1837" s="9">
        <v>0</v>
      </c>
      <c r="AC1837" s="9">
        <v>0</v>
      </c>
      <c r="AD1837" s="53" t="e">
        <f>#REF!*D1837</f>
        <v>#REF!</v>
      </c>
      <c r="AE1837" s="53" t="e">
        <f>AD1837-#REF!</f>
        <v>#REF!</v>
      </c>
      <c r="AF1837" s="8"/>
      <c r="AG1837" s="33" t="e">
        <f>#REF!-D1837</f>
        <v>#REF!</v>
      </c>
      <c r="AH1837" s="8"/>
      <c r="AI1837" s="8"/>
    </row>
    <row r="1838" spans="1:35" s="12" customFormat="1" ht="11.4" outlineLevel="1" x14ac:dyDescent="0.2">
      <c r="A1838" s="62" t="s">
        <v>2195</v>
      </c>
      <c r="B1838" s="14" t="s">
        <v>263</v>
      </c>
      <c r="C1838" s="8" t="s">
        <v>47</v>
      </c>
      <c r="D1838" s="25">
        <f t="shared" si="486"/>
        <v>5</v>
      </c>
      <c r="E1838" s="54"/>
      <c r="F1838" s="9"/>
      <c r="G1838" s="9">
        <v>0</v>
      </c>
      <c r="H1838" s="9">
        <v>0</v>
      </c>
      <c r="I1838" s="9">
        <v>0</v>
      </c>
      <c r="J1838" s="9">
        <v>0</v>
      </c>
      <c r="K1838" s="9">
        <v>0</v>
      </c>
      <c r="L1838" s="9">
        <v>0</v>
      </c>
      <c r="M1838" s="9">
        <v>0</v>
      </c>
      <c r="N1838" s="9">
        <v>0</v>
      </c>
      <c r="O1838" s="9">
        <v>0</v>
      </c>
      <c r="P1838" s="9">
        <v>0</v>
      </c>
      <c r="Q1838" s="9">
        <v>0</v>
      </c>
      <c r="R1838" s="9">
        <v>0</v>
      </c>
      <c r="S1838" s="9">
        <v>0</v>
      </c>
      <c r="T1838" s="9">
        <v>3</v>
      </c>
      <c r="U1838" s="9">
        <v>0</v>
      </c>
      <c r="V1838" s="9">
        <v>1</v>
      </c>
      <c r="W1838" s="9">
        <v>0</v>
      </c>
      <c r="X1838" s="9">
        <v>1</v>
      </c>
      <c r="Y1838" s="9">
        <v>0</v>
      </c>
      <c r="Z1838" s="9">
        <v>0</v>
      </c>
      <c r="AA1838" s="9">
        <v>0</v>
      </c>
      <c r="AB1838" s="9">
        <v>0</v>
      </c>
      <c r="AC1838" s="9">
        <v>0</v>
      </c>
      <c r="AD1838" s="53" t="e">
        <f>#REF!*D1838</f>
        <v>#REF!</v>
      </c>
      <c r="AE1838" s="53" t="e">
        <f>AD1838-#REF!</f>
        <v>#REF!</v>
      </c>
      <c r="AF1838" s="8"/>
      <c r="AG1838" s="33" t="e">
        <f>#REF!-D1838</f>
        <v>#REF!</v>
      </c>
      <c r="AH1838" s="8"/>
      <c r="AI1838" s="8"/>
    </row>
    <row r="1839" spans="1:35" s="17" customFormat="1" ht="11.4" outlineLevel="1" x14ac:dyDescent="0.2">
      <c r="A1839" s="62" t="s">
        <v>2196</v>
      </c>
      <c r="B1839" s="14" t="s">
        <v>2136</v>
      </c>
      <c r="C1839" s="8" t="s">
        <v>47</v>
      </c>
      <c r="D1839" s="25">
        <f t="shared" si="486"/>
        <v>3</v>
      </c>
      <c r="E1839" s="54"/>
      <c r="F1839" s="9"/>
      <c r="G1839" s="9">
        <v>0</v>
      </c>
      <c r="H1839" s="9">
        <v>0</v>
      </c>
      <c r="I1839" s="9">
        <v>0</v>
      </c>
      <c r="J1839" s="9">
        <v>0</v>
      </c>
      <c r="K1839" s="9">
        <v>0</v>
      </c>
      <c r="L1839" s="9">
        <v>0</v>
      </c>
      <c r="M1839" s="9">
        <v>0</v>
      </c>
      <c r="N1839" s="9">
        <v>0</v>
      </c>
      <c r="O1839" s="9">
        <v>0</v>
      </c>
      <c r="P1839" s="9">
        <v>0</v>
      </c>
      <c r="Q1839" s="9">
        <v>0</v>
      </c>
      <c r="R1839" s="9">
        <v>0</v>
      </c>
      <c r="S1839" s="9">
        <v>0</v>
      </c>
      <c r="T1839" s="9">
        <v>0</v>
      </c>
      <c r="U1839" s="9">
        <v>0</v>
      </c>
      <c r="V1839" s="9">
        <v>0</v>
      </c>
      <c r="W1839" s="9">
        <v>0</v>
      </c>
      <c r="X1839" s="9">
        <v>2</v>
      </c>
      <c r="Y1839" s="9">
        <v>0</v>
      </c>
      <c r="Z1839" s="9">
        <v>0</v>
      </c>
      <c r="AA1839" s="9">
        <v>0</v>
      </c>
      <c r="AB1839" s="9">
        <v>1</v>
      </c>
      <c r="AC1839" s="9">
        <v>0</v>
      </c>
      <c r="AD1839" s="53" t="e">
        <f>#REF!*D1839</f>
        <v>#REF!</v>
      </c>
      <c r="AE1839" s="53" t="e">
        <f>AD1839-#REF!</f>
        <v>#REF!</v>
      </c>
      <c r="AF1839" s="8"/>
      <c r="AG1839" s="33" t="e">
        <f>#REF!-D1839</f>
        <v>#REF!</v>
      </c>
      <c r="AH1839" s="8"/>
      <c r="AI1839" s="8"/>
    </row>
    <row r="1840" spans="1:35" s="17" customFormat="1" ht="11.4" outlineLevel="1" x14ac:dyDescent="0.2">
      <c r="A1840" s="62" t="s">
        <v>2197</v>
      </c>
      <c r="B1840" s="14" t="s">
        <v>2137</v>
      </c>
      <c r="C1840" s="8" t="s">
        <v>47</v>
      </c>
      <c r="D1840" s="25">
        <f t="shared" si="486"/>
        <v>1</v>
      </c>
      <c r="E1840" s="54"/>
      <c r="F1840" s="9"/>
      <c r="G1840" s="9">
        <v>0</v>
      </c>
      <c r="H1840" s="9">
        <v>0</v>
      </c>
      <c r="I1840" s="9">
        <v>0</v>
      </c>
      <c r="J1840" s="9">
        <v>0</v>
      </c>
      <c r="K1840" s="9">
        <v>0</v>
      </c>
      <c r="L1840" s="9">
        <v>0</v>
      </c>
      <c r="M1840" s="9">
        <v>0</v>
      </c>
      <c r="N1840" s="9">
        <v>0</v>
      </c>
      <c r="O1840" s="9">
        <v>0</v>
      </c>
      <c r="P1840" s="9">
        <v>0</v>
      </c>
      <c r="Q1840" s="9">
        <v>0</v>
      </c>
      <c r="R1840" s="9">
        <v>0</v>
      </c>
      <c r="S1840" s="9">
        <v>0</v>
      </c>
      <c r="T1840" s="9">
        <v>0</v>
      </c>
      <c r="U1840" s="9">
        <v>0</v>
      </c>
      <c r="V1840" s="9">
        <v>1</v>
      </c>
      <c r="W1840" s="9">
        <v>0</v>
      </c>
      <c r="X1840" s="9">
        <v>0</v>
      </c>
      <c r="Y1840" s="9">
        <v>0</v>
      </c>
      <c r="Z1840" s="9">
        <v>0</v>
      </c>
      <c r="AA1840" s="9">
        <v>0</v>
      </c>
      <c r="AB1840" s="9">
        <v>0</v>
      </c>
      <c r="AC1840" s="9">
        <v>0</v>
      </c>
      <c r="AD1840" s="53" t="e">
        <f>#REF!*D1840</f>
        <v>#REF!</v>
      </c>
      <c r="AE1840" s="53" t="e">
        <f>AD1840-#REF!</f>
        <v>#REF!</v>
      </c>
      <c r="AF1840" s="8"/>
      <c r="AG1840" s="33" t="e">
        <f>#REF!-D1840</f>
        <v>#REF!</v>
      </c>
      <c r="AH1840" s="8"/>
      <c r="AI1840" s="8"/>
    </row>
    <row r="1841" spans="1:35" s="17" customFormat="1" ht="11.4" outlineLevel="1" x14ac:dyDescent="0.2">
      <c r="A1841" s="62" t="s">
        <v>2198</v>
      </c>
      <c r="B1841" s="14" t="s">
        <v>2142</v>
      </c>
      <c r="C1841" s="8" t="s">
        <v>47</v>
      </c>
      <c r="D1841" s="25">
        <f t="shared" si="486"/>
        <v>1</v>
      </c>
      <c r="E1841" s="54"/>
      <c r="F1841" s="9"/>
      <c r="G1841" s="9">
        <v>0</v>
      </c>
      <c r="H1841" s="9">
        <v>0</v>
      </c>
      <c r="I1841" s="9">
        <v>0</v>
      </c>
      <c r="J1841" s="9">
        <v>0</v>
      </c>
      <c r="K1841" s="9">
        <v>0</v>
      </c>
      <c r="L1841" s="9">
        <v>0</v>
      </c>
      <c r="M1841" s="9">
        <v>0</v>
      </c>
      <c r="N1841" s="9">
        <v>0</v>
      </c>
      <c r="O1841" s="9">
        <v>0</v>
      </c>
      <c r="P1841" s="9">
        <v>0</v>
      </c>
      <c r="Q1841" s="9">
        <v>0</v>
      </c>
      <c r="R1841" s="9">
        <v>0</v>
      </c>
      <c r="S1841" s="9">
        <v>0</v>
      </c>
      <c r="T1841" s="9">
        <v>0</v>
      </c>
      <c r="U1841" s="9">
        <v>0</v>
      </c>
      <c r="V1841" s="9">
        <v>1</v>
      </c>
      <c r="W1841" s="9">
        <v>0</v>
      </c>
      <c r="X1841" s="9">
        <v>0</v>
      </c>
      <c r="Y1841" s="9">
        <v>0</v>
      </c>
      <c r="Z1841" s="9">
        <v>0</v>
      </c>
      <c r="AA1841" s="9">
        <v>0</v>
      </c>
      <c r="AB1841" s="9">
        <v>0</v>
      </c>
      <c r="AC1841" s="9">
        <v>0</v>
      </c>
      <c r="AD1841" s="53" t="e">
        <f>#REF!*D1841</f>
        <v>#REF!</v>
      </c>
      <c r="AE1841" s="53" t="e">
        <f>AD1841-#REF!</f>
        <v>#REF!</v>
      </c>
      <c r="AF1841" s="8"/>
      <c r="AG1841" s="33" t="e">
        <f>#REF!-D1841</f>
        <v>#REF!</v>
      </c>
      <c r="AH1841" s="8"/>
      <c r="AI1841" s="8"/>
    </row>
    <row r="1842" spans="1:35" s="12" customFormat="1" ht="11.4" outlineLevel="1" x14ac:dyDescent="0.2">
      <c r="A1842" s="62" t="s">
        <v>2199</v>
      </c>
      <c r="B1842" s="14" t="s">
        <v>264</v>
      </c>
      <c r="C1842" s="8" t="s">
        <v>47</v>
      </c>
      <c r="D1842" s="25">
        <f t="shared" si="486"/>
        <v>2</v>
      </c>
      <c r="E1842" s="54"/>
      <c r="F1842" s="9"/>
      <c r="G1842" s="9">
        <v>0</v>
      </c>
      <c r="H1842" s="9">
        <v>0</v>
      </c>
      <c r="I1842" s="9">
        <v>0</v>
      </c>
      <c r="J1842" s="9">
        <v>0</v>
      </c>
      <c r="K1842" s="9">
        <v>0</v>
      </c>
      <c r="L1842" s="9">
        <v>0</v>
      </c>
      <c r="M1842" s="9">
        <v>0</v>
      </c>
      <c r="N1842" s="9">
        <v>0</v>
      </c>
      <c r="O1842" s="9">
        <v>0</v>
      </c>
      <c r="P1842" s="9">
        <v>0</v>
      </c>
      <c r="Q1842" s="9">
        <v>0</v>
      </c>
      <c r="R1842" s="9">
        <v>0</v>
      </c>
      <c r="S1842" s="9">
        <v>0</v>
      </c>
      <c r="T1842" s="9">
        <v>2</v>
      </c>
      <c r="U1842" s="9">
        <v>0</v>
      </c>
      <c r="V1842" s="9">
        <v>0</v>
      </c>
      <c r="W1842" s="9">
        <v>0</v>
      </c>
      <c r="X1842" s="9">
        <v>0</v>
      </c>
      <c r="Y1842" s="9">
        <v>0</v>
      </c>
      <c r="Z1842" s="9">
        <v>0</v>
      </c>
      <c r="AA1842" s="9">
        <v>0</v>
      </c>
      <c r="AB1842" s="9">
        <v>0</v>
      </c>
      <c r="AC1842" s="9">
        <v>0</v>
      </c>
      <c r="AD1842" s="53" t="e">
        <f>#REF!*D1842</f>
        <v>#REF!</v>
      </c>
      <c r="AE1842" s="53" t="e">
        <f>AD1842-#REF!</f>
        <v>#REF!</v>
      </c>
      <c r="AF1842" s="8"/>
      <c r="AG1842" s="33" t="e">
        <f>#REF!-D1842</f>
        <v>#REF!</v>
      </c>
      <c r="AH1842" s="8"/>
      <c r="AI1842" s="8"/>
    </row>
    <row r="1843" spans="1:35" s="17" customFormat="1" ht="11.4" outlineLevel="1" x14ac:dyDescent="0.2">
      <c r="A1843" s="62" t="s">
        <v>2200</v>
      </c>
      <c r="B1843" s="14" t="s">
        <v>2143</v>
      </c>
      <c r="C1843" s="8" t="s">
        <v>47</v>
      </c>
      <c r="D1843" s="25">
        <f t="shared" si="486"/>
        <v>19</v>
      </c>
      <c r="E1843" s="54"/>
      <c r="F1843" s="9"/>
      <c r="G1843" s="9">
        <v>0</v>
      </c>
      <c r="H1843" s="9">
        <v>0</v>
      </c>
      <c r="I1843" s="9">
        <v>0</v>
      </c>
      <c r="J1843" s="9">
        <v>0</v>
      </c>
      <c r="K1843" s="9">
        <v>0</v>
      </c>
      <c r="L1843" s="9">
        <v>0</v>
      </c>
      <c r="M1843" s="9">
        <v>0</v>
      </c>
      <c r="N1843" s="9">
        <v>0</v>
      </c>
      <c r="O1843" s="9">
        <v>0</v>
      </c>
      <c r="P1843" s="9">
        <v>0</v>
      </c>
      <c r="Q1843" s="9">
        <v>0</v>
      </c>
      <c r="R1843" s="9">
        <v>0</v>
      </c>
      <c r="S1843" s="9">
        <v>0</v>
      </c>
      <c r="T1843" s="9">
        <v>19</v>
      </c>
      <c r="U1843" s="9">
        <v>0</v>
      </c>
      <c r="V1843" s="9">
        <v>0</v>
      </c>
      <c r="W1843" s="9">
        <v>0</v>
      </c>
      <c r="X1843" s="9">
        <v>0</v>
      </c>
      <c r="Y1843" s="9">
        <v>0</v>
      </c>
      <c r="Z1843" s="9">
        <v>0</v>
      </c>
      <c r="AA1843" s="9">
        <v>0</v>
      </c>
      <c r="AB1843" s="9">
        <v>0</v>
      </c>
      <c r="AC1843" s="9">
        <v>0</v>
      </c>
      <c r="AD1843" s="53" t="e">
        <f>#REF!*D1843</f>
        <v>#REF!</v>
      </c>
      <c r="AE1843" s="53" t="e">
        <f>AD1843-#REF!</f>
        <v>#REF!</v>
      </c>
      <c r="AF1843" s="8"/>
      <c r="AG1843" s="33" t="e">
        <f>#REF!-D1843</f>
        <v>#REF!</v>
      </c>
      <c r="AH1843" s="8"/>
      <c r="AI1843" s="8"/>
    </row>
    <row r="1844" spans="1:35" s="17" customFormat="1" ht="11.4" outlineLevel="1" x14ac:dyDescent="0.2">
      <c r="A1844" s="62" t="s">
        <v>2201</v>
      </c>
      <c r="B1844" s="14" t="s">
        <v>2545</v>
      </c>
      <c r="C1844" s="8" t="s">
        <v>47</v>
      </c>
      <c r="D1844" s="25">
        <f t="shared" si="486"/>
        <v>2</v>
      </c>
      <c r="E1844" s="54"/>
      <c r="F1844" s="9"/>
      <c r="G1844" s="9">
        <v>0</v>
      </c>
      <c r="H1844" s="9">
        <v>0</v>
      </c>
      <c r="I1844" s="9">
        <v>0</v>
      </c>
      <c r="J1844" s="9">
        <v>0</v>
      </c>
      <c r="K1844" s="9">
        <v>0</v>
      </c>
      <c r="L1844" s="9">
        <v>0</v>
      </c>
      <c r="M1844" s="9">
        <v>0</v>
      </c>
      <c r="N1844" s="9">
        <v>0</v>
      </c>
      <c r="O1844" s="9">
        <v>0</v>
      </c>
      <c r="P1844" s="9">
        <v>0</v>
      </c>
      <c r="Q1844" s="9">
        <v>0</v>
      </c>
      <c r="R1844" s="9">
        <v>2</v>
      </c>
      <c r="S1844" s="9">
        <v>0</v>
      </c>
      <c r="T1844" s="9">
        <v>0</v>
      </c>
      <c r="U1844" s="9">
        <v>0</v>
      </c>
      <c r="V1844" s="9">
        <v>0</v>
      </c>
      <c r="W1844" s="9">
        <v>0</v>
      </c>
      <c r="X1844" s="9">
        <v>0</v>
      </c>
      <c r="Y1844" s="9">
        <v>0</v>
      </c>
      <c r="Z1844" s="9">
        <v>0</v>
      </c>
      <c r="AA1844" s="9">
        <v>0</v>
      </c>
      <c r="AB1844" s="9">
        <v>0</v>
      </c>
      <c r="AC1844" s="9">
        <v>0</v>
      </c>
      <c r="AD1844" s="53" t="e">
        <f>#REF!*D1844</f>
        <v>#REF!</v>
      </c>
      <c r="AE1844" s="53" t="e">
        <f>AD1844-#REF!</f>
        <v>#REF!</v>
      </c>
      <c r="AF1844" s="8"/>
      <c r="AG1844" s="33" t="e">
        <f>#REF!-D1844</f>
        <v>#REF!</v>
      </c>
      <c r="AH1844" s="8"/>
      <c r="AI1844" s="8"/>
    </row>
    <row r="1845" spans="1:35" s="12" customFormat="1" ht="10.199999999999999" outlineLevel="1" x14ac:dyDescent="0.2">
      <c r="A1845" s="62" t="s">
        <v>2202</v>
      </c>
      <c r="B1845" s="14" t="s">
        <v>265</v>
      </c>
      <c r="C1845" s="8" t="s">
        <v>47</v>
      </c>
      <c r="D1845" s="25">
        <f t="shared" si="486"/>
        <v>14</v>
      </c>
      <c r="E1845" s="54"/>
      <c r="F1845" s="9"/>
      <c r="G1845" s="9">
        <v>0</v>
      </c>
      <c r="H1845" s="9">
        <v>1</v>
      </c>
      <c r="I1845" s="9">
        <v>1</v>
      </c>
      <c r="J1845" s="9">
        <v>1</v>
      </c>
      <c r="K1845" s="9">
        <v>2</v>
      </c>
      <c r="L1845" s="9">
        <v>1</v>
      </c>
      <c r="M1845" s="9">
        <v>0</v>
      </c>
      <c r="N1845" s="9">
        <v>0</v>
      </c>
      <c r="O1845" s="9">
        <v>0</v>
      </c>
      <c r="P1845" s="9">
        <v>0</v>
      </c>
      <c r="Q1845" s="9">
        <v>0</v>
      </c>
      <c r="R1845" s="9">
        <v>0</v>
      </c>
      <c r="S1845" s="9">
        <v>0</v>
      </c>
      <c r="T1845" s="9">
        <v>0</v>
      </c>
      <c r="U1845" s="9">
        <v>1</v>
      </c>
      <c r="V1845" s="9">
        <v>0</v>
      </c>
      <c r="W1845" s="9">
        <v>1</v>
      </c>
      <c r="X1845" s="9">
        <v>1</v>
      </c>
      <c r="Y1845" s="9">
        <v>1</v>
      </c>
      <c r="Z1845" s="9">
        <v>1</v>
      </c>
      <c r="AA1845" s="9">
        <v>1</v>
      </c>
      <c r="AB1845" s="9">
        <v>2</v>
      </c>
      <c r="AC1845" s="9">
        <v>0</v>
      </c>
      <c r="AD1845" s="53" t="e">
        <f>#REF!*D1845</f>
        <v>#REF!</v>
      </c>
      <c r="AE1845" s="53" t="e">
        <f>AD1845-#REF!</f>
        <v>#REF!</v>
      </c>
      <c r="AF1845" s="8"/>
      <c r="AG1845" s="33" t="e">
        <f>#REF!-D1845</f>
        <v>#REF!</v>
      </c>
      <c r="AH1845" s="8"/>
      <c r="AI1845" s="8"/>
    </row>
    <row r="1846" spans="1:35" s="17" customFormat="1" ht="20.399999999999999" outlineLevel="1" x14ac:dyDescent="0.2">
      <c r="A1846" s="62" t="s">
        <v>2203</v>
      </c>
      <c r="B1846" s="14" t="s">
        <v>266</v>
      </c>
      <c r="C1846" s="8" t="s">
        <v>47</v>
      </c>
      <c r="D1846" s="25">
        <f t="shared" si="486"/>
        <v>6</v>
      </c>
      <c r="E1846" s="54"/>
      <c r="F1846" s="9"/>
      <c r="G1846" s="9">
        <v>0</v>
      </c>
      <c r="H1846" s="9">
        <v>0</v>
      </c>
      <c r="I1846" s="9">
        <v>0</v>
      </c>
      <c r="J1846" s="9">
        <v>0</v>
      </c>
      <c r="K1846" s="9">
        <v>2</v>
      </c>
      <c r="L1846" s="9">
        <v>1</v>
      </c>
      <c r="M1846" s="9">
        <v>0</v>
      </c>
      <c r="N1846" s="9">
        <v>0</v>
      </c>
      <c r="O1846" s="9">
        <v>0</v>
      </c>
      <c r="P1846" s="9">
        <v>0</v>
      </c>
      <c r="Q1846" s="9">
        <v>0</v>
      </c>
      <c r="R1846" s="9">
        <v>0</v>
      </c>
      <c r="S1846" s="9">
        <v>0</v>
      </c>
      <c r="T1846" s="9">
        <v>0</v>
      </c>
      <c r="U1846" s="9">
        <v>0</v>
      </c>
      <c r="V1846" s="9">
        <v>0</v>
      </c>
      <c r="W1846" s="9">
        <v>0</v>
      </c>
      <c r="X1846" s="9">
        <v>1</v>
      </c>
      <c r="Y1846" s="9">
        <v>0</v>
      </c>
      <c r="Z1846" s="9">
        <v>0</v>
      </c>
      <c r="AA1846" s="9">
        <v>0</v>
      </c>
      <c r="AB1846" s="9">
        <v>2</v>
      </c>
      <c r="AC1846" s="9">
        <v>0</v>
      </c>
      <c r="AD1846" s="53" t="e">
        <f>#REF!*D1846</f>
        <v>#REF!</v>
      </c>
      <c r="AE1846" s="53" t="e">
        <f>AD1846-#REF!</f>
        <v>#REF!</v>
      </c>
      <c r="AF1846" s="8"/>
      <c r="AG1846" s="33" t="e">
        <f>#REF!-D1846</f>
        <v>#REF!</v>
      </c>
      <c r="AH1846" s="8"/>
      <c r="AI1846" s="8"/>
    </row>
    <row r="1847" spans="1:35" s="17" customFormat="1" ht="20.399999999999999" outlineLevel="1" x14ac:dyDescent="0.2">
      <c r="A1847" s="62" t="s">
        <v>2204</v>
      </c>
      <c r="B1847" s="14" t="s">
        <v>267</v>
      </c>
      <c r="C1847" s="8" t="s">
        <v>47</v>
      </c>
      <c r="D1847" s="25">
        <f t="shared" si="486"/>
        <v>10</v>
      </c>
      <c r="E1847" s="54"/>
      <c r="F1847" s="9"/>
      <c r="G1847" s="9">
        <v>0</v>
      </c>
      <c r="H1847" s="9">
        <v>1</v>
      </c>
      <c r="I1847" s="9">
        <v>2</v>
      </c>
      <c r="J1847" s="9">
        <v>0</v>
      </c>
      <c r="K1847" s="9">
        <v>0</v>
      </c>
      <c r="L1847" s="9">
        <v>2</v>
      </c>
      <c r="M1847" s="9">
        <v>0</v>
      </c>
      <c r="N1847" s="9">
        <v>0</v>
      </c>
      <c r="O1847" s="9">
        <v>0</v>
      </c>
      <c r="P1847" s="9">
        <v>0</v>
      </c>
      <c r="Q1847" s="9">
        <v>0</v>
      </c>
      <c r="R1847" s="9">
        <v>0</v>
      </c>
      <c r="S1847" s="9">
        <v>0</v>
      </c>
      <c r="T1847" s="9">
        <v>0</v>
      </c>
      <c r="U1847" s="9">
        <v>1</v>
      </c>
      <c r="V1847" s="9">
        <v>1</v>
      </c>
      <c r="W1847" s="9">
        <v>0</v>
      </c>
      <c r="X1847" s="9">
        <v>0</v>
      </c>
      <c r="Y1847" s="9">
        <v>1</v>
      </c>
      <c r="Z1847" s="9">
        <v>1</v>
      </c>
      <c r="AA1847" s="9">
        <v>1</v>
      </c>
      <c r="AB1847" s="9">
        <v>0</v>
      </c>
      <c r="AC1847" s="9">
        <v>0</v>
      </c>
      <c r="AD1847" s="53" t="e">
        <f>#REF!*D1847</f>
        <v>#REF!</v>
      </c>
      <c r="AE1847" s="53" t="e">
        <f>AD1847-#REF!</f>
        <v>#REF!</v>
      </c>
      <c r="AF1847" s="8"/>
      <c r="AG1847" s="33" t="e">
        <f>#REF!-D1847</f>
        <v>#REF!</v>
      </c>
      <c r="AH1847" s="8"/>
      <c r="AI1847" s="8"/>
    </row>
    <row r="1848" spans="1:35" s="17" customFormat="1" ht="20.399999999999999" outlineLevel="1" x14ac:dyDescent="0.2">
      <c r="A1848" s="62" t="s">
        <v>2205</v>
      </c>
      <c r="B1848" s="14" t="s">
        <v>268</v>
      </c>
      <c r="C1848" s="8" t="s">
        <v>47</v>
      </c>
      <c r="D1848" s="25">
        <f t="shared" si="486"/>
        <v>17</v>
      </c>
      <c r="E1848" s="54"/>
      <c r="F1848" s="9"/>
      <c r="G1848" s="9">
        <v>0</v>
      </c>
      <c r="H1848" s="9">
        <v>0</v>
      </c>
      <c r="I1848" s="9">
        <v>2</v>
      </c>
      <c r="J1848" s="9">
        <v>0</v>
      </c>
      <c r="K1848" s="9">
        <v>1</v>
      </c>
      <c r="L1848" s="9">
        <v>4</v>
      </c>
      <c r="M1848" s="9">
        <v>1</v>
      </c>
      <c r="N1848" s="9">
        <v>1</v>
      </c>
      <c r="O1848" s="9">
        <v>1</v>
      </c>
      <c r="P1848" s="9">
        <v>1</v>
      </c>
      <c r="Q1848" s="9">
        <v>0</v>
      </c>
      <c r="R1848" s="9">
        <v>0</v>
      </c>
      <c r="S1848" s="9">
        <v>0</v>
      </c>
      <c r="T1848" s="9">
        <v>0</v>
      </c>
      <c r="U1848" s="9">
        <v>0</v>
      </c>
      <c r="V1848" s="9">
        <v>1</v>
      </c>
      <c r="W1848" s="9">
        <v>0</v>
      </c>
      <c r="X1848" s="9">
        <v>1</v>
      </c>
      <c r="Y1848" s="9">
        <v>2</v>
      </c>
      <c r="Z1848" s="9">
        <v>0</v>
      </c>
      <c r="AA1848" s="9">
        <v>0</v>
      </c>
      <c r="AB1848" s="9">
        <v>2</v>
      </c>
      <c r="AC1848" s="9">
        <v>0</v>
      </c>
      <c r="AD1848" s="53" t="e">
        <f>#REF!*D1848</f>
        <v>#REF!</v>
      </c>
      <c r="AE1848" s="53" t="e">
        <f>AD1848-#REF!</f>
        <v>#REF!</v>
      </c>
      <c r="AF1848" s="8"/>
      <c r="AG1848" s="33" t="e">
        <f>#REF!-D1848</f>
        <v>#REF!</v>
      </c>
      <c r="AH1848" s="8"/>
      <c r="AI1848" s="8"/>
    </row>
    <row r="1849" spans="1:35" s="12" customFormat="1" ht="20.399999999999999" outlineLevel="1" x14ac:dyDescent="0.2">
      <c r="A1849" s="62" t="s">
        <v>2206</v>
      </c>
      <c r="B1849" s="14" t="s">
        <v>269</v>
      </c>
      <c r="C1849" s="8" t="s">
        <v>47</v>
      </c>
      <c r="D1849" s="25">
        <f t="shared" si="486"/>
        <v>7</v>
      </c>
      <c r="E1849" s="54"/>
      <c r="F1849" s="9"/>
      <c r="G1849" s="9">
        <v>0</v>
      </c>
      <c r="H1849" s="9">
        <v>0</v>
      </c>
      <c r="I1849" s="9">
        <v>1</v>
      </c>
      <c r="J1849" s="9">
        <v>0</v>
      </c>
      <c r="K1849" s="9">
        <v>2</v>
      </c>
      <c r="L1849" s="9">
        <v>1</v>
      </c>
      <c r="M1849" s="9">
        <v>0</v>
      </c>
      <c r="N1849" s="9">
        <v>0</v>
      </c>
      <c r="O1849" s="9">
        <v>0</v>
      </c>
      <c r="P1849" s="9">
        <v>1</v>
      </c>
      <c r="Q1849" s="9">
        <v>0</v>
      </c>
      <c r="R1849" s="9">
        <v>0</v>
      </c>
      <c r="S1849" s="9">
        <v>0</v>
      </c>
      <c r="T1849" s="9">
        <v>0</v>
      </c>
      <c r="U1849" s="9">
        <v>0</v>
      </c>
      <c r="V1849" s="9">
        <v>0</v>
      </c>
      <c r="W1849" s="9">
        <v>0</v>
      </c>
      <c r="X1849" s="9">
        <v>1</v>
      </c>
      <c r="Y1849" s="9">
        <v>1</v>
      </c>
      <c r="Z1849" s="9">
        <v>0</v>
      </c>
      <c r="AA1849" s="9">
        <v>0</v>
      </c>
      <c r="AB1849" s="9">
        <v>0</v>
      </c>
      <c r="AC1849" s="9">
        <v>0</v>
      </c>
      <c r="AD1849" s="53" t="e">
        <f>#REF!*D1849</f>
        <v>#REF!</v>
      </c>
      <c r="AE1849" s="53" t="e">
        <f>AD1849-#REF!</f>
        <v>#REF!</v>
      </c>
      <c r="AF1849" s="8"/>
      <c r="AG1849" s="33" t="e">
        <f>#REF!-D1849</f>
        <v>#REF!</v>
      </c>
      <c r="AH1849" s="8"/>
      <c r="AI1849" s="8"/>
    </row>
    <row r="1850" spans="1:35" s="17" customFormat="1" ht="20.399999999999999" outlineLevel="1" x14ac:dyDescent="0.2">
      <c r="A1850" s="62" t="s">
        <v>2207</v>
      </c>
      <c r="B1850" s="14" t="s">
        <v>270</v>
      </c>
      <c r="C1850" s="8" t="s">
        <v>47</v>
      </c>
      <c r="D1850" s="25">
        <f t="shared" si="486"/>
        <v>12</v>
      </c>
      <c r="E1850" s="54"/>
      <c r="F1850" s="9"/>
      <c r="G1850" s="9">
        <v>0</v>
      </c>
      <c r="H1850" s="9">
        <v>1</v>
      </c>
      <c r="I1850" s="9">
        <v>2</v>
      </c>
      <c r="J1850" s="9">
        <v>1</v>
      </c>
      <c r="K1850" s="9">
        <v>1</v>
      </c>
      <c r="L1850" s="9">
        <v>0</v>
      </c>
      <c r="M1850" s="9">
        <v>2</v>
      </c>
      <c r="N1850" s="9">
        <v>2</v>
      </c>
      <c r="O1850" s="9">
        <v>2</v>
      </c>
      <c r="P1850" s="9">
        <v>0</v>
      </c>
      <c r="Q1850" s="9">
        <v>0</v>
      </c>
      <c r="R1850" s="9">
        <v>0</v>
      </c>
      <c r="S1850" s="9">
        <v>0</v>
      </c>
      <c r="T1850" s="9">
        <v>0</v>
      </c>
      <c r="U1850" s="9">
        <v>0</v>
      </c>
      <c r="V1850" s="9">
        <v>1</v>
      </c>
      <c r="W1850" s="9">
        <v>0</v>
      </c>
      <c r="X1850" s="9">
        <v>0</v>
      </c>
      <c r="Y1850" s="9">
        <v>0</v>
      </c>
      <c r="Z1850" s="9">
        <v>0</v>
      </c>
      <c r="AA1850" s="9">
        <v>0</v>
      </c>
      <c r="AB1850" s="9">
        <v>0</v>
      </c>
      <c r="AC1850" s="9">
        <v>0</v>
      </c>
      <c r="AD1850" s="53" t="e">
        <f>#REF!*D1850</f>
        <v>#REF!</v>
      </c>
      <c r="AE1850" s="53" t="e">
        <f>AD1850-#REF!</f>
        <v>#REF!</v>
      </c>
      <c r="AF1850" s="8"/>
      <c r="AG1850" s="33" t="e">
        <f>#REF!-D1850</f>
        <v>#REF!</v>
      </c>
      <c r="AH1850" s="8"/>
      <c r="AI1850" s="8"/>
    </row>
    <row r="1851" spans="1:35" s="12" customFormat="1" ht="20.399999999999999" outlineLevel="1" x14ac:dyDescent="0.2">
      <c r="A1851" s="62" t="s">
        <v>2208</v>
      </c>
      <c r="B1851" s="14" t="s">
        <v>139</v>
      </c>
      <c r="C1851" s="8" t="s">
        <v>47</v>
      </c>
      <c r="D1851" s="25">
        <f t="shared" si="486"/>
        <v>29</v>
      </c>
      <c r="E1851" s="54"/>
      <c r="F1851" s="9"/>
      <c r="G1851" s="9">
        <v>0</v>
      </c>
      <c r="H1851" s="9">
        <v>2</v>
      </c>
      <c r="I1851" s="9">
        <v>5</v>
      </c>
      <c r="J1851" s="9">
        <v>1</v>
      </c>
      <c r="K1851" s="9">
        <v>2</v>
      </c>
      <c r="L1851" s="9">
        <v>4</v>
      </c>
      <c r="M1851" s="9">
        <v>3</v>
      </c>
      <c r="N1851" s="9">
        <v>3</v>
      </c>
      <c r="O1851" s="9">
        <v>3</v>
      </c>
      <c r="P1851" s="9">
        <v>1</v>
      </c>
      <c r="Q1851" s="9">
        <v>0</v>
      </c>
      <c r="R1851" s="9">
        <v>0</v>
      </c>
      <c r="S1851" s="9">
        <v>0</v>
      </c>
      <c r="T1851" s="9">
        <v>0</v>
      </c>
      <c r="U1851" s="9">
        <v>0</v>
      </c>
      <c r="V1851" s="9">
        <v>1</v>
      </c>
      <c r="W1851" s="9">
        <v>1</v>
      </c>
      <c r="X1851" s="9">
        <v>1</v>
      </c>
      <c r="Y1851" s="9">
        <v>2</v>
      </c>
      <c r="Z1851" s="9">
        <v>0</v>
      </c>
      <c r="AA1851" s="9">
        <v>0</v>
      </c>
      <c r="AB1851" s="9">
        <v>0</v>
      </c>
      <c r="AC1851" s="9">
        <v>0</v>
      </c>
      <c r="AD1851" s="53" t="e">
        <f>#REF!*D1851</f>
        <v>#REF!</v>
      </c>
      <c r="AE1851" s="53" t="e">
        <f>AD1851-#REF!</f>
        <v>#REF!</v>
      </c>
      <c r="AF1851" s="8"/>
      <c r="AG1851" s="33" t="e">
        <f>#REF!-D1851</f>
        <v>#REF!</v>
      </c>
      <c r="AH1851" s="8"/>
      <c r="AI1851" s="8"/>
    </row>
    <row r="1852" spans="1:35" s="17" customFormat="1" ht="20.399999999999999" outlineLevel="1" x14ac:dyDescent="0.2">
      <c r="A1852" s="62" t="s">
        <v>2209</v>
      </c>
      <c r="B1852" s="14" t="s">
        <v>287</v>
      </c>
      <c r="C1852" s="8" t="s">
        <v>47</v>
      </c>
      <c r="D1852" s="25">
        <f t="shared" si="486"/>
        <v>2</v>
      </c>
      <c r="E1852" s="54"/>
      <c r="F1852" s="9"/>
      <c r="G1852" s="9">
        <v>0</v>
      </c>
      <c r="H1852" s="9">
        <v>0</v>
      </c>
      <c r="I1852" s="9">
        <v>1</v>
      </c>
      <c r="J1852" s="9">
        <v>1</v>
      </c>
      <c r="K1852" s="9">
        <v>0</v>
      </c>
      <c r="L1852" s="9">
        <v>0</v>
      </c>
      <c r="M1852" s="9">
        <v>0</v>
      </c>
      <c r="N1852" s="9">
        <v>0</v>
      </c>
      <c r="O1852" s="9">
        <v>0</v>
      </c>
      <c r="P1852" s="9">
        <v>0</v>
      </c>
      <c r="Q1852" s="9">
        <v>0</v>
      </c>
      <c r="R1852" s="9">
        <v>0</v>
      </c>
      <c r="S1852" s="9">
        <v>0</v>
      </c>
      <c r="T1852" s="9">
        <v>0</v>
      </c>
      <c r="U1852" s="9">
        <v>0</v>
      </c>
      <c r="V1852" s="9">
        <v>0</v>
      </c>
      <c r="W1852" s="9">
        <v>0</v>
      </c>
      <c r="X1852" s="9">
        <v>0</v>
      </c>
      <c r="Y1852" s="9">
        <v>0</v>
      </c>
      <c r="Z1852" s="9">
        <v>0</v>
      </c>
      <c r="AA1852" s="9">
        <v>0</v>
      </c>
      <c r="AB1852" s="9">
        <v>0</v>
      </c>
      <c r="AC1852" s="9">
        <v>0</v>
      </c>
      <c r="AD1852" s="53" t="e">
        <f>#REF!*D1852</f>
        <v>#REF!</v>
      </c>
      <c r="AE1852" s="53" t="e">
        <f>AD1852-#REF!</f>
        <v>#REF!</v>
      </c>
      <c r="AF1852" s="8"/>
      <c r="AG1852" s="33" t="e">
        <f>#REF!-D1852</f>
        <v>#REF!</v>
      </c>
      <c r="AH1852" s="8"/>
      <c r="AI1852" s="8"/>
    </row>
    <row r="1853" spans="1:35" s="17" customFormat="1" ht="20.399999999999999" outlineLevel="1" x14ac:dyDescent="0.2">
      <c r="A1853" s="62" t="s">
        <v>2210</v>
      </c>
      <c r="B1853" s="14" t="s">
        <v>271</v>
      </c>
      <c r="C1853" s="8" t="s">
        <v>47</v>
      </c>
      <c r="D1853" s="25">
        <f t="shared" si="486"/>
        <v>12</v>
      </c>
      <c r="E1853" s="54"/>
      <c r="F1853" s="9"/>
      <c r="G1853" s="9">
        <v>0</v>
      </c>
      <c r="H1853" s="9">
        <v>3</v>
      </c>
      <c r="I1853" s="9">
        <v>2</v>
      </c>
      <c r="J1853" s="9">
        <v>0</v>
      </c>
      <c r="K1853" s="9">
        <v>0</v>
      </c>
      <c r="L1853" s="9">
        <v>0</v>
      </c>
      <c r="M1853" s="9">
        <v>1</v>
      </c>
      <c r="N1853" s="9">
        <v>1</v>
      </c>
      <c r="O1853" s="9">
        <v>1</v>
      </c>
      <c r="P1853" s="9">
        <v>1</v>
      </c>
      <c r="Q1853" s="9">
        <v>0</v>
      </c>
      <c r="R1853" s="9">
        <v>0</v>
      </c>
      <c r="S1853" s="9">
        <v>0</v>
      </c>
      <c r="T1853" s="9">
        <v>3</v>
      </c>
      <c r="U1853" s="9">
        <v>0</v>
      </c>
      <c r="V1853" s="9">
        <v>0</v>
      </c>
      <c r="W1853" s="9">
        <v>0</v>
      </c>
      <c r="X1853" s="9">
        <v>0</v>
      </c>
      <c r="Y1853" s="9">
        <v>0</v>
      </c>
      <c r="Z1853" s="9">
        <v>0</v>
      </c>
      <c r="AA1853" s="9">
        <v>0</v>
      </c>
      <c r="AB1853" s="9">
        <v>0</v>
      </c>
      <c r="AC1853" s="9">
        <v>0</v>
      </c>
      <c r="AD1853" s="53" t="e">
        <f>#REF!*D1853</f>
        <v>#REF!</v>
      </c>
      <c r="AE1853" s="53" t="e">
        <f>AD1853-#REF!</f>
        <v>#REF!</v>
      </c>
      <c r="AF1853" s="8"/>
      <c r="AG1853" s="33" t="e">
        <f>#REF!-D1853</f>
        <v>#REF!</v>
      </c>
      <c r="AH1853" s="8"/>
      <c r="AI1853" s="8"/>
    </row>
    <row r="1854" spans="1:35" s="17" customFormat="1" ht="20.399999999999999" outlineLevel="1" x14ac:dyDescent="0.2">
      <c r="A1854" s="62" t="s">
        <v>2211</v>
      </c>
      <c r="B1854" s="14" t="s">
        <v>272</v>
      </c>
      <c r="C1854" s="8" t="s">
        <v>47</v>
      </c>
      <c r="D1854" s="25">
        <f t="shared" si="486"/>
        <v>4</v>
      </c>
      <c r="E1854" s="54"/>
      <c r="F1854" s="9"/>
      <c r="G1854" s="9">
        <v>0</v>
      </c>
      <c r="H1854" s="9">
        <v>0</v>
      </c>
      <c r="I1854" s="9">
        <v>0</v>
      </c>
      <c r="J1854" s="9">
        <v>0</v>
      </c>
      <c r="K1854" s="9">
        <v>0</v>
      </c>
      <c r="L1854" s="9">
        <v>0</v>
      </c>
      <c r="M1854" s="9">
        <v>1</v>
      </c>
      <c r="N1854" s="9">
        <v>1</v>
      </c>
      <c r="O1854" s="9">
        <v>1</v>
      </c>
      <c r="P1854" s="9">
        <v>1</v>
      </c>
      <c r="Q1854" s="9">
        <v>0</v>
      </c>
      <c r="R1854" s="9">
        <v>0</v>
      </c>
      <c r="S1854" s="9">
        <v>0</v>
      </c>
      <c r="T1854" s="9">
        <v>0</v>
      </c>
      <c r="U1854" s="9">
        <v>0</v>
      </c>
      <c r="V1854" s="9">
        <v>0</v>
      </c>
      <c r="W1854" s="9">
        <v>0</v>
      </c>
      <c r="X1854" s="9">
        <v>0</v>
      </c>
      <c r="Y1854" s="9">
        <v>0</v>
      </c>
      <c r="Z1854" s="9">
        <v>0</v>
      </c>
      <c r="AA1854" s="9">
        <v>0</v>
      </c>
      <c r="AB1854" s="9">
        <v>0</v>
      </c>
      <c r="AC1854" s="9">
        <v>0</v>
      </c>
      <c r="AD1854" s="53" t="e">
        <f>#REF!*D1854</f>
        <v>#REF!</v>
      </c>
      <c r="AE1854" s="53" t="e">
        <f>AD1854-#REF!</f>
        <v>#REF!</v>
      </c>
      <c r="AF1854" s="8"/>
      <c r="AG1854" s="33" t="e">
        <f>#REF!-D1854</f>
        <v>#REF!</v>
      </c>
      <c r="AH1854" s="8"/>
      <c r="AI1854" s="8"/>
    </row>
    <row r="1855" spans="1:35" s="17" customFormat="1" ht="20.399999999999999" outlineLevel="1" x14ac:dyDescent="0.2">
      <c r="A1855" s="62" t="s">
        <v>2212</v>
      </c>
      <c r="B1855" s="14" t="s">
        <v>273</v>
      </c>
      <c r="C1855" s="8" t="s">
        <v>47</v>
      </c>
      <c r="D1855" s="25">
        <f t="shared" si="486"/>
        <v>4</v>
      </c>
      <c r="E1855" s="54"/>
      <c r="F1855" s="9"/>
      <c r="G1855" s="9">
        <v>0</v>
      </c>
      <c r="H1855" s="9">
        <v>0</v>
      </c>
      <c r="I1855" s="9">
        <v>2</v>
      </c>
      <c r="J1855" s="9">
        <v>0</v>
      </c>
      <c r="K1855" s="9">
        <v>0</v>
      </c>
      <c r="L1855" s="9">
        <v>0</v>
      </c>
      <c r="M1855" s="9">
        <v>0</v>
      </c>
      <c r="N1855" s="9">
        <v>0</v>
      </c>
      <c r="O1855" s="9">
        <v>0</v>
      </c>
      <c r="P1855" s="9">
        <v>0</v>
      </c>
      <c r="Q1855" s="9">
        <v>0</v>
      </c>
      <c r="R1855" s="9">
        <v>0</v>
      </c>
      <c r="S1855" s="9">
        <v>0</v>
      </c>
      <c r="T1855" s="9">
        <v>1</v>
      </c>
      <c r="U1855" s="9">
        <v>0</v>
      </c>
      <c r="V1855" s="9">
        <v>1</v>
      </c>
      <c r="W1855" s="9">
        <v>0</v>
      </c>
      <c r="X1855" s="9">
        <v>0</v>
      </c>
      <c r="Y1855" s="9">
        <v>0</v>
      </c>
      <c r="Z1855" s="9">
        <v>0</v>
      </c>
      <c r="AA1855" s="9">
        <v>0</v>
      </c>
      <c r="AB1855" s="9">
        <v>0</v>
      </c>
      <c r="AC1855" s="9">
        <v>0</v>
      </c>
      <c r="AD1855" s="53" t="e">
        <f>#REF!*D1855</f>
        <v>#REF!</v>
      </c>
      <c r="AE1855" s="53" t="e">
        <f>AD1855-#REF!</f>
        <v>#REF!</v>
      </c>
      <c r="AF1855" s="8"/>
      <c r="AG1855" s="33" t="e">
        <f>#REF!-D1855</f>
        <v>#REF!</v>
      </c>
      <c r="AH1855" s="8"/>
      <c r="AI1855" s="8"/>
    </row>
    <row r="1856" spans="1:35" s="17" customFormat="1" ht="20.399999999999999" outlineLevel="1" x14ac:dyDescent="0.2">
      <c r="A1856" s="62" t="s">
        <v>2213</v>
      </c>
      <c r="B1856" s="14" t="s">
        <v>274</v>
      </c>
      <c r="C1856" s="8" t="s">
        <v>47</v>
      </c>
      <c r="D1856" s="25">
        <f t="shared" si="486"/>
        <v>1</v>
      </c>
      <c r="E1856" s="54"/>
      <c r="F1856" s="9"/>
      <c r="G1856" s="9">
        <v>0</v>
      </c>
      <c r="H1856" s="9">
        <v>0</v>
      </c>
      <c r="I1856" s="9">
        <v>0</v>
      </c>
      <c r="J1856" s="9">
        <v>0</v>
      </c>
      <c r="K1856" s="9">
        <v>0</v>
      </c>
      <c r="L1856" s="9">
        <v>0</v>
      </c>
      <c r="M1856" s="9">
        <v>0</v>
      </c>
      <c r="N1856" s="9">
        <v>0</v>
      </c>
      <c r="O1856" s="9">
        <v>0</v>
      </c>
      <c r="P1856" s="9">
        <v>0</v>
      </c>
      <c r="Q1856" s="9">
        <v>0</v>
      </c>
      <c r="R1856" s="9">
        <v>0</v>
      </c>
      <c r="S1856" s="9">
        <v>0</v>
      </c>
      <c r="T1856" s="9">
        <v>0</v>
      </c>
      <c r="U1856" s="9">
        <v>0</v>
      </c>
      <c r="V1856" s="9">
        <v>0</v>
      </c>
      <c r="W1856" s="9">
        <v>0</v>
      </c>
      <c r="X1856" s="9">
        <v>1</v>
      </c>
      <c r="Y1856" s="9">
        <v>0</v>
      </c>
      <c r="Z1856" s="9">
        <v>0</v>
      </c>
      <c r="AA1856" s="9">
        <v>0</v>
      </c>
      <c r="AB1856" s="9">
        <v>0</v>
      </c>
      <c r="AC1856" s="9">
        <v>0</v>
      </c>
      <c r="AD1856" s="53" t="e">
        <f>#REF!*D1856</f>
        <v>#REF!</v>
      </c>
      <c r="AE1856" s="53" t="e">
        <f>AD1856-#REF!</f>
        <v>#REF!</v>
      </c>
      <c r="AF1856" s="8"/>
      <c r="AG1856" s="33" t="e">
        <f>#REF!-D1856</f>
        <v>#REF!</v>
      </c>
      <c r="AH1856" s="8"/>
      <c r="AI1856" s="8"/>
    </row>
    <row r="1857" spans="1:35" s="12" customFormat="1" ht="20.399999999999999" outlineLevel="1" x14ac:dyDescent="0.2">
      <c r="A1857" s="62" t="s">
        <v>2214</v>
      </c>
      <c r="B1857" s="14" t="s">
        <v>2144</v>
      </c>
      <c r="C1857" s="8" t="s">
        <v>47</v>
      </c>
      <c r="D1857" s="25">
        <f t="shared" si="486"/>
        <v>2</v>
      </c>
      <c r="E1857" s="54"/>
      <c r="F1857" s="9"/>
      <c r="G1857" s="9">
        <v>0</v>
      </c>
      <c r="H1857" s="9">
        <v>0</v>
      </c>
      <c r="I1857" s="9">
        <v>0</v>
      </c>
      <c r="J1857" s="9">
        <v>0</v>
      </c>
      <c r="K1857" s="9">
        <v>0</v>
      </c>
      <c r="L1857" s="9">
        <v>0</v>
      </c>
      <c r="M1857" s="9">
        <v>0</v>
      </c>
      <c r="N1857" s="9">
        <v>0</v>
      </c>
      <c r="O1857" s="9">
        <v>0</v>
      </c>
      <c r="P1857" s="9">
        <v>0</v>
      </c>
      <c r="Q1857" s="9">
        <v>0</v>
      </c>
      <c r="R1857" s="9">
        <v>0</v>
      </c>
      <c r="S1857" s="9">
        <v>0</v>
      </c>
      <c r="T1857" s="9">
        <v>2</v>
      </c>
      <c r="U1857" s="9">
        <v>0</v>
      </c>
      <c r="V1857" s="9">
        <v>0</v>
      </c>
      <c r="W1857" s="9">
        <v>0</v>
      </c>
      <c r="X1857" s="9">
        <v>0</v>
      </c>
      <c r="Y1857" s="9">
        <v>0</v>
      </c>
      <c r="Z1857" s="9">
        <v>0</v>
      </c>
      <c r="AA1857" s="9">
        <v>0</v>
      </c>
      <c r="AB1857" s="9">
        <v>0</v>
      </c>
      <c r="AC1857" s="9">
        <v>0</v>
      </c>
      <c r="AD1857" s="53" t="e">
        <f>#REF!*D1857</f>
        <v>#REF!</v>
      </c>
      <c r="AE1857" s="53" t="e">
        <f>AD1857-#REF!</f>
        <v>#REF!</v>
      </c>
      <c r="AF1857" s="8"/>
      <c r="AG1857" s="33" t="e">
        <f>#REF!-D1857</f>
        <v>#REF!</v>
      </c>
      <c r="AH1857" s="8"/>
      <c r="AI1857" s="8"/>
    </row>
    <row r="1858" spans="1:35" s="17" customFormat="1" ht="20.399999999999999" outlineLevel="1" x14ac:dyDescent="0.2">
      <c r="A1858" s="62" t="s">
        <v>2215</v>
      </c>
      <c r="B1858" s="14" t="s">
        <v>275</v>
      </c>
      <c r="C1858" s="8" t="s">
        <v>47</v>
      </c>
      <c r="D1858" s="25">
        <f t="shared" si="486"/>
        <v>2</v>
      </c>
      <c r="E1858" s="54"/>
      <c r="F1858" s="9"/>
      <c r="G1858" s="9">
        <v>0</v>
      </c>
      <c r="H1858" s="9">
        <v>0</v>
      </c>
      <c r="I1858" s="9">
        <v>0</v>
      </c>
      <c r="J1858" s="9">
        <v>0</v>
      </c>
      <c r="K1858" s="9">
        <v>0</v>
      </c>
      <c r="L1858" s="9">
        <v>0</v>
      </c>
      <c r="M1858" s="9">
        <v>0</v>
      </c>
      <c r="N1858" s="9">
        <v>0</v>
      </c>
      <c r="O1858" s="9">
        <v>0</v>
      </c>
      <c r="P1858" s="9">
        <v>0</v>
      </c>
      <c r="Q1858" s="9">
        <v>0</v>
      </c>
      <c r="R1858" s="9">
        <v>2</v>
      </c>
      <c r="S1858" s="9">
        <v>0</v>
      </c>
      <c r="T1858" s="9">
        <v>0</v>
      </c>
      <c r="U1858" s="9">
        <v>0</v>
      </c>
      <c r="V1858" s="9">
        <v>0</v>
      </c>
      <c r="W1858" s="9">
        <v>0</v>
      </c>
      <c r="X1858" s="9">
        <v>0</v>
      </c>
      <c r="Y1858" s="9">
        <v>0</v>
      </c>
      <c r="Z1858" s="9">
        <v>0</v>
      </c>
      <c r="AA1858" s="9">
        <v>0</v>
      </c>
      <c r="AB1858" s="9">
        <v>0</v>
      </c>
      <c r="AC1858" s="9">
        <v>0</v>
      </c>
      <c r="AD1858" s="53" t="e">
        <f>#REF!*D1858</f>
        <v>#REF!</v>
      </c>
      <c r="AE1858" s="53" t="e">
        <f>AD1858-#REF!</f>
        <v>#REF!</v>
      </c>
      <c r="AF1858" s="8"/>
      <c r="AG1858" s="33" t="e">
        <f>#REF!-D1858</f>
        <v>#REF!</v>
      </c>
      <c r="AH1858" s="8"/>
      <c r="AI1858" s="8"/>
    </row>
    <row r="1859" spans="1:35" s="12" customFormat="1" ht="20.399999999999999" outlineLevel="1" x14ac:dyDescent="0.2">
      <c r="A1859" s="62" t="s">
        <v>2216</v>
      </c>
      <c r="B1859" s="14" t="s">
        <v>276</v>
      </c>
      <c r="C1859" s="8" t="s">
        <v>47</v>
      </c>
      <c r="D1859" s="25">
        <f t="shared" si="486"/>
        <v>2</v>
      </c>
      <c r="E1859" s="54"/>
      <c r="F1859" s="9"/>
      <c r="G1859" s="9">
        <v>0</v>
      </c>
      <c r="H1859" s="9">
        <v>0</v>
      </c>
      <c r="I1859" s="9">
        <v>0</v>
      </c>
      <c r="J1859" s="9">
        <v>0</v>
      </c>
      <c r="K1859" s="9">
        <v>0</v>
      </c>
      <c r="L1859" s="9">
        <v>0</v>
      </c>
      <c r="M1859" s="9">
        <v>0</v>
      </c>
      <c r="N1859" s="9">
        <v>0</v>
      </c>
      <c r="O1859" s="9">
        <v>0</v>
      </c>
      <c r="P1859" s="9">
        <v>0</v>
      </c>
      <c r="Q1859" s="9">
        <v>0</v>
      </c>
      <c r="R1859" s="9">
        <v>0</v>
      </c>
      <c r="S1859" s="9">
        <v>0</v>
      </c>
      <c r="T1859" s="9">
        <v>2</v>
      </c>
      <c r="U1859" s="9">
        <v>0</v>
      </c>
      <c r="V1859" s="9">
        <v>0</v>
      </c>
      <c r="W1859" s="9">
        <v>0</v>
      </c>
      <c r="X1859" s="9">
        <v>0</v>
      </c>
      <c r="Y1859" s="9">
        <v>0</v>
      </c>
      <c r="Z1859" s="9">
        <v>0</v>
      </c>
      <c r="AA1859" s="9">
        <v>0</v>
      </c>
      <c r="AB1859" s="9">
        <v>0</v>
      </c>
      <c r="AC1859" s="9">
        <v>0</v>
      </c>
      <c r="AD1859" s="53" t="e">
        <f>#REF!*D1859</f>
        <v>#REF!</v>
      </c>
      <c r="AE1859" s="53" t="e">
        <f>AD1859-#REF!</f>
        <v>#REF!</v>
      </c>
      <c r="AF1859" s="8"/>
      <c r="AG1859" s="33" t="e">
        <f>#REF!-D1859</f>
        <v>#REF!</v>
      </c>
      <c r="AH1859" s="8"/>
      <c r="AI1859" s="8"/>
    </row>
    <row r="1860" spans="1:35" s="17" customFormat="1" ht="20.399999999999999" outlineLevel="1" x14ac:dyDescent="0.2">
      <c r="A1860" s="62" t="s">
        <v>2217</v>
      </c>
      <c r="B1860" s="14" t="s">
        <v>277</v>
      </c>
      <c r="C1860" s="8" t="s">
        <v>47</v>
      </c>
      <c r="D1860" s="25">
        <f t="shared" si="486"/>
        <v>3</v>
      </c>
      <c r="E1860" s="54"/>
      <c r="F1860" s="9"/>
      <c r="G1860" s="9">
        <v>0</v>
      </c>
      <c r="H1860" s="9">
        <v>0</v>
      </c>
      <c r="I1860" s="9">
        <v>0</v>
      </c>
      <c r="J1860" s="9">
        <v>0</v>
      </c>
      <c r="K1860" s="9">
        <v>0</v>
      </c>
      <c r="L1860" s="9">
        <v>0</v>
      </c>
      <c r="M1860" s="9">
        <v>0</v>
      </c>
      <c r="N1860" s="9">
        <v>0</v>
      </c>
      <c r="O1860" s="9">
        <v>0</v>
      </c>
      <c r="P1860" s="9">
        <v>0</v>
      </c>
      <c r="Q1860" s="9">
        <v>0</v>
      </c>
      <c r="R1860" s="9">
        <v>3</v>
      </c>
      <c r="S1860" s="9">
        <v>0</v>
      </c>
      <c r="T1860" s="9">
        <v>0</v>
      </c>
      <c r="U1860" s="9">
        <v>0</v>
      </c>
      <c r="V1860" s="9">
        <v>0</v>
      </c>
      <c r="W1860" s="9">
        <v>0</v>
      </c>
      <c r="X1860" s="9">
        <v>0</v>
      </c>
      <c r="Y1860" s="9">
        <v>0</v>
      </c>
      <c r="Z1860" s="9">
        <v>0</v>
      </c>
      <c r="AA1860" s="9">
        <v>0</v>
      </c>
      <c r="AB1860" s="9">
        <v>0</v>
      </c>
      <c r="AC1860" s="9">
        <v>0</v>
      </c>
      <c r="AD1860" s="53" t="e">
        <f>#REF!*D1860</f>
        <v>#REF!</v>
      </c>
      <c r="AE1860" s="53" t="e">
        <f>AD1860-#REF!</f>
        <v>#REF!</v>
      </c>
      <c r="AF1860" s="8"/>
      <c r="AG1860" s="33" t="e">
        <f>#REF!-D1860</f>
        <v>#REF!</v>
      </c>
      <c r="AH1860" s="8"/>
      <c r="AI1860" s="8"/>
    </row>
    <row r="1861" spans="1:35" s="17" customFormat="1" ht="20.399999999999999" outlineLevel="1" x14ac:dyDescent="0.2">
      <c r="A1861" s="62" t="s">
        <v>2218</v>
      </c>
      <c r="B1861" s="14" t="s">
        <v>278</v>
      </c>
      <c r="C1861" s="8" t="s">
        <v>47</v>
      </c>
      <c r="D1861" s="25">
        <f t="shared" si="486"/>
        <v>26</v>
      </c>
      <c r="E1861" s="54"/>
      <c r="F1861" s="9"/>
      <c r="G1861" s="88">
        <f t="shared" ref="G1861:T1861" si="487">G1869*2</f>
        <v>0</v>
      </c>
      <c r="H1861" s="88">
        <f t="shared" si="487"/>
        <v>0</v>
      </c>
      <c r="I1861" s="88">
        <f t="shared" si="487"/>
        <v>0</v>
      </c>
      <c r="J1861" s="88">
        <f t="shared" si="487"/>
        <v>0</v>
      </c>
      <c r="K1861" s="88">
        <f t="shared" si="487"/>
        <v>0</v>
      </c>
      <c r="L1861" s="88">
        <f t="shared" si="487"/>
        <v>0</v>
      </c>
      <c r="M1861" s="88">
        <f t="shared" si="487"/>
        <v>0</v>
      </c>
      <c r="N1861" s="88">
        <f t="shared" si="487"/>
        <v>0</v>
      </c>
      <c r="O1861" s="88">
        <f t="shared" si="487"/>
        <v>0</v>
      </c>
      <c r="P1861" s="88">
        <f t="shared" si="487"/>
        <v>0</v>
      </c>
      <c r="Q1861" s="88">
        <f t="shared" si="487"/>
        <v>0</v>
      </c>
      <c r="R1861" s="88">
        <f t="shared" si="487"/>
        <v>0</v>
      </c>
      <c r="S1861" s="88">
        <f t="shared" si="487"/>
        <v>0</v>
      </c>
      <c r="T1861" s="88">
        <f t="shared" si="487"/>
        <v>10</v>
      </c>
      <c r="U1861" s="88">
        <f t="shared" ref="U1861:AB1862" si="488">U1868*2</f>
        <v>2</v>
      </c>
      <c r="V1861" s="88">
        <f t="shared" si="488"/>
        <v>2</v>
      </c>
      <c r="W1861" s="88">
        <f t="shared" si="488"/>
        <v>2</v>
      </c>
      <c r="X1861" s="88">
        <f t="shared" si="488"/>
        <v>2</v>
      </c>
      <c r="Y1861" s="88">
        <f t="shared" si="488"/>
        <v>2</v>
      </c>
      <c r="Z1861" s="88">
        <f t="shared" si="488"/>
        <v>2</v>
      </c>
      <c r="AA1861" s="88">
        <f t="shared" si="488"/>
        <v>2</v>
      </c>
      <c r="AB1861" s="88">
        <f t="shared" si="488"/>
        <v>2</v>
      </c>
      <c r="AC1861" s="9">
        <v>0</v>
      </c>
      <c r="AD1861" s="53" t="e">
        <f>#REF!*D1861</f>
        <v>#REF!</v>
      </c>
      <c r="AE1861" s="53" t="e">
        <f>AD1861-#REF!</f>
        <v>#REF!</v>
      </c>
      <c r="AF1861" s="8"/>
      <c r="AG1861" s="33" t="e">
        <f>#REF!-D1861</f>
        <v>#REF!</v>
      </c>
      <c r="AH1861" s="8"/>
      <c r="AI1861" s="8"/>
    </row>
    <row r="1862" spans="1:35" s="17" customFormat="1" ht="20.399999999999999" outlineLevel="1" x14ac:dyDescent="0.2">
      <c r="A1862" s="62" t="s">
        <v>2219</v>
      </c>
      <c r="B1862" s="14" t="s">
        <v>2145</v>
      </c>
      <c r="C1862" s="8" t="s">
        <v>47</v>
      </c>
      <c r="D1862" s="25">
        <f t="shared" si="486"/>
        <v>5</v>
      </c>
      <c r="E1862" s="54"/>
      <c r="F1862" s="9"/>
      <c r="G1862" s="88">
        <f t="shared" ref="G1862:S1862" si="489">G1869*2</f>
        <v>0</v>
      </c>
      <c r="H1862" s="88">
        <f t="shared" si="489"/>
        <v>0</v>
      </c>
      <c r="I1862" s="88">
        <f t="shared" si="489"/>
        <v>0</v>
      </c>
      <c r="J1862" s="88">
        <f t="shared" si="489"/>
        <v>0</v>
      </c>
      <c r="K1862" s="88">
        <f t="shared" si="489"/>
        <v>0</v>
      </c>
      <c r="L1862" s="88">
        <f t="shared" si="489"/>
        <v>0</v>
      </c>
      <c r="M1862" s="88">
        <f t="shared" si="489"/>
        <v>0</v>
      </c>
      <c r="N1862" s="88">
        <f t="shared" si="489"/>
        <v>0</v>
      </c>
      <c r="O1862" s="88">
        <f t="shared" si="489"/>
        <v>0</v>
      </c>
      <c r="P1862" s="88">
        <f t="shared" si="489"/>
        <v>0</v>
      </c>
      <c r="Q1862" s="88">
        <f t="shared" si="489"/>
        <v>0</v>
      </c>
      <c r="R1862" s="88">
        <f t="shared" si="489"/>
        <v>0</v>
      </c>
      <c r="S1862" s="88">
        <f t="shared" si="489"/>
        <v>0</v>
      </c>
      <c r="T1862" s="88">
        <v>5</v>
      </c>
      <c r="U1862" s="88">
        <f t="shared" si="488"/>
        <v>0</v>
      </c>
      <c r="V1862" s="88">
        <f t="shared" si="488"/>
        <v>0</v>
      </c>
      <c r="W1862" s="88">
        <f t="shared" si="488"/>
        <v>0</v>
      </c>
      <c r="X1862" s="88">
        <f t="shared" si="488"/>
        <v>0</v>
      </c>
      <c r="Y1862" s="88">
        <f t="shared" si="488"/>
        <v>0</v>
      </c>
      <c r="Z1862" s="88">
        <f t="shared" si="488"/>
        <v>0</v>
      </c>
      <c r="AA1862" s="88">
        <f t="shared" si="488"/>
        <v>0</v>
      </c>
      <c r="AB1862" s="88">
        <f t="shared" si="488"/>
        <v>0</v>
      </c>
      <c r="AC1862" s="9">
        <v>0</v>
      </c>
      <c r="AD1862" s="53" t="e">
        <f>#REF!*D1862</f>
        <v>#REF!</v>
      </c>
      <c r="AE1862" s="53" t="e">
        <f>AD1862-#REF!</f>
        <v>#REF!</v>
      </c>
      <c r="AF1862" s="8"/>
      <c r="AG1862" s="33" t="e">
        <f>#REF!-D1862</f>
        <v>#REF!</v>
      </c>
      <c r="AH1862" s="8"/>
      <c r="AI1862" s="8"/>
    </row>
    <row r="1863" spans="1:35" s="17" customFormat="1" ht="20.399999999999999" outlineLevel="1" x14ac:dyDescent="0.2">
      <c r="A1863" s="62" t="s">
        <v>2220</v>
      </c>
      <c r="B1863" s="14" t="s">
        <v>2146</v>
      </c>
      <c r="C1863" s="8" t="s">
        <v>47</v>
      </c>
      <c r="D1863" s="25">
        <f t="shared" si="486"/>
        <v>24</v>
      </c>
      <c r="E1863" s="54"/>
      <c r="F1863" s="9"/>
      <c r="G1863" s="88">
        <f t="shared" ref="G1863:S1863" si="490">G1871*2</f>
        <v>0</v>
      </c>
      <c r="H1863" s="88">
        <f t="shared" si="490"/>
        <v>0</v>
      </c>
      <c r="I1863" s="88">
        <f t="shared" si="490"/>
        <v>0</v>
      </c>
      <c r="J1863" s="88">
        <f t="shared" si="490"/>
        <v>0</v>
      </c>
      <c r="K1863" s="88">
        <f t="shared" si="490"/>
        <v>0</v>
      </c>
      <c r="L1863" s="88">
        <f t="shared" si="490"/>
        <v>0</v>
      </c>
      <c r="M1863" s="88">
        <f t="shared" si="490"/>
        <v>0</v>
      </c>
      <c r="N1863" s="88">
        <f t="shared" si="490"/>
        <v>0</v>
      </c>
      <c r="O1863" s="88">
        <f t="shared" si="490"/>
        <v>0</v>
      </c>
      <c r="P1863" s="88">
        <f t="shared" si="490"/>
        <v>0</v>
      </c>
      <c r="Q1863" s="88">
        <f t="shared" si="490"/>
        <v>0</v>
      </c>
      <c r="R1863" s="88">
        <f t="shared" si="490"/>
        <v>2</v>
      </c>
      <c r="S1863" s="88">
        <f t="shared" si="490"/>
        <v>0</v>
      </c>
      <c r="T1863" s="88">
        <v>20</v>
      </c>
      <c r="U1863" s="88">
        <f t="shared" ref="U1863:AB1863" si="491">U1871*2</f>
        <v>0</v>
      </c>
      <c r="V1863" s="88">
        <f t="shared" si="491"/>
        <v>0</v>
      </c>
      <c r="W1863" s="88">
        <f t="shared" si="491"/>
        <v>0</v>
      </c>
      <c r="X1863" s="88">
        <f t="shared" si="491"/>
        <v>0</v>
      </c>
      <c r="Y1863" s="88">
        <f t="shared" si="491"/>
        <v>0</v>
      </c>
      <c r="Z1863" s="88">
        <f t="shared" si="491"/>
        <v>0</v>
      </c>
      <c r="AA1863" s="88">
        <f t="shared" si="491"/>
        <v>0</v>
      </c>
      <c r="AB1863" s="88">
        <f t="shared" si="491"/>
        <v>2</v>
      </c>
      <c r="AC1863" s="9">
        <v>0</v>
      </c>
      <c r="AD1863" s="53" t="e">
        <f>#REF!*D1863</f>
        <v>#REF!</v>
      </c>
      <c r="AE1863" s="53" t="e">
        <f>AD1863-#REF!</f>
        <v>#REF!</v>
      </c>
      <c r="AF1863" s="8"/>
      <c r="AG1863" s="33" t="e">
        <f>#REF!-D1863</f>
        <v>#REF!</v>
      </c>
      <c r="AH1863" s="8"/>
      <c r="AI1863" s="8"/>
    </row>
    <row r="1864" spans="1:35" s="17" customFormat="1" ht="20.399999999999999" outlineLevel="1" x14ac:dyDescent="0.2">
      <c r="A1864" s="62" t="s">
        <v>2221</v>
      </c>
      <c r="B1864" s="14" t="s">
        <v>184</v>
      </c>
      <c r="C1864" s="8" t="s">
        <v>47</v>
      </c>
      <c r="D1864" s="25">
        <f t="shared" ref="D1864:D1888" si="492">SUM(G1864:AC1864)</f>
        <v>4</v>
      </c>
      <c r="E1864" s="54"/>
      <c r="F1864" s="9"/>
      <c r="G1864" s="88">
        <f t="shared" ref="G1864:AB1864" si="493">G1871*2</f>
        <v>0</v>
      </c>
      <c r="H1864" s="88">
        <f t="shared" si="493"/>
        <v>0</v>
      </c>
      <c r="I1864" s="88">
        <f t="shared" si="493"/>
        <v>0</v>
      </c>
      <c r="J1864" s="88">
        <f t="shared" si="493"/>
        <v>0</v>
      </c>
      <c r="K1864" s="88">
        <f t="shared" si="493"/>
        <v>0</v>
      </c>
      <c r="L1864" s="88">
        <f t="shared" si="493"/>
        <v>0</v>
      </c>
      <c r="M1864" s="88">
        <f t="shared" si="493"/>
        <v>0</v>
      </c>
      <c r="N1864" s="88">
        <f t="shared" si="493"/>
        <v>0</v>
      </c>
      <c r="O1864" s="88">
        <f t="shared" si="493"/>
        <v>0</v>
      </c>
      <c r="P1864" s="88">
        <f t="shared" si="493"/>
        <v>0</v>
      </c>
      <c r="Q1864" s="88">
        <f t="shared" si="493"/>
        <v>0</v>
      </c>
      <c r="R1864" s="88">
        <f t="shared" si="493"/>
        <v>2</v>
      </c>
      <c r="S1864" s="88">
        <f t="shared" si="493"/>
        <v>0</v>
      </c>
      <c r="T1864" s="88">
        <f t="shared" si="493"/>
        <v>0</v>
      </c>
      <c r="U1864" s="88">
        <f t="shared" si="493"/>
        <v>0</v>
      </c>
      <c r="V1864" s="88">
        <f t="shared" si="493"/>
        <v>0</v>
      </c>
      <c r="W1864" s="88">
        <f t="shared" si="493"/>
        <v>0</v>
      </c>
      <c r="X1864" s="88">
        <f t="shared" si="493"/>
        <v>0</v>
      </c>
      <c r="Y1864" s="88">
        <f t="shared" si="493"/>
        <v>0</v>
      </c>
      <c r="Z1864" s="88">
        <f t="shared" si="493"/>
        <v>0</v>
      </c>
      <c r="AA1864" s="88">
        <f t="shared" si="493"/>
        <v>0</v>
      </c>
      <c r="AB1864" s="88">
        <f t="shared" si="493"/>
        <v>2</v>
      </c>
      <c r="AC1864" s="9">
        <v>0</v>
      </c>
      <c r="AD1864" s="53" t="e">
        <f>#REF!*D1864</f>
        <v>#REF!</v>
      </c>
      <c r="AE1864" s="53" t="e">
        <f>AD1864-#REF!</f>
        <v>#REF!</v>
      </c>
      <c r="AF1864" s="8"/>
      <c r="AG1864" s="33" t="e">
        <f>#REF!-D1864</f>
        <v>#REF!</v>
      </c>
      <c r="AH1864" s="8"/>
      <c r="AI1864" s="8"/>
    </row>
    <row r="1865" spans="1:35" s="12" customFormat="1" ht="20.399999999999999" outlineLevel="1" x14ac:dyDescent="0.2">
      <c r="A1865" s="62" t="s">
        <v>2222</v>
      </c>
      <c r="B1865" s="14" t="s">
        <v>140</v>
      </c>
      <c r="C1865" s="8" t="s">
        <v>47</v>
      </c>
      <c r="D1865" s="25">
        <f t="shared" si="492"/>
        <v>58</v>
      </c>
      <c r="E1865" s="54"/>
      <c r="F1865" s="9"/>
      <c r="G1865" s="88">
        <f t="shared" ref="G1865:S1865" si="494">G1872*2</f>
        <v>0</v>
      </c>
      <c r="H1865" s="88">
        <f t="shared" si="494"/>
        <v>0</v>
      </c>
      <c r="I1865" s="88">
        <f t="shared" si="494"/>
        <v>0</v>
      </c>
      <c r="J1865" s="88">
        <f t="shared" si="494"/>
        <v>0</v>
      </c>
      <c r="K1865" s="88">
        <f t="shared" si="494"/>
        <v>0</v>
      </c>
      <c r="L1865" s="88">
        <f t="shared" si="494"/>
        <v>0</v>
      </c>
      <c r="M1865" s="88">
        <f t="shared" si="494"/>
        <v>0</v>
      </c>
      <c r="N1865" s="88">
        <f t="shared" si="494"/>
        <v>0</v>
      </c>
      <c r="O1865" s="88">
        <f t="shared" si="494"/>
        <v>0</v>
      </c>
      <c r="P1865" s="88">
        <f t="shared" si="494"/>
        <v>0</v>
      </c>
      <c r="Q1865" s="88">
        <f t="shared" si="494"/>
        <v>0</v>
      </c>
      <c r="R1865" s="88">
        <f t="shared" si="494"/>
        <v>0</v>
      </c>
      <c r="S1865" s="88">
        <f t="shared" si="494"/>
        <v>0</v>
      </c>
      <c r="T1865" s="88">
        <v>44</v>
      </c>
      <c r="U1865" s="88">
        <f t="shared" ref="U1865:AB1867" si="495">U1872*2</f>
        <v>2</v>
      </c>
      <c r="V1865" s="88">
        <f t="shared" si="495"/>
        <v>2</v>
      </c>
      <c r="W1865" s="88">
        <f t="shared" si="495"/>
        <v>2</v>
      </c>
      <c r="X1865" s="88">
        <f t="shared" si="495"/>
        <v>2</v>
      </c>
      <c r="Y1865" s="88">
        <f t="shared" si="495"/>
        <v>2</v>
      </c>
      <c r="Z1865" s="88">
        <f t="shared" si="495"/>
        <v>2</v>
      </c>
      <c r="AA1865" s="88">
        <f t="shared" si="495"/>
        <v>2</v>
      </c>
      <c r="AB1865" s="88">
        <f t="shared" si="495"/>
        <v>0</v>
      </c>
      <c r="AC1865" s="9">
        <v>0</v>
      </c>
      <c r="AD1865" s="53" t="e">
        <f>#REF!*D1865</f>
        <v>#REF!</v>
      </c>
      <c r="AE1865" s="53" t="e">
        <f>AD1865-#REF!</f>
        <v>#REF!</v>
      </c>
      <c r="AF1865" s="8"/>
      <c r="AG1865" s="33" t="e">
        <f>#REF!-D1865</f>
        <v>#REF!</v>
      </c>
      <c r="AH1865" s="8"/>
      <c r="AI1865" s="8"/>
    </row>
    <row r="1866" spans="1:35" s="17" customFormat="1" ht="20.399999999999999" outlineLevel="1" x14ac:dyDescent="0.2">
      <c r="A1866" s="62" t="s">
        <v>2223</v>
      </c>
      <c r="B1866" s="14" t="s">
        <v>279</v>
      </c>
      <c r="C1866" s="8" t="s">
        <v>47</v>
      </c>
      <c r="D1866" s="25">
        <f t="shared" si="492"/>
        <v>8</v>
      </c>
      <c r="E1866" s="54"/>
      <c r="F1866" s="9"/>
      <c r="G1866" s="88">
        <f t="shared" ref="G1866:S1866" si="496">G1873*2</f>
        <v>0</v>
      </c>
      <c r="H1866" s="88">
        <f t="shared" si="496"/>
        <v>0</v>
      </c>
      <c r="I1866" s="88">
        <f t="shared" si="496"/>
        <v>0</v>
      </c>
      <c r="J1866" s="88">
        <f t="shared" si="496"/>
        <v>0</v>
      </c>
      <c r="K1866" s="88">
        <f t="shared" si="496"/>
        <v>0</v>
      </c>
      <c r="L1866" s="88">
        <f t="shared" si="496"/>
        <v>0</v>
      </c>
      <c r="M1866" s="88">
        <f t="shared" si="496"/>
        <v>0</v>
      </c>
      <c r="N1866" s="88">
        <f t="shared" si="496"/>
        <v>0</v>
      </c>
      <c r="O1866" s="88">
        <f t="shared" si="496"/>
        <v>0</v>
      </c>
      <c r="P1866" s="88">
        <f t="shared" si="496"/>
        <v>0</v>
      </c>
      <c r="Q1866" s="88">
        <f t="shared" si="496"/>
        <v>0</v>
      </c>
      <c r="R1866" s="88">
        <f t="shared" si="496"/>
        <v>0</v>
      </c>
      <c r="S1866" s="88">
        <f t="shared" si="496"/>
        <v>0</v>
      </c>
      <c r="T1866" s="88">
        <v>6</v>
      </c>
      <c r="U1866" s="88">
        <f t="shared" si="495"/>
        <v>0</v>
      </c>
      <c r="V1866" s="88">
        <f t="shared" si="495"/>
        <v>0</v>
      </c>
      <c r="W1866" s="88">
        <f t="shared" si="495"/>
        <v>0</v>
      </c>
      <c r="X1866" s="88">
        <f t="shared" si="495"/>
        <v>0</v>
      </c>
      <c r="Y1866" s="88">
        <f t="shared" si="495"/>
        <v>0</v>
      </c>
      <c r="Z1866" s="88">
        <f t="shared" si="495"/>
        <v>0</v>
      </c>
      <c r="AA1866" s="88">
        <f t="shared" si="495"/>
        <v>2</v>
      </c>
      <c r="AB1866" s="88">
        <f t="shared" si="495"/>
        <v>0</v>
      </c>
      <c r="AC1866" s="9">
        <v>0</v>
      </c>
      <c r="AD1866" s="53" t="e">
        <f>#REF!*D1866</f>
        <v>#REF!</v>
      </c>
      <c r="AE1866" s="53" t="e">
        <f>AD1866-#REF!</f>
        <v>#REF!</v>
      </c>
      <c r="AF1866" s="8"/>
      <c r="AG1866" s="33" t="e">
        <f>#REF!-D1866</f>
        <v>#REF!</v>
      </c>
      <c r="AH1866" s="8"/>
      <c r="AI1866" s="8"/>
    </row>
    <row r="1867" spans="1:35" s="17" customFormat="1" ht="20.399999999999999" outlineLevel="1" x14ac:dyDescent="0.2">
      <c r="A1867" s="62" t="s">
        <v>2224</v>
      </c>
      <c r="B1867" s="14" t="s">
        <v>280</v>
      </c>
      <c r="C1867" s="8" t="s">
        <v>47</v>
      </c>
      <c r="D1867" s="25">
        <f t="shared" si="492"/>
        <v>14</v>
      </c>
      <c r="E1867" s="54"/>
      <c r="F1867" s="9"/>
      <c r="G1867" s="88">
        <f t="shared" ref="G1867:S1867" si="497">G1874*2</f>
        <v>0</v>
      </c>
      <c r="H1867" s="88">
        <f t="shared" si="497"/>
        <v>0</v>
      </c>
      <c r="I1867" s="88">
        <f t="shared" si="497"/>
        <v>0</v>
      </c>
      <c r="J1867" s="88">
        <f t="shared" si="497"/>
        <v>0</v>
      </c>
      <c r="K1867" s="88">
        <f t="shared" si="497"/>
        <v>0</v>
      </c>
      <c r="L1867" s="88">
        <f t="shared" si="497"/>
        <v>0</v>
      </c>
      <c r="M1867" s="88">
        <f t="shared" si="497"/>
        <v>0</v>
      </c>
      <c r="N1867" s="88">
        <f t="shared" si="497"/>
        <v>0</v>
      </c>
      <c r="O1867" s="88">
        <f t="shared" si="497"/>
        <v>0</v>
      </c>
      <c r="P1867" s="88">
        <f t="shared" si="497"/>
        <v>0</v>
      </c>
      <c r="Q1867" s="88">
        <f t="shared" si="497"/>
        <v>0</v>
      </c>
      <c r="R1867" s="88">
        <f t="shared" si="497"/>
        <v>14</v>
      </c>
      <c r="S1867" s="88">
        <f t="shared" si="497"/>
        <v>0</v>
      </c>
      <c r="T1867" s="88">
        <f>T1874*2</f>
        <v>0</v>
      </c>
      <c r="U1867" s="88">
        <f t="shared" si="495"/>
        <v>0</v>
      </c>
      <c r="V1867" s="88">
        <f t="shared" si="495"/>
        <v>0</v>
      </c>
      <c r="W1867" s="88">
        <f t="shared" si="495"/>
        <v>0</v>
      </c>
      <c r="X1867" s="88">
        <f t="shared" si="495"/>
        <v>0</v>
      </c>
      <c r="Y1867" s="88">
        <f t="shared" si="495"/>
        <v>0</v>
      </c>
      <c r="Z1867" s="88">
        <f t="shared" si="495"/>
        <v>0</v>
      </c>
      <c r="AA1867" s="88">
        <f t="shared" si="495"/>
        <v>0</v>
      </c>
      <c r="AB1867" s="88">
        <f t="shared" si="495"/>
        <v>0</v>
      </c>
      <c r="AC1867" s="9">
        <v>0</v>
      </c>
      <c r="AD1867" s="53" t="e">
        <f>#REF!*D1867</f>
        <v>#REF!</v>
      </c>
      <c r="AE1867" s="53" t="e">
        <f>AD1867-#REF!</f>
        <v>#REF!</v>
      </c>
      <c r="AF1867" s="8"/>
      <c r="AG1867" s="33" t="e">
        <f>#REF!-D1867</f>
        <v>#REF!</v>
      </c>
      <c r="AH1867" s="8"/>
      <c r="AI1867" s="8"/>
    </row>
    <row r="1868" spans="1:35" s="17" customFormat="1" ht="20.399999999999999" outlineLevel="1" x14ac:dyDescent="0.2">
      <c r="A1868" s="62" t="s">
        <v>2225</v>
      </c>
      <c r="B1868" s="14" t="s">
        <v>281</v>
      </c>
      <c r="C1868" s="8" t="s">
        <v>47</v>
      </c>
      <c r="D1868" s="25">
        <f t="shared" si="492"/>
        <v>10</v>
      </c>
      <c r="E1868" s="54"/>
      <c r="F1868" s="9"/>
      <c r="G1868" s="9">
        <v>0</v>
      </c>
      <c r="H1868" s="9">
        <v>0</v>
      </c>
      <c r="I1868" s="9">
        <v>0</v>
      </c>
      <c r="J1868" s="9">
        <v>0</v>
      </c>
      <c r="K1868" s="9">
        <v>0</v>
      </c>
      <c r="L1868" s="9">
        <v>0</v>
      </c>
      <c r="M1868" s="9">
        <v>0</v>
      </c>
      <c r="N1868" s="9">
        <v>0</v>
      </c>
      <c r="O1868" s="9">
        <v>0</v>
      </c>
      <c r="P1868" s="9">
        <v>0</v>
      </c>
      <c r="Q1868" s="9">
        <v>0</v>
      </c>
      <c r="R1868" s="9">
        <v>2</v>
      </c>
      <c r="S1868" s="9">
        <v>0</v>
      </c>
      <c r="T1868" s="9">
        <v>0</v>
      </c>
      <c r="U1868" s="9">
        <v>1</v>
      </c>
      <c r="V1868" s="9">
        <v>1</v>
      </c>
      <c r="W1868" s="9">
        <v>1</v>
      </c>
      <c r="X1868" s="9">
        <v>1</v>
      </c>
      <c r="Y1868" s="9">
        <v>1</v>
      </c>
      <c r="Z1868" s="9">
        <v>1</v>
      </c>
      <c r="AA1868" s="9">
        <v>1</v>
      </c>
      <c r="AB1868" s="9">
        <v>1</v>
      </c>
      <c r="AC1868" s="9">
        <v>0</v>
      </c>
      <c r="AD1868" s="53" t="e">
        <f>#REF!*D1868</f>
        <v>#REF!</v>
      </c>
      <c r="AE1868" s="53" t="e">
        <f>AD1868-#REF!</f>
        <v>#REF!</v>
      </c>
      <c r="AF1868" s="8"/>
      <c r="AG1868" s="33" t="e">
        <f>#REF!-D1868</f>
        <v>#REF!</v>
      </c>
      <c r="AH1868" s="8"/>
      <c r="AI1868" s="8"/>
    </row>
    <row r="1869" spans="1:35" s="17" customFormat="1" ht="20.399999999999999" outlineLevel="1" x14ac:dyDescent="0.2">
      <c r="A1869" s="62" t="s">
        <v>2226</v>
      </c>
      <c r="B1869" s="14" t="s">
        <v>2147</v>
      </c>
      <c r="C1869" s="8" t="s">
        <v>47</v>
      </c>
      <c r="D1869" s="25">
        <f t="shared" si="492"/>
        <v>5</v>
      </c>
      <c r="E1869" s="54"/>
      <c r="F1869" s="9"/>
      <c r="G1869" s="9">
        <v>0</v>
      </c>
      <c r="H1869" s="9">
        <v>0</v>
      </c>
      <c r="I1869" s="9">
        <v>0</v>
      </c>
      <c r="J1869" s="9">
        <v>0</v>
      </c>
      <c r="K1869" s="9">
        <v>0</v>
      </c>
      <c r="L1869" s="9">
        <v>0</v>
      </c>
      <c r="M1869" s="9">
        <v>0</v>
      </c>
      <c r="N1869" s="9">
        <v>0</v>
      </c>
      <c r="O1869" s="9">
        <v>0</v>
      </c>
      <c r="P1869" s="9">
        <v>0</v>
      </c>
      <c r="Q1869" s="9">
        <v>0</v>
      </c>
      <c r="R1869" s="9">
        <v>0</v>
      </c>
      <c r="S1869" s="9">
        <v>0</v>
      </c>
      <c r="T1869" s="9">
        <v>5</v>
      </c>
      <c r="U1869" s="9">
        <v>0</v>
      </c>
      <c r="V1869" s="9">
        <v>0</v>
      </c>
      <c r="W1869" s="9">
        <v>0</v>
      </c>
      <c r="X1869" s="9">
        <v>0</v>
      </c>
      <c r="Y1869" s="9">
        <v>0</v>
      </c>
      <c r="Z1869" s="9">
        <v>0</v>
      </c>
      <c r="AA1869" s="9">
        <v>0</v>
      </c>
      <c r="AB1869" s="9">
        <v>0</v>
      </c>
      <c r="AC1869" s="9">
        <v>0</v>
      </c>
      <c r="AD1869" s="53" t="e">
        <f>#REF!*D1869</f>
        <v>#REF!</v>
      </c>
      <c r="AE1869" s="53" t="e">
        <f>AD1869-#REF!</f>
        <v>#REF!</v>
      </c>
      <c r="AF1869" s="8"/>
      <c r="AG1869" s="33" t="e">
        <f>#REF!-D1869</f>
        <v>#REF!</v>
      </c>
      <c r="AH1869" s="8"/>
      <c r="AI1869" s="8"/>
    </row>
    <row r="1870" spans="1:35" s="17" customFormat="1" ht="20.399999999999999" outlineLevel="1" x14ac:dyDescent="0.2">
      <c r="A1870" s="62" t="s">
        <v>2227</v>
      </c>
      <c r="B1870" s="14" t="s">
        <v>2148</v>
      </c>
      <c r="C1870" s="8" t="s">
        <v>47</v>
      </c>
      <c r="D1870" s="25">
        <f t="shared" si="492"/>
        <v>20</v>
      </c>
      <c r="E1870" s="54"/>
      <c r="F1870" s="9"/>
      <c r="G1870" s="9">
        <v>0</v>
      </c>
      <c r="H1870" s="9">
        <v>0</v>
      </c>
      <c r="I1870" s="9">
        <v>0</v>
      </c>
      <c r="J1870" s="9">
        <v>0</v>
      </c>
      <c r="K1870" s="9">
        <v>0</v>
      </c>
      <c r="L1870" s="9">
        <v>0</v>
      </c>
      <c r="M1870" s="9">
        <v>0</v>
      </c>
      <c r="N1870" s="9">
        <v>0</v>
      </c>
      <c r="O1870" s="9">
        <v>0</v>
      </c>
      <c r="P1870" s="9">
        <v>0</v>
      </c>
      <c r="Q1870" s="9">
        <v>0</v>
      </c>
      <c r="R1870" s="9">
        <v>0</v>
      </c>
      <c r="S1870" s="9">
        <v>0</v>
      </c>
      <c r="T1870" s="9">
        <v>20</v>
      </c>
      <c r="U1870" s="9">
        <v>0</v>
      </c>
      <c r="V1870" s="9">
        <v>0</v>
      </c>
      <c r="W1870" s="9">
        <v>0</v>
      </c>
      <c r="X1870" s="9">
        <v>0</v>
      </c>
      <c r="Y1870" s="9">
        <v>0</v>
      </c>
      <c r="Z1870" s="9">
        <v>0</v>
      </c>
      <c r="AA1870" s="9">
        <v>0</v>
      </c>
      <c r="AB1870" s="9">
        <v>0</v>
      </c>
      <c r="AC1870" s="9">
        <v>0</v>
      </c>
      <c r="AD1870" s="53" t="e">
        <f>#REF!*D1870</f>
        <v>#REF!</v>
      </c>
      <c r="AE1870" s="53" t="e">
        <f>AD1870-#REF!</f>
        <v>#REF!</v>
      </c>
      <c r="AF1870" s="8"/>
      <c r="AG1870" s="33" t="e">
        <f>#REF!-D1870</f>
        <v>#REF!</v>
      </c>
      <c r="AH1870" s="8"/>
      <c r="AI1870" s="8"/>
    </row>
    <row r="1871" spans="1:35" s="17" customFormat="1" ht="20.399999999999999" outlineLevel="1" x14ac:dyDescent="0.2">
      <c r="A1871" s="62" t="s">
        <v>2228</v>
      </c>
      <c r="B1871" s="14" t="s">
        <v>185</v>
      </c>
      <c r="C1871" s="8" t="s">
        <v>47</v>
      </c>
      <c r="D1871" s="25">
        <f t="shared" si="492"/>
        <v>2</v>
      </c>
      <c r="E1871" s="54"/>
      <c r="F1871" s="9"/>
      <c r="G1871" s="9">
        <v>0</v>
      </c>
      <c r="H1871" s="9">
        <v>0</v>
      </c>
      <c r="I1871" s="9">
        <v>0</v>
      </c>
      <c r="J1871" s="9">
        <v>0</v>
      </c>
      <c r="K1871" s="9">
        <v>0</v>
      </c>
      <c r="L1871" s="9">
        <v>0</v>
      </c>
      <c r="M1871" s="9">
        <v>0</v>
      </c>
      <c r="N1871" s="9">
        <v>0</v>
      </c>
      <c r="O1871" s="9">
        <v>0</v>
      </c>
      <c r="P1871" s="9">
        <v>0</v>
      </c>
      <c r="Q1871" s="9">
        <v>0</v>
      </c>
      <c r="R1871" s="9">
        <v>1</v>
      </c>
      <c r="S1871" s="9">
        <v>0</v>
      </c>
      <c r="T1871" s="9">
        <v>0</v>
      </c>
      <c r="U1871" s="9">
        <v>0</v>
      </c>
      <c r="V1871" s="9">
        <v>0</v>
      </c>
      <c r="W1871" s="9">
        <v>0</v>
      </c>
      <c r="X1871" s="9">
        <v>0</v>
      </c>
      <c r="Y1871" s="9">
        <v>0</v>
      </c>
      <c r="Z1871" s="9">
        <v>0</v>
      </c>
      <c r="AA1871" s="9">
        <v>0</v>
      </c>
      <c r="AB1871" s="9">
        <v>1</v>
      </c>
      <c r="AC1871" s="9">
        <v>0</v>
      </c>
      <c r="AD1871" s="53" t="e">
        <f>#REF!*D1871</f>
        <v>#REF!</v>
      </c>
      <c r="AE1871" s="53" t="e">
        <f>AD1871-#REF!</f>
        <v>#REF!</v>
      </c>
      <c r="AF1871" s="8"/>
      <c r="AG1871" s="33" t="e">
        <f>#REF!-D1871</f>
        <v>#REF!</v>
      </c>
      <c r="AH1871" s="8"/>
      <c r="AI1871" s="8"/>
    </row>
    <row r="1872" spans="1:35" s="12" customFormat="1" ht="20.399999999999999" outlineLevel="1" x14ac:dyDescent="0.2">
      <c r="A1872" s="62" t="s">
        <v>2229</v>
      </c>
      <c r="B1872" s="14" t="s">
        <v>141</v>
      </c>
      <c r="C1872" s="8" t="s">
        <v>47</v>
      </c>
      <c r="D1872" s="25">
        <f t="shared" si="492"/>
        <v>51</v>
      </c>
      <c r="E1872" s="54"/>
      <c r="F1872" s="9"/>
      <c r="G1872" s="9">
        <v>0</v>
      </c>
      <c r="H1872" s="9">
        <v>0</v>
      </c>
      <c r="I1872" s="9">
        <v>0</v>
      </c>
      <c r="J1872" s="9">
        <v>0</v>
      </c>
      <c r="K1872" s="9">
        <v>0</v>
      </c>
      <c r="L1872" s="9">
        <v>0</v>
      </c>
      <c r="M1872" s="9">
        <v>0</v>
      </c>
      <c r="N1872" s="9">
        <v>0</v>
      </c>
      <c r="O1872" s="9">
        <v>0</v>
      </c>
      <c r="P1872" s="9">
        <v>0</v>
      </c>
      <c r="Q1872" s="9">
        <v>0</v>
      </c>
      <c r="R1872" s="9">
        <v>0</v>
      </c>
      <c r="S1872" s="9">
        <v>0</v>
      </c>
      <c r="T1872" s="9">
        <f>38+6</f>
        <v>44</v>
      </c>
      <c r="U1872" s="9">
        <v>1</v>
      </c>
      <c r="V1872" s="9">
        <v>1</v>
      </c>
      <c r="W1872" s="9">
        <v>1</v>
      </c>
      <c r="X1872" s="9">
        <v>1</v>
      </c>
      <c r="Y1872" s="9">
        <v>1</v>
      </c>
      <c r="Z1872" s="9">
        <v>1</v>
      </c>
      <c r="AA1872" s="9">
        <v>1</v>
      </c>
      <c r="AB1872" s="9">
        <v>0</v>
      </c>
      <c r="AC1872" s="9">
        <v>0</v>
      </c>
      <c r="AD1872" s="53" t="e">
        <f>#REF!*D1872</f>
        <v>#REF!</v>
      </c>
      <c r="AE1872" s="53" t="e">
        <f>AD1872-#REF!</f>
        <v>#REF!</v>
      </c>
      <c r="AF1872" s="8"/>
      <c r="AG1872" s="33" t="e">
        <f>#REF!-D1872</f>
        <v>#REF!</v>
      </c>
      <c r="AH1872" s="8"/>
      <c r="AI1872" s="8"/>
    </row>
    <row r="1873" spans="1:35" s="17" customFormat="1" ht="20.399999999999999" outlineLevel="1" x14ac:dyDescent="0.2">
      <c r="A1873" s="62" t="s">
        <v>2230</v>
      </c>
      <c r="B1873" s="14" t="s">
        <v>282</v>
      </c>
      <c r="C1873" s="8" t="s">
        <v>47</v>
      </c>
      <c r="D1873" s="25">
        <f t="shared" si="492"/>
        <v>7</v>
      </c>
      <c r="E1873" s="54"/>
      <c r="F1873" s="9"/>
      <c r="G1873" s="9">
        <v>0</v>
      </c>
      <c r="H1873" s="9">
        <v>0</v>
      </c>
      <c r="I1873" s="9">
        <v>0</v>
      </c>
      <c r="J1873" s="9">
        <v>0</v>
      </c>
      <c r="K1873" s="9">
        <v>0</v>
      </c>
      <c r="L1873" s="9">
        <v>0</v>
      </c>
      <c r="M1873" s="9">
        <v>0</v>
      </c>
      <c r="N1873" s="9">
        <v>0</v>
      </c>
      <c r="O1873" s="9">
        <v>0</v>
      </c>
      <c r="P1873" s="9">
        <v>0</v>
      </c>
      <c r="Q1873" s="9">
        <v>0</v>
      </c>
      <c r="R1873" s="9">
        <v>0</v>
      </c>
      <c r="S1873" s="9">
        <v>0</v>
      </c>
      <c r="T1873" s="9">
        <v>6</v>
      </c>
      <c r="U1873" s="9">
        <v>0</v>
      </c>
      <c r="V1873" s="9">
        <v>0</v>
      </c>
      <c r="W1873" s="9">
        <v>0</v>
      </c>
      <c r="X1873" s="9">
        <v>0</v>
      </c>
      <c r="Y1873" s="9">
        <v>0</v>
      </c>
      <c r="Z1873" s="9">
        <v>0</v>
      </c>
      <c r="AA1873" s="9">
        <v>1</v>
      </c>
      <c r="AB1873" s="9">
        <v>0</v>
      </c>
      <c r="AC1873" s="9">
        <v>0</v>
      </c>
      <c r="AD1873" s="53" t="e">
        <f>#REF!*D1873</f>
        <v>#REF!</v>
      </c>
      <c r="AE1873" s="53" t="e">
        <f>AD1873-#REF!</f>
        <v>#REF!</v>
      </c>
      <c r="AF1873" s="8"/>
      <c r="AG1873" s="33" t="e">
        <f>#REF!-D1873</f>
        <v>#REF!</v>
      </c>
      <c r="AH1873" s="8"/>
      <c r="AI1873" s="8"/>
    </row>
    <row r="1874" spans="1:35" s="17" customFormat="1" ht="20.399999999999999" outlineLevel="1" x14ac:dyDescent="0.2">
      <c r="A1874" s="62" t="s">
        <v>2231</v>
      </c>
      <c r="B1874" s="14" t="s">
        <v>283</v>
      </c>
      <c r="C1874" s="8" t="s">
        <v>47</v>
      </c>
      <c r="D1874" s="25">
        <f t="shared" si="492"/>
        <v>7</v>
      </c>
      <c r="E1874" s="54"/>
      <c r="F1874" s="9"/>
      <c r="G1874" s="9">
        <v>0</v>
      </c>
      <c r="H1874" s="9">
        <v>0</v>
      </c>
      <c r="I1874" s="9">
        <v>0</v>
      </c>
      <c r="J1874" s="9">
        <v>0</v>
      </c>
      <c r="K1874" s="9">
        <v>0</v>
      </c>
      <c r="L1874" s="9">
        <v>0</v>
      </c>
      <c r="M1874" s="9">
        <v>0</v>
      </c>
      <c r="N1874" s="9">
        <v>0</v>
      </c>
      <c r="O1874" s="9">
        <v>0</v>
      </c>
      <c r="P1874" s="9">
        <v>0</v>
      </c>
      <c r="Q1874" s="9">
        <v>0</v>
      </c>
      <c r="R1874" s="9">
        <v>7</v>
      </c>
      <c r="S1874" s="9">
        <v>0</v>
      </c>
      <c r="T1874" s="9">
        <v>0</v>
      </c>
      <c r="U1874" s="9">
        <v>0</v>
      </c>
      <c r="V1874" s="9">
        <v>0</v>
      </c>
      <c r="W1874" s="9">
        <v>0</v>
      </c>
      <c r="X1874" s="9">
        <v>0</v>
      </c>
      <c r="Y1874" s="9">
        <v>0</v>
      </c>
      <c r="Z1874" s="9">
        <v>0</v>
      </c>
      <c r="AA1874" s="9">
        <v>0</v>
      </c>
      <c r="AB1874" s="9">
        <v>0</v>
      </c>
      <c r="AC1874" s="9">
        <v>0</v>
      </c>
      <c r="AD1874" s="53" t="e">
        <f>#REF!*D1874</f>
        <v>#REF!</v>
      </c>
      <c r="AE1874" s="53" t="e">
        <f>AD1874-#REF!</f>
        <v>#REF!</v>
      </c>
      <c r="AF1874" s="8"/>
      <c r="AG1874" s="33" t="e">
        <f>#REF!-D1874</f>
        <v>#REF!</v>
      </c>
      <c r="AH1874" s="8"/>
      <c r="AI1874" s="8"/>
    </row>
    <row r="1875" spans="1:35" s="17" customFormat="1" ht="20.399999999999999" outlineLevel="1" x14ac:dyDescent="0.2">
      <c r="A1875" s="62" t="s">
        <v>2232</v>
      </c>
      <c r="B1875" s="14" t="s">
        <v>104</v>
      </c>
      <c r="C1875" s="8" t="s">
        <v>0</v>
      </c>
      <c r="D1875" s="25">
        <f t="shared" si="492"/>
        <v>24</v>
      </c>
      <c r="E1875" s="54"/>
      <c r="F1875" s="9"/>
      <c r="G1875" s="49">
        <f t="shared" ref="G1875:AB1875" si="498">MROUND(SUM(G1891:G1905)/30,1)</f>
        <v>0</v>
      </c>
      <c r="H1875" s="49">
        <f t="shared" si="498"/>
        <v>1</v>
      </c>
      <c r="I1875" s="49">
        <f t="shared" si="498"/>
        <v>2</v>
      </c>
      <c r="J1875" s="49">
        <f t="shared" si="498"/>
        <v>2</v>
      </c>
      <c r="K1875" s="49">
        <f t="shared" si="498"/>
        <v>2</v>
      </c>
      <c r="L1875" s="49">
        <f t="shared" si="498"/>
        <v>2</v>
      </c>
      <c r="M1875" s="49">
        <f t="shared" si="498"/>
        <v>1</v>
      </c>
      <c r="N1875" s="49">
        <f t="shared" si="498"/>
        <v>1</v>
      </c>
      <c r="O1875" s="49">
        <f t="shared" si="498"/>
        <v>1</v>
      </c>
      <c r="P1875" s="49">
        <f t="shared" si="498"/>
        <v>1</v>
      </c>
      <c r="Q1875" s="49">
        <f t="shared" si="498"/>
        <v>1</v>
      </c>
      <c r="R1875" s="49">
        <f t="shared" si="498"/>
        <v>0</v>
      </c>
      <c r="S1875" s="49">
        <f t="shared" si="498"/>
        <v>0</v>
      </c>
      <c r="T1875" s="49">
        <f t="shared" si="498"/>
        <v>2</v>
      </c>
      <c r="U1875" s="49">
        <f t="shared" si="498"/>
        <v>1</v>
      </c>
      <c r="V1875" s="49">
        <f t="shared" si="498"/>
        <v>1</v>
      </c>
      <c r="W1875" s="49">
        <f t="shared" si="498"/>
        <v>2</v>
      </c>
      <c r="X1875" s="49">
        <f t="shared" si="498"/>
        <v>1</v>
      </c>
      <c r="Y1875" s="49">
        <f t="shared" si="498"/>
        <v>1</v>
      </c>
      <c r="Z1875" s="49">
        <f t="shared" si="498"/>
        <v>1</v>
      </c>
      <c r="AA1875" s="49">
        <f t="shared" si="498"/>
        <v>1</v>
      </c>
      <c r="AB1875" s="49">
        <f t="shared" si="498"/>
        <v>0</v>
      </c>
      <c r="AC1875" s="9">
        <v>0</v>
      </c>
      <c r="AD1875" s="53" t="e">
        <f>#REF!*D1875</f>
        <v>#REF!</v>
      </c>
      <c r="AE1875" s="53" t="e">
        <f>AD1875-#REF!</f>
        <v>#REF!</v>
      </c>
      <c r="AF1875" s="8"/>
      <c r="AG1875" s="33" t="e">
        <f>#REF!-D1875</f>
        <v>#REF!</v>
      </c>
      <c r="AH1875" s="8"/>
      <c r="AI1875" s="8"/>
    </row>
    <row r="1876" spans="1:35" s="17" customFormat="1" ht="10.199999999999999" outlineLevel="1" x14ac:dyDescent="0.2">
      <c r="A1876" s="62" t="s">
        <v>2233</v>
      </c>
      <c r="B1876" s="11" t="s">
        <v>105</v>
      </c>
      <c r="C1876" s="8" t="s">
        <v>50</v>
      </c>
      <c r="D1876" s="25">
        <f t="shared" si="492"/>
        <v>96</v>
      </c>
      <c r="E1876" s="54"/>
      <c r="F1876" s="9"/>
      <c r="G1876" s="49">
        <f t="shared" ref="G1876:AB1876" si="499">G1875*4</f>
        <v>0</v>
      </c>
      <c r="H1876" s="49">
        <f t="shared" si="499"/>
        <v>4</v>
      </c>
      <c r="I1876" s="49">
        <f t="shared" si="499"/>
        <v>8</v>
      </c>
      <c r="J1876" s="49">
        <f t="shared" si="499"/>
        <v>8</v>
      </c>
      <c r="K1876" s="49">
        <f t="shared" si="499"/>
        <v>8</v>
      </c>
      <c r="L1876" s="49">
        <f t="shared" si="499"/>
        <v>8</v>
      </c>
      <c r="M1876" s="49">
        <f t="shared" si="499"/>
        <v>4</v>
      </c>
      <c r="N1876" s="49">
        <f t="shared" si="499"/>
        <v>4</v>
      </c>
      <c r="O1876" s="49">
        <f t="shared" si="499"/>
        <v>4</v>
      </c>
      <c r="P1876" s="49">
        <f t="shared" si="499"/>
        <v>4</v>
      </c>
      <c r="Q1876" s="49">
        <f t="shared" si="499"/>
        <v>4</v>
      </c>
      <c r="R1876" s="49">
        <f t="shared" si="499"/>
        <v>0</v>
      </c>
      <c r="S1876" s="49">
        <f t="shared" si="499"/>
        <v>0</v>
      </c>
      <c r="T1876" s="49">
        <f t="shared" si="499"/>
        <v>8</v>
      </c>
      <c r="U1876" s="49">
        <f t="shared" si="499"/>
        <v>4</v>
      </c>
      <c r="V1876" s="49">
        <f t="shared" si="499"/>
        <v>4</v>
      </c>
      <c r="W1876" s="49">
        <f t="shared" si="499"/>
        <v>8</v>
      </c>
      <c r="X1876" s="49">
        <f t="shared" si="499"/>
        <v>4</v>
      </c>
      <c r="Y1876" s="49">
        <f t="shared" si="499"/>
        <v>4</v>
      </c>
      <c r="Z1876" s="49">
        <f t="shared" si="499"/>
        <v>4</v>
      </c>
      <c r="AA1876" s="49">
        <f t="shared" si="499"/>
        <v>4</v>
      </c>
      <c r="AB1876" s="49">
        <f t="shared" si="499"/>
        <v>0</v>
      </c>
      <c r="AC1876" s="9">
        <v>0</v>
      </c>
      <c r="AD1876" s="53" t="e">
        <f>#REF!*D1876</f>
        <v>#REF!</v>
      </c>
      <c r="AE1876" s="53" t="e">
        <f>AD1876-#REF!</f>
        <v>#REF!</v>
      </c>
      <c r="AF1876" s="8"/>
      <c r="AG1876" s="33" t="e">
        <f>#REF!-D1876</f>
        <v>#REF!</v>
      </c>
      <c r="AH1876" s="8"/>
      <c r="AI1876" s="8"/>
    </row>
    <row r="1877" spans="1:35" s="17" customFormat="1" ht="11.4" outlineLevel="1" x14ac:dyDescent="0.2">
      <c r="A1877" s="62" t="s">
        <v>2234</v>
      </c>
      <c r="B1877" s="11" t="s">
        <v>108</v>
      </c>
      <c r="C1877" s="8" t="s">
        <v>47</v>
      </c>
      <c r="D1877" s="25">
        <f t="shared" si="492"/>
        <v>192</v>
      </c>
      <c r="E1877" s="54"/>
      <c r="F1877" s="9"/>
      <c r="G1877" s="49">
        <f t="shared" ref="G1877:AB1877" si="500">G1876*2</f>
        <v>0</v>
      </c>
      <c r="H1877" s="49">
        <f t="shared" si="500"/>
        <v>8</v>
      </c>
      <c r="I1877" s="49">
        <f t="shared" si="500"/>
        <v>16</v>
      </c>
      <c r="J1877" s="49">
        <f t="shared" si="500"/>
        <v>16</v>
      </c>
      <c r="K1877" s="49">
        <f t="shared" si="500"/>
        <v>16</v>
      </c>
      <c r="L1877" s="49">
        <f t="shared" si="500"/>
        <v>16</v>
      </c>
      <c r="M1877" s="49">
        <f t="shared" si="500"/>
        <v>8</v>
      </c>
      <c r="N1877" s="49">
        <f t="shared" si="500"/>
        <v>8</v>
      </c>
      <c r="O1877" s="49">
        <f t="shared" si="500"/>
        <v>8</v>
      </c>
      <c r="P1877" s="49">
        <f t="shared" si="500"/>
        <v>8</v>
      </c>
      <c r="Q1877" s="49">
        <f t="shared" si="500"/>
        <v>8</v>
      </c>
      <c r="R1877" s="49">
        <f t="shared" si="500"/>
        <v>0</v>
      </c>
      <c r="S1877" s="49">
        <f t="shared" si="500"/>
        <v>0</v>
      </c>
      <c r="T1877" s="49">
        <f t="shared" si="500"/>
        <v>16</v>
      </c>
      <c r="U1877" s="49">
        <f t="shared" si="500"/>
        <v>8</v>
      </c>
      <c r="V1877" s="49">
        <f t="shared" si="500"/>
        <v>8</v>
      </c>
      <c r="W1877" s="49">
        <f t="shared" si="500"/>
        <v>16</v>
      </c>
      <c r="X1877" s="49">
        <f t="shared" si="500"/>
        <v>8</v>
      </c>
      <c r="Y1877" s="49">
        <f t="shared" si="500"/>
        <v>8</v>
      </c>
      <c r="Z1877" s="49">
        <f t="shared" si="500"/>
        <v>8</v>
      </c>
      <c r="AA1877" s="49">
        <f t="shared" si="500"/>
        <v>8</v>
      </c>
      <c r="AB1877" s="49">
        <f t="shared" si="500"/>
        <v>0</v>
      </c>
      <c r="AC1877" s="9">
        <v>0</v>
      </c>
      <c r="AD1877" s="53" t="e">
        <f>#REF!*D1877</f>
        <v>#REF!</v>
      </c>
      <c r="AE1877" s="53" t="e">
        <f>AD1877-#REF!</f>
        <v>#REF!</v>
      </c>
      <c r="AF1877" s="8"/>
      <c r="AG1877" s="33" t="e">
        <f>#REF!-D1877</f>
        <v>#REF!</v>
      </c>
      <c r="AH1877" s="8"/>
      <c r="AI1877" s="8"/>
    </row>
    <row r="1878" spans="1:35" s="17" customFormat="1" ht="10.199999999999999" outlineLevel="1" x14ac:dyDescent="0.2">
      <c r="A1878" s="62" t="s">
        <v>2235</v>
      </c>
      <c r="B1878" s="11" t="s">
        <v>107</v>
      </c>
      <c r="C1878" s="8" t="s">
        <v>47</v>
      </c>
      <c r="D1878" s="25">
        <f t="shared" si="492"/>
        <v>96</v>
      </c>
      <c r="E1878" s="54"/>
      <c r="F1878" s="9"/>
      <c r="G1878" s="49">
        <f t="shared" ref="G1878:AB1878" si="501">G1877*0.5</f>
        <v>0</v>
      </c>
      <c r="H1878" s="49">
        <f t="shared" si="501"/>
        <v>4</v>
      </c>
      <c r="I1878" s="49">
        <f t="shared" si="501"/>
        <v>8</v>
      </c>
      <c r="J1878" s="49">
        <f t="shared" si="501"/>
        <v>8</v>
      </c>
      <c r="K1878" s="49">
        <f t="shared" si="501"/>
        <v>8</v>
      </c>
      <c r="L1878" s="49">
        <f t="shared" si="501"/>
        <v>8</v>
      </c>
      <c r="M1878" s="49">
        <f t="shared" si="501"/>
        <v>4</v>
      </c>
      <c r="N1878" s="49">
        <f t="shared" si="501"/>
        <v>4</v>
      </c>
      <c r="O1878" s="49">
        <f t="shared" si="501"/>
        <v>4</v>
      </c>
      <c r="P1878" s="49">
        <f t="shared" si="501"/>
        <v>4</v>
      </c>
      <c r="Q1878" s="49">
        <f t="shared" si="501"/>
        <v>4</v>
      </c>
      <c r="R1878" s="49">
        <f t="shared" si="501"/>
        <v>0</v>
      </c>
      <c r="S1878" s="49">
        <f t="shared" si="501"/>
        <v>0</v>
      </c>
      <c r="T1878" s="49">
        <f t="shared" si="501"/>
        <v>8</v>
      </c>
      <c r="U1878" s="49">
        <f t="shared" si="501"/>
        <v>4</v>
      </c>
      <c r="V1878" s="49">
        <f t="shared" si="501"/>
        <v>4</v>
      </c>
      <c r="W1878" s="49">
        <f t="shared" si="501"/>
        <v>8</v>
      </c>
      <c r="X1878" s="49">
        <f t="shared" si="501"/>
        <v>4</v>
      </c>
      <c r="Y1878" s="49">
        <f t="shared" si="501"/>
        <v>4</v>
      </c>
      <c r="Z1878" s="49">
        <f t="shared" si="501"/>
        <v>4</v>
      </c>
      <c r="AA1878" s="49">
        <f t="shared" si="501"/>
        <v>4</v>
      </c>
      <c r="AB1878" s="49">
        <f t="shared" si="501"/>
        <v>0</v>
      </c>
      <c r="AC1878" s="9">
        <v>0</v>
      </c>
      <c r="AD1878" s="53" t="e">
        <f>#REF!*D1878</f>
        <v>#REF!</v>
      </c>
      <c r="AE1878" s="53" t="e">
        <f>AD1878-#REF!</f>
        <v>#REF!</v>
      </c>
      <c r="AF1878" s="8"/>
      <c r="AG1878" s="33" t="e">
        <f>#REF!-D1878</f>
        <v>#REF!</v>
      </c>
      <c r="AH1878" s="8"/>
      <c r="AI1878" s="8"/>
    </row>
    <row r="1879" spans="1:35" s="17" customFormat="1" ht="10.199999999999999" outlineLevel="1" x14ac:dyDescent="0.2">
      <c r="A1879" s="62" t="s">
        <v>2236</v>
      </c>
      <c r="B1879" s="11" t="s">
        <v>109</v>
      </c>
      <c r="C1879" s="8" t="s">
        <v>47</v>
      </c>
      <c r="D1879" s="25">
        <f t="shared" si="492"/>
        <v>192</v>
      </c>
      <c r="E1879" s="54"/>
      <c r="F1879" s="9"/>
      <c r="G1879" s="49">
        <f t="shared" ref="G1879:AB1879" si="502">G1878*2</f>
        <v>0</v>
      </c>
      <c r="H1879" s="49">
        <f t="shared" si="502"/>
        <v>8</v>
      </c>
      <c r="I1879" s="49">
        <f t="shared" si="502"/>
        <v>16</v>
      </c>
      <c r="J1879" s="49">
        <f t="shared" si="502"/>
        <v>16</v>
      </c>
      <c r="K1879" s="49">
        <f t="shared" si="502"/>
        <v>16</v>
      </c>
      <c r="L1879" s="49">
        <f t="shared" si="502"/>
        <v>16</v>
      </c>
      <c r="M1879" s="49">
        <f t="shared" si="502"/>
        <v>8</v>
      </c>
      <c r="N1879" s="49">
        <f t="shared" si="502"/>
        <v>8</v>
      </c>
      <c r="O1879" s="49">
        <f t="shared" si="502"/>
        <v>8</v>
      </c>
      <c r="P1879" s="49">
        <f t="shared" si="502"/>
        <v>8</v>
      </c>
      <c r="Q1879" s="49">
        <f t="shared" si="502"/>
        <v>8</v>
      </c>
      <c r="R1879" s="49">
        <f t="shared" si="502"/>
        <v>0</v>
      </c>
      <c r="S1879" s="49">
        <f t="shared" si="502"/>
        <v>0</v>
      </c>
      <c r="T1879" s="49">
        <f t="shared" si="502"/>
        <v>16</v>
      </c>
      <c r="U1879" s="49">
        <f t="shared" si="502"/>
        <v>8</v>
      </c>
      <c r="V1879" s="49">
        <f t="shared" si="502"/>
        <v>8</v>
      </c>
      <c r="W1879" s="49">
        <f t="shared" si="502"/>
        <v>16</v>
      </c>
      <c r="X1879" s="49">
        <f t="shared" si="502"/>
        <v>8</v>
      </c>
      <c r="Y1879" s="49">
        <f t="shared" si="502"/>
        <v>8</v>
      </c>
      <c r="Z1879" s="49">
        <f t="shared" si="502"/>
        <v>8</v>
      </c>
      <c r="AA1879" s="49">
        <f t="shared" si="502"/>
        <v>8</v>
      </c>
      <c r="AB1879" s="49">
        <f t="shared" si="502"/>
        <v>0</v>
      </c>
      <c r="AC1879" s="9">
        <v>0</v>
      </c>
      <c r="AD1879" s="53" t="e">
        <f>#REF!*D1879</f>
        <v>#REF!</v>
      </c>
      <c r="AE1879" s="53" t="e">
        <f>AD1879-#REF!</f>
        <v>#REF!</v>
      </c>
      <c r="AF1879" s="8"/>
      <c r="AG1879" s="33" t="e">
        <f>#REF!-D1879</f>
        <v>#REF!</v>
      </c>
      <c r="AH1879" s="8"/>
      <c r="AI1879" s="8"/>
    </row>
    <row r="1880" spans="1:35" s="17" customFormat="1" ht="10.199999999999999" outlineLevel="1" x14ac:dyDescent="0.2">
      <c r="A1880" s="62" t="s">
        <v>2237</v>
      </c>
      <c r="B1880" s="11" t="s">
        <v>327</v>
      </c>
      <c r="C1880" s="8" t="s">
        <v>1</v>
      </c>
      <c r="D1880" s="25">
        <f t="shared" si="492"/>
        <v>72</v>
      </c>
      <c r="E1880" s="54"/>
      <c r="F1880" s="9"/>
      <c r="G1880" s="49">
        <f t="shared" ref="G1880:AB1880" si="503">G1878*0.75</f>
        <v>0</v>
      </c>
      <c r="H1880" s="49">
        <f t="shared" si="503"/>
        <v>3</v>
      </c>
      <c r="I1880" s="49">
        <f t="shared" si="503"/>
        <v>6</v>
      </c>
      <c r="J1880" s="49">
        <f t="shared" si="503"/>
        <v>6</v>
      </c>
      <c r="K1880" s="49">
        <f t="shared" si="503"/>
        <v>6</v>
      </c>
      <c r="L1880" s="49">
        <f t="shared" si="503"/>
        <v>6</v>
      </c>
      <c r="M1880" s="49">
        <f t="shared" si="503"/>
        <v>3</v>
      </c>
      <c r="N1880" s="49">
        <f t="shared" si="503"/>
        <v>3</v>
      </c>
      <c r="O1880" s="49">
        <f t="shared" si="503"/>
        <v>3</v>
      </c>
      <c r="P1880" s="49">
        <f t="shared" si="503"/>
        <v>3</v>
      </c>
      <c r="Q1880" s="49">
        <f t="shared" si="503"/>
        <v>3</v>
      </c>
      <c r="R1880" s="49">
        <f t="shared" si="503"/>
        <v>0</v>
      </c>
      <c r="S1880" s="49">
        <f t="shared" si="503"/>
        <v>0</v>
      </c>
      <c r="T1880" s="49">
        <f t="shared" si="503"/>
        <v>6</v>
      </c>
      <c r="U1880" s="49">
        <f t="shared" si="503"/>
        <v>3</v>
      </c>
      <c r="V1880" s="49">
        <f t="shared" si="503"/>
        <v>3</v>
      </c>
      <c r="W1880" s="49">
        <f t="shared" si="503"/>
        <v>6</v>
      </c>
      <c r="X1880" s="49">
        <f t="shared" si="503"/>
        <v>3</v>
      </c>
      <c r="Y1880" s="49">
        <f t="shared" si="503"/>
        <v>3</v>
      </c>
      <c r="Z1880" s="49">
        <f t="shared" si="503"/>
        <v>3</v>
      </c>
      <c r="AA1880" s="49">
        <f t="shared" si="503"/>
        <v>3</v>
      </c>
      <c r="AB1880" s="49">
        <f t="shared" si="503"/>
        <v>0</v>
      </c>
      <c r="AC1880" s="9">
        <v>0</v>
      </c>
      <c r="AD1880" s="53" t="e">
        <f>#REF!*D1880</f>
        <v>#REF!</v>
      </c>
      <c r="AE1880" s="53" t="e">
        <f>AD1880-#REF!</f>
        <v>#REF!</v>
      </c>
      <c r="AF1880" s="8"/>
      <c r="AG1880" s="33" t="e">
        <f>#REF!-D1880</f>
        <v>#REF!</v>
      </c>
      <c r="AH1880" s="8"/>
      <c r="AI1880" s="8"/>
    </row>
    <row r="1881" spans="1:35" s="17" customFormat="1" ht="10.199999999999999" outlineLevel="1" x14ac:dyDescent="0.2">
      <c r="A1881" s="62" t="s">
        <v>2238</v>
      </c>
      <c r="B1881" s="11" t="s">
        <v>142</v>
      </c>
      <c r="C1881" s="8" t="s">
        <v>55</v>
      </c>
      <c r="D1881" s="25">
        <f t="shared" si="492"/>
        <v>31</v>
      </c>
      <c r="E1881" s="54"/>
      <c r="F1881" s="9"/>
      <c r="G1881" s="9">
        <v>19</v>
      </c>
      <c r="H1881" s="9">
        <v>0</v>
      </c>
      <c r="I1881" s="9">
        <v>0</v>
      </c>
      <c r="J1881" s="9">
        <v>0</v>
      </c>
      <c r="K1881" s="9">
        <v>0</v>
      </c>
      <c r="L1881" s="9">
        <v>0</v>
      </c>
      <c r="M1881" s="9">
        <v>0</v>
      </c>
      <c r="N1881" s="9">
        <v>0</v>
      </c>
      <c r="O1881" s="9">
        <v>0</v>
      </c>
      <c r="P1881" s="9">
        <v>0</v>
      </c>
      <c r="Q1881" s="9">
        <v>0</v>
      </c>
      <c r="R1881" s="9">
        <v>0</v>
      </c>
      <c r="S1881" s="9">
        <v>0</v>
      </c>
      <c r="T1881" s="9">
        <v>0</v>
      </c>
      <c r="U1881" s="9">
        <v>12</v>
      </c>
      <c r="V1881" s="9">
        <v>0</v>
      </c>
      <c r="W1881" s="9">
        <v>0</v>
      </c>
      <c r="X1881" s="9">
        <v>0</v>
      </c>
      <c r="Y1881" s="9">
        <v>0</v>
      </c>
      <c r="Z1881" s="9">
        <v>0</v>
      </c>
      <c r="AA1881" s="9">
        <v>0</v>
      </c>
      <c r="AB1881" s="9">
        <v>0</v>
      </c>
      <c r="AC1881" s="9">
        <v>0</v>
      </c>
      <c r="AD1881" s="53" t="e">
        <f>#REF!*D1881</f>
        <v>#REF!</v>
      </c>
      <c r="AE1881" s="53" t="e">
        <f>AD1881-#REF!</f>
        <v>#REF!</v>
      </c>
      <c r="AF1881" s="8"/>
      <c r="AG1881" s="33" t="e">
        <f>#REF!-D1881</f>
        <v>#REF!</v>
      </c>
      <c r="AH1881" s="8"/>
      <c r="AI1881" s="8"/>
    </row>
    <row r="1882" spans="1:35" s="17" customFormat="1" ht="12" customHeight="1" outlineLevel="1" x14ac:dyDescent="0.2">
      <c r="A1882" s="62" t="s">
        <v>2239</v>
      </c>
      <c r="B1882" s="11" t="s">
        <v>2</v>
      </c>
      <c r="C1882" s="8" t="s">
        <v>3</v>
      </c>
      <c r="D1882" s="25">
        <f t="shared" si="492"/>
        <v>29</v>
      </c>
      <c r="E1882" s="54"/>
      <c r="F1882" s="9"/>
      <c r="G1882" s="49">
        <f t="shared" ref="G1882:AB1882" si="504">MROUND(SUM(G1764:G1770)*6*0.35/13/3.6,1)</f>
        <v>0</v>
      </c>
      <c r="H1882" s="49">
        <f t="shared" si="504"/>
        <v>3</v>
      </c>
      <c r="I1882" s="49">
        <f t="shared" si="504"/>
        <v>3</v>
      </c>
      <c r="J1882" s="49">
        <f t="shared" si="504"/>
        <v>2</v>
      </c>
      <c r="K1882" s="49">
        <f t="shared" si="504"/>
        <v>2</v>
      </c>
      <c r="L1882" s="49">
        <f t="shared" si="504"/>
        <v>1</v>
      </c>
      <c r="M1882" s="49">
        <f t="shared" si="504"/>
        <v>2</v>
      </c>
      <c r="N1882" s="49">
        <f t="shared" si="504"/>
        <v>2</v>
      </c>
      <c r="O1882" s="49">
        <f t="shared" si="504"/>
        <v>2</v>
      </c>
      <c r="P1882" s="49">
        <f t="shared" si="504"/>
        <v>2</v>
      </c>
      <c r="Q1882" s="49">
        <f t="shared" si="504"/>
        <v>1</v>
      </c>
      <c r="R1882" s="49">
        <f t="shared" si="504"/>
        <v>1</v>
      </c>
      <c r="S1882" s="49">
        <f t="shared" si="504"/>
        <v>0</v>
      </c>
      <c r="T1882" s="49">
        <f t="shared" si="504"/>
        <v>0</v>
      </c>
      <c r="U1882" s="49">
        <f t="shared" si="504"/>
        <v>1</v>
      </c>
      <c r="V1882" s="49">
        <f t="shared" si="504"/>
        <v>1</v>
      </c>
      <c r="W1882" s="49">
        <f t="shared" si="504"/>
        <v>1</v>
      </c>
      <c r="X1882" s="49">
        <f t="shared" si="504"/>
        <v>1</v>
      </c>
      <c r="Y1882" s="49">
        <f t="shared" si="504"/>
        <v>1</v>
      </c>
      <c r="Z1882" s="49">
        <f t="shared" si="504"/>
        <v>1</v>
      </c>
      <c r="AA1882" s="49">
        <f t="shared" si="504"/>
        <v>1</v>
      </c>
      <c r="AB1882" s="49">
        <f t="shared" si="504"/>
        <v>1</v>
      </c>
      <c r="AC1882" s="9">
        <v>0</v>
      </c>
      <c r="AD1882" s="53" t="e">
        <f>#REF!*D1882</f>
        <v>#REF!</v>
      </c>
      <c r="AE1882" s="53" t="e">
        <f>AD1882-#REF!</f>
        <v>#REF!</v>
      </c>
      <c r="AF1882" s="8"/>
      <c r="AG1882" s="33" t="e">
        <f>#REF!-D1882</f>
        <v>#REF!</v>
      </c>
      <c r="AH1882" s="8"/>
      <c r="AI1882" s="8"/>
    </row>
    <row r="1883" spans="1:35" s="17" customFormat="1" ht="12" customHeight="1" outlineLevel="1" x14ac:dyDescent="0.2">
      <c r="A1883" s="62" t="s">
        <v>2240</v>
      </c>
      <c r="B1883" s="11" t="s">
        <v>4</v>
      </c>
      <c r="C1883" s="8" t="s">
        <v>3</v>
      </c>
      <c r="D1883" s="25">
        <f t="shared" si="492"/>
        <v>29</v>
      </c>
      <c r="E1883" s="54"/>
      <c r="F1883" s="9"/>
      <c r="G1883" s="49">
        <f t="shared" ref="G1883:AB1883" si="505">G1882</f>
        <v>0</v>
      </c>
      <c r="H1883" s="49">
        <f t="shared" si="505"/>
        <v>3</v>
      </c>
      <c r="I1883" s="49">
        <f t="shared" si="505"/>
        <v>3</v>
      </c>
      <c r="J1883" s="49">
        <f t="shared" si="505"/>
        <v>2</v>
      </c>
      <c r="K1883" s="49">
        <f t="shared" si="505"/>
        <v>2</v>
      </c>
      <c r="L1883" s="49">
        <f t="shared" si="505"/>
        <v>1</v>
      </c>
      <c r="M1883" s="49">
        <f t="shared" si="505"/>
        <v>2</v>
      </c>
      <c r="N1883" s="49">
        <f t="shared" si="505"/>
        <v>2</v>
      </c>
      <c r="O1883" s="49">
        <f t="shared" si="505"/>
        <v>2</v>
      </c>
      <c r="P1883" s="49">
        <f t="shared" si="505"/>
        <v>2</v>
      </c>
      <c r="Q1883" s="49">
        <f t="shared" si="505"/>
        <v>1</v>
      </c>
      <c r="R1883" s="49">
        <f t="shared" si="505"/>
        <v>1</v>
      </c>
      <c r="S1883" s="49">
        <f t="shared" si="505"/>
        <v>0</v>
      </c>
      <c r="T1883" s="49">
        <f t="shared" si="505"/>
        <v>0</v>
      </c>
      <c r="U1883" s="49">
        <f t="shared" si="505"/>
        <v>1</v>
      </c>
      <c r="V1883" s="49">
        <f t="shared" si="505"/>
        <v>1</v>
      </c>
      <c r="W1883" s="49">
        <f t="shared" si="505"/>
        <v>1</v>
      </c>
      <c r="X1883" s="49">
        <f t="shared" si="505"/>
        <v>1</v>
      </c>
      <c r="Y1883" s="49">
        <f t="shared" si="505"/>
        <v>1</v>
      </c>
      <c r="Z1883" s="49">
        <f t="shared" si="505"/>
        <v>1</v>
      </c>
      <c r="AA1883" s="49">
        <f t="shared" si="505"/>
        <v>1</v>
      </c>
      <c r="AB1883" s="49">
        <f t="shared" si="505"/>
        <v>1</v>
      </c>
      <c r="AC1883" s="9">
        <v>0</v>
      </c>
      <c r="AD1883" s="53" t="e">
        <f>#REF!*D1883</f>
        <v>#REF!</v>
      </c>
      <c r="AE1883" s="53" t="e">
        <f>AD1883-#REF!</f>
        <v>#REF!</v>
      </c>
      <c r="AF1883" s="8"/>
      <c r="AG1883" s="33" t="e">
        <f>#REF!-D1883</f>
        <v>#REF!</v>
      </c>
      <c r="AH1883" s="8"/>
      <c r="AI1883" s="8"/>
    </row>
    <row r="1884" spans="1:35" s="17" customFormat="1" ht="12" customHeight="1" outlineLevel="1" x14ac:dyDescent="0.2">
      <c r="A1884" s="62" t="s">
        <v>2241</v>
      </c>
      <c r="B1884" s="11" t="s">
        <v>5</v>
      </c>
      <c r="C1884" s="8" t="s">
        <v>3</v>
      </c>
      <c r="D1884" s="25">
        <f t="shared" si="492"/>
        <v>14.5</v>
      </c>
      <c r="E1884" s="54"/>
      <c r="F1884" s="9"/>
      <c r="G1884" s="49">
        <f t="shared" ref="G1884:AB1884" si="506">G1883/2</f>
        <v>0</v>
      </c>
      <c r="H1884" s="49">
        <f t="shared" si="506"/>
        <v>1.5</v>
      </c>
      <c r="I1884" s="49">
        <f t="shared" si="506"/>
        <v>1.5</v>
      </c>
      <c r="J1884" s="49">
        <f t="shared" si="506"/>
        <v>1</v>
      </c>
      <c r="K1884" s="49">
        <f t="shared" si="506"/>
        <v>1</v>
      </c>
      <c r="L1884" s="49">
        <f t="shared" si="506"/>
        <v>0.5</v>
      </c>
      <c r="M1884" s="49">
        <f t="shared" si="506"/>
        <v>1</v>
      </c>
      <c r="N1884" s="49">
        <f t="shared" si="506"/>
        <v>1</v>
      </c>
      <c r="O1884" s="49">
        <f t="shared" si="506"/>
        <v>1</v>
      </c>
      <c r="P1884" s="49">
        <f t="shared" si="506"/>
        <v>1</v>
      </c>
      <c r="Q1884" s="49">
        <f t="shared" si="506"/>
        <v>0.5</v>
      </c>
      <c r="R1884" s="49">
        <f t="shared" si="506"/>
        <v>0.5</v>
      </c>
      <c r="S1884" s="49">
        <f t="shared" si="506"/>
        <v>0</v>
      </c>
      <c r="T1884" s="49">
        <f t="shared" si="506"/>
        <v>0</v>
      </c>
      <c r="U1884" s="49">
        <f t="shared" si="506"/>
        <v>0.5</v>
      </c>
      <c r="V1884" s="49">
        <f t="shared" si="506"/>
        <v>0.5</v>
      </c>
      <c r="W1884" s="49">
        <f t="shared" si="506"/>
        <v>0.5</v>
      </c>
      <c r="X1884" s="49">
        <f t="shared" si="506"/>
        <v>0.5</v>
      </c>
      <c r="Y1884" s="49">
        <f t="shared" si="506"/>
        <v>0.5</v>
      </c>
      <c r="Z1884" s="49">
        <f t="shared" si="506"/>
        <v>0.5</v>
      </c>
      <c r="AA1884" s="49">
        <f t="shared" si="506"/>
        <v>0.5</v>
      </c>
      <c r="AB1884" s="49">
        <f t="shared" si="506"/>
        <v>0.5</v>
      </c>
      <c r="AC1884" s="9">
        <v>0</v>
      </c>
      <c r="AD1884" s="53" t="e">
        <f>#REF!*D1884</f>
        <v>#REF!</v>
      </c>
      <c r="AE1884" s="53" t="e">
        <f>AD1884-#REF!</f>
        <v>#REF!</v>
      </c>
      <c r="AF1884" s="8"/>
      <c r="AG1884" s="33" t="e">
        <f>#REF!-D1884</f>
        <v>#REF!</v>
      </c>
      <c r="AH1884" s="8"/>
      <c r="AI1884" s="8"/>
    </row>
    <row r="1885" spans="1:35" s="17" customFormat="1" ht="20.399999999999999" outlineLevel="1" x14ac:dyDescent="0.2">
      <c r="A1885" s="62" t="s">
        <v>2242</v>
      </c>
      <c r="B1885" s="14" t="s">
        <v>69</v>
      </c>
      <c r="C1885" s="8" t="s">
        <v>47</v>
      </c>
      <c r="D1885" s="25">
        <f t="shared" si="492"/>
        <v>1960</v>
      </c>
      <c r="E1885" s="54"/>
      <c r="F1885" s="9"/>
      <c r="G1885" s="9">
        <v>0</v>
      </c>
      <c r="H1885" s="9">
        <f>140-50</f>
        <v>90</v>
      </c>
      <c r="I1885" s="9">
        <f>270-85</f>
        <v>185</v>
      </c>
      <c r="J1885" s="9">
        <v>120</v>
      </c>
      <c r="K1885" s="9">
        <f>270-115</f>
        <v>155</v>
      </c>
      <c r="L1885" s="9">
        <f>250-95</f>
        <v>155</v>
      </c>
      <c r="M1885" s="9">
        <v>115</v>
      </c>
      <c r="N1885" s="9">
        <v>115</v>
      </c>
      <c r="O1885" s="9">
        <v>115</v>
      </c>
      <c r="P1885" s="9">
        <v>115</v>
      </c>
      <c r="Q1885" s="9">
        <v>120</v>
      </c>
      <c r="R1885" s="9">
        <v>50</v>
      </c>
      <c r="S1885" s="9">
        <v>0</v>
      </c>
      <c r="T1885" s="9">
        <v>0</v>
      </c>
      <c r="U1885" s="9">
        <v>115</v>
      </c>
      <c r="V1885" s="9">
        <v>85</v>
      </c>
      <c r="W1885" s="9">
        <v>110</v>
      </c>
      <c r="X1885" s="9">
        <v>55</v>
      </c>
      <c r="Y1885" s="9">
        <v>95</v>
      </c>
      <c r="Z1885" s="9">
        <v>65</v>
      </c>
      <c r="AA1885" s="9">
        <v>85</v>
      </c>
      <c r="AB1885" s="9">
        <v>15</v>
      </c>
      <c r="AC1885" s="9">
        <v>0</v>
      </c>
      <c r="AD1885" s="53" t="e">
        <f>#REF!*D1885</f>
        <v>#REF!</v>
      </c>
      <c r="AE1885" s="53" t="e">
        <f>AD1885-#REF!</f>
        <v>#REF!</v>
      </c>
      <c r="AF1885" s="8"/>
      <c r="AG1885" s="33" t="e">
        <f>#REF!-D1885</f>
        <v>#REF!</v>
      </c>
      <c r="AH1885" s="8"/>
      <c r="AI1885" s="8"/>
    </row>
    <row r="1886" spans="1:35" s="17" customFormat="1" ht="20.399999999999999" outlineLevel="1" x14ac:dyDescent="0.2">
      <c r="A1886" s="62" t="s">
        <v>2243</v>
      </c>
      <c r="B1886" s="14" t="s">
        <v>111</v>
      </c>
      <c r="C1886" s="8" t="s">
        <v>48</v>
      </c>
      <c r="D1886" s="25">
        <f t="shared" si="492"/>
        <v>1374</v>
      </c>
      <c r="E1886" s="54"/>
      <c r="F1886" s="9"/>
      <c r="G1886" s="49">
        <f t="shared" ref="G1886:T1886" si="507">G1885*0.7</f>
        <v>0</v>
      </c>
      <c r="H1886" s="49">
        <f t="shared" si="507"/>
        <v>62.999999999999993</v>
      </c>
      <c r="I1886" s="49">
        <f t="shared" si="507"/>
        <v>129.5</v>
      </c>
      <c r="J1886" s="49">
        <f t="shared" si="507"/>
        <v>84</v>
      </c>
      <c r="K1886" s="49">
        <f t="shared" si="507"/>
        <v>108.5</v>
      </c>
      <c r="L1886" s="49">
        <f t="shared" si="507"/>
        <v>108.5</v>
      </c>
      <c r="M1886" s="49">
        <f t="shared" si="507"/>
        <v>80.5</v>
      </c>
      <c r="N1886" s="49">
        <f t="shared" si="507"/>
        <v>80.5</v>
      </c>
      <c r="O1886" s="49">
        <f t="shared" si="507"/>
        <v>80.5</v>
      </c>
      <c r="P1886" s="49">
        <f t="shared" si="507"/>
        <v>80.5</v>
      </c>
      <c r="Q1886" s="49">
        <f t="shared" si="507"/>
        <v>84</v>
      </c>
      <c r="R1886" s="49">
        <f t="shared" si="507"/>
        <v>35</v>
      </c>
      <c r="S1886" s="49">
        <f t="shared" si="507"/>
        <v>0</v>
      </c>
      <c r="T1886" s="49">
        <f t="shared" si="507"/>
        <v>0</v>
      </c>
      <c r="U1886" s="49">
        <f t="shared" ref="U1886:AA1886" si="508">MROUND(U1885*0.7,3)</f>
        <v>81</v>
      </c>
      <c r="V1886" s="49">
        <f t="shared" si="508"/>
        <v>60</v>
      </c>
      <c r="W1886" s="49">
        <f t="shared" si="508"/>
        <v>78</v>
      </c>
      <c r="X1886" s="49">
        <f t="shared" si="508"/>
        <v>39</v>
      </c>
      <c r="Y1886" s="49">
        <f t="shared" si="508"/>
        <v>66</v>
      </c>
      <c r="Z1886" s="49">
        <f t="shared" si="508"/>
        <v>45</v>
      </c>
      <c r="AA1886" s="49">
        <f t="shared" si="508"/>
        <v>60</v>
      </c>
      <c r="AB1886" s="49">
        <f>AB1885*0.7</f>
        <v>10.5</v>
      </c>
      <c r="AC1886" s="49">
        <f>AC1885*0.7</f>
        <v>0</v>
      </c>
      <c r="AD1886" s="53" t="e">
        <f>#REF!*D1886</f>
        <v>#REF!</v>
      </c>
      <c r="AE1886" s="53" t="e">
        <f>AD1886-#REF!</f>
        <v>#REF!</v>
      </c>
      <c r="AF1886" s="8"/>
      <c r="AG1886" s="33" t="e">
        <f>#REF!-D1886</f>
        <v>#REF!</v>
      </c>
      <c r="AH1886" s="8"/>
      <c r="AI1886" s="8"/>
    </row>
    <row r="1887" spans="1:35" s="17" customFormat="1" ht="20.399999999999999" outlineLevel="1" x14ac:dyDescent="0.2">
      <c r="A1887" s="62" t="s">
        <v>2244</v>
      </c>
      <c r="B1887" s="14" t="s">
        <v>112</v>
      </c>
      <c r="C1887" s="8" t="s">
        <v>47</v>
      </c>
      <c r="D1887" s="25">
        <f t="shared" si="492"/>
        <v>3920</v>
      </c>
      <c r="E1887" s="54"/>
      <c r="F1887" s="9"/>
      <c r="G1887" s="49">
        <f t="shared" ref="G1887:AC1887" si="509">G1885*2</f>
        <v>0</v>
      </c>
      <c r="H1887" s="49">
        <f t="shared" si="509"/>
        <v>180</v>
      </c>
      <c r="I1887" s="49">
        <f t="shared" si="509"/>
        <v>370</v>
      </c>
      <c r="J1887" s="49">
        <f t="shared" si="509"/>
        <v>240</v>
      </c>
      <c r="K1887" s="49">
        <f t="shared" si="509"/>
        <v>310</v>
      </c>
      <c r="L1887" s="49">
        <f t="shared" si="509"/>
        <v>310</v>
      </c>
      <c r="M1887" s="49">
        <f t="shared" si="509"/>
        <v>230</v>
      </c>
      <c r="N1887" s="49">
        <f t="shared" si="509"/>
        <v>230</v>
      </c>
      <c r="O1887" s="49">
        <f t="shared" si="509"/>
        <v>230</v>
      </c>
      <c r="P1887" s="49">
        <f t="shared" si="509"/>
        <v>230</v>
      </c>
      <c r="Q1887" s="49">
        <f t="shared" si="509"/>
        <v>240</v>
      </c>
      <c r="R1887" s="49">
        <f t="shared" si="509"/>
        <v>100</v>
      </c>
      <c r="S1887" s="49">
        <f t="shared" si="509"/>
        <v>0</v>
      </c>
      <c r="T1887" s="49">
        <f t="shared" si="509"/>
        <v>0</v>
      </c>
      <c r="U1887" s="49">
        <f t="shared" si="509"/>
        <v>230</v>
      </c>
      <c r="V1887" s="49">
        <f t="shared" si="509"/>
        <v>170</v>
      </c>
      <c r="W1887" s="49">
        <f t="shared" si="509"/>
        <v>220</v>
      </c>
      <c r="X1887" s="49">
        <f t="shared" si="509"/>
        <v>110</v>
      </c>
      <c r="Y1887" s="49">
        <f t="shared" si="509"/>
        <v>190</v>
      </c>
      <c r="Z1887" s="49">
        <f t="shared" si="509"/>
        <v>130</v>
      </c>
      <c r="AA1887" s="49">
        <f t="shared" si="509"/>
        <v>170</v>
      </c>
      <c r="AB1887" s="49">
        <f t="shared" si="509"/>
        <v>30</v>
      </c>
      <c r="AC1887" s="49">
        <f t="shared" si="509"/>
        <v>0</v>
      </c>
      <c r="AD1887" s="53" t="e">
        <f>#REF!*D1887</f>
        <v>#REF!</v>
      </c>
      <c r="AE1887" s="53" t="e">
        <f>AD1887-#REF!</f>
        <v>#REF!</v>
      </c>
      <c r="AF1887" s="8"/>
      <c r="AG1887" s="33" t="e">
        <f>#REF!-D1887</f>
        <v>#REF!</v>
      </c>
      <c r="AH1887" s="8"/>
      <c r="AI1887" s="8"/>
    </row>
    <row r="1888" spans="1:35" s="17" customFormat="1" ht="20.399999999999999" outlineLevel="1" x14ac:dyDescent="0.2">
      <c r="A1888" s="62" t="s">
        <v>2245</v>
      </c>
      <c r="B1888" s="14" t="s">
        <v>1032</v>
      </c>
      <c r="C1888" s="8" t="s">
        <v>47</v>
      </c>
      <c r="D1888" s="25">
        <f t="shared" si="492"/>
        <v>1960</v>
      </c>
      <c r="E1888" s="54"/>
      <c r="F1888" s="9"/>
      <c r="G1888" s="49">
        <f t="shared" ref="G1888:AC1888" si="510">G1885</f>
        <v>0</v>
      </c>
      <c r="H1888" s="49">
        <f t="shared" si="510"/>
        <v>90</v>
      </c>
      <c r="I1888" s="49">
        <f t="shared" si="510"/>
        <v>185</v>
      </c>
      <c r="J1888" s="49">
        <f t="shared" si="510"/>
        <v>120</v>
      </c>
      <c r="K1888" s="49">
        <f t="shared" si="510"/>
        <v>155</v>
      </c>
      <c r="L1888" s="49">
        <f t="shared" si="510"/>
        <v>155</v>
      </c>
      <c r="M1888" s="49">
        <f t="shared" si="510"/>
        <v>115</v>
      </c>
      <c r="N1888" s="49">
        <f t="shared" si="510"/>
        <v>115</v>
      </c>
      <c r="O1888" s="49">
        <f t="shared" si="510"/>
        <v>115</v>
      </c>
      <c r="P1888" s="49">
        <f t="shared" si="510"/>
        <v>115</v>
      </c>
      <c r="Q1888" s="49">
        <f t="shared" si="510"/>
        <v>120</v>
      </c>
      <c r="R1888" s="49">
        <f t="shared" si="510"/>
        <v>50</v>
      </c>
      <c r="S1888" s="49">
        <f t="shared" si="510"/>
        <v>0</v>
      </c>
      <c r="T1888" s="49">
        <f t="shared" si="510"/>
        <v>0</v>
      </c>
      <c r="U1888" s="49">
        <f t="shared" si="510"/>
        <v>115</v>
      </c>
      <c r="V1888" s="49">
        <f t="shared" si="510"/>
        <v>85</v>
      </c>
      <c r="W1888" s="49">
        <f t="shared" si="510"/>
        <v>110</v>
      </c>
      <c r="X1888" s="49">
        <f t="shared" si="510"/>
        <v>55</v>
      </c>
      <c r="Y1888" s="49">
        <f t="shared" si="510"/>
        <v>95</v>
      </c>
      <c r="Z1888" s="49">
        <f t="shared" si="510"/>
        <v>65</v>
      </c>
      <c r="AA1888" s="49">
        <f t="shared" si="510"/>
        <v>85</v>
      </c>
      <c r="AB1888" s="49">
        <f t="shared" si="510"/>
        <v>15</v>
      </c>
      <c r="AC1888" s="49">
        <f t="shared" si="510"/>
        <v>0</v>
      </c>
      <c r="AD1888" s="53" t="e">
        <f>#REF!*D1888</f>
        <v>#REF!</v>
      </c>
      <c r="AE1888" s="53" t="e">
        <f>AD1888-#REF!</f>
        <v>#REF!</v>
      </c>
      <c r="AF1888" s="8"/>
      <c r="AG1888" s="33" t="e">
        <f>#REF!-D1888</f>
        <v>#REF!</v>
      </c>
      <c r="AH1888" s="8"/>
      <c r="AI1888" s="8"/>
    </row>
    <row r="1889" spans="1:37" outlineLevel="1" x14ac:dyDescent="0.25">
      <c r="AD1889" s="53" t="e">
        <f>#REF!*D1889</f>
        <v>#REF!</v>
      </c>
      <c r="AE1889" s="53" t="e">
        <f>AD1889-#REF!</f>
        <v>#REF!</v>
      </c>
      <c r="AG1889" s="33" t="e">
        <f>#REF!-D1889</f>
        <v>#REF!</v>
      </c>
    </row>
    <row r="1890" spans="1:37" x14ac:dyDescent="0.25">
      <c r="A1890" s="18" t="s">
        <v>514</v>
      </c>
      <c r="B1890" s="35" t="s">
        <v>2115</v>
      </c>
      <c r="C1890" s="18" t="s">
        <v>41</v>
      </c>
      <c r="D1890" s="52" t="e">
        <f>#REF!/#REF!*100</f>
        <v>#REF!</v>
      </c>
      <c r="G1890" s="9"/>
      <c r="H1890" s="76"/>
      <c r="I1890" s="76"/>
      <c r="N1890" s="76"/>
      <c r="U1890" s="76"/>
      <c r="V1890" s="76"/>
      <c r="AA1890" s="76"/>
      <c r="AB1890" s="214" t="s">
        <v>375</v>
      </c>
      <c r="AD1890" s="53" t="e">
        <f>#REF!*D1890</f>
        <v>#REF!</v>
      </c>
      <c r="AE1890" s="53" t="e">
        <f>AD1890-#REF!</f>
        <v>#REF!</v>
      </c>
      <c r="AG1890" s="33" t="e">
        <f>#REF!-D1890</f>
        <v>#REF!</v>
      </c>
      <c r="AJ1890" s="2"/>
      <c r="AK1890" s="2"/>
    </row>
    <row r="1891" spans="1:37" s="17" customFormat="1" ht="20.399999999999999" outlineLevel="1" x14ac:dyDescent="0.2">
      <c r="A1891" s="62" t="s">
        <v>2117</v>
      </c>
      <c r="B1891" s="80" t="s">
        <v>200</v>
      </c>
      <c r="C1891" s="9" t="s">
        <v>47</v>
      </c>
      <c r="D1891" s="25">
        <f t="shared" ref="D1891:D1908" si="511">SUM(G1891:AC1891)</f>
        <v>8</v>
      </c>
      <c r="E1891" s="54"/>
      <c r="F1891" s="9"/>
      <c r="G1891" s="9">
        <v>0</v>
      </c>
      <c r="H1891" s="9">
        <v>0</v>
      </c>
      <c r="I1891" s="9">
        <v>0</v>
      </c>
      <c r="J1891" s="9">
        <v>0</v>
      </c>
      <c r="K1891" s="9">
        <v>0</v>
      </c>
      <c r="L1891" s="9">
        <v>0</v>
      </c>
      <c r="M1891" s="9">
        <v>0</v>
      </c>
      <c r="N1891" s="9">
        <v>0</v>
      </c>
      <c r="O1891" s="9">
        <v>0</v>
      </c>
      <c r="P1891" s="9">
        <v>0</v>
      </c>
      <c r="Q1891" s="9">
        <v>0</v>
      </c>
      <c r="R1891" s="9">
        <v>0</v>
      </c>
      <c r="S1891" s="9">
        <v>0</v>
      </c>
      <c r="T1891" s="9">
        <v>0</v>
      </c>
      <c r="U1891" s="9">
        <v>1</v>
      </c>
      <c r="V1891" s="9">
        <v>1</v>
      </c>
      <c r="W1891" s="9">
        <v>1</v>
      </c>
      <c r="X1891" s="9">
        <v>1</v>
      </c>
      <c r="Y1891" s="9">
        <v>1</v>
      </c>
      <c r="Z1891" s="9">
        <v>1</v>
      </c>
      <c r="AA1891" s="9">
        <v>1</v>
      </c>
      <c r="AB1891" s="9">
        <v>1</v>
      </c>
      <c r="AC1891" s="9">
        <v>0</v>
      </c>
      <c r="AD1891" s="53" t="e">
        <f>#REF!*D1891</f>
        <v>#REF!</v>
      </c>
      <c r="AE1891" s="53" t="e">
        <f>AD1891-#REF!</f>
        <v>#REF!</v>
      </c>
      <c r="AF1891" s="8"/>
      <c r="AG1891" s="33" t="e">
        <f>#REF!-D1891</f>
        <v>#REF!</v>
      </c>
      <c r="AH1891" s="8"/>
      <c r="AI1891" s="8"/>
    </row>
    <row r="1892" spans="1:37" s="17" customFormat="1" ht="20.399999999999999" outlineLevel="1" x14ac:dyDescent="0.2">
      <c r="A1892" s="62" t="s">
        <v>2118</v>
      </c>
      <c r="B1892" s="80" t="s">
        <v>1461</v>
      </c>
      <c r="C1892" s="9" t="s">
        <v>47</v>
      </c>
      <c r="D1892" s="25">
        <f t="shared" si="511"/>
        <v>5</v>
      </c>
      <c r="E1892" s="54"/>
      <c r="F1892" s="9"/>
      <c r="G1892" s="9">
        <v>0</v>
      </c>
      <c r="H1892" s="9">
        <v>0</v>
      </c>
      <c r="I1892" s="9">
        <v>0</v>
      </c>
      <c r="J1892" s="9">
        <v>0</v>
      </c>
      <c r="K1892" s="9">
        <v>0</v>
      </c>
      <c r="L1892" s="9">
        <v>0</v>
      </c>
      <c r="M1892" s="9">
        <v>0</v>
      </c>
      <c r="N1892" s="9">
        <v>0</v>
      </c>
      <c r="O1892" s="9">
        <v>0</v>
      </c>
      <c r="P1892" s="9">
        <v>0</v>
      </c>
      <c r="Q1892" s="9">
        <v>0</v>
      </c>
      <c r="R1892" s="9">
        <v>0</v>
      </c>
      <c r="S1892" s="9">
        <v>0</v>
      </c>
      <c r="T1892" s="9">
        <v>5</v>
      </c>
      <c r="U1892" s="9">
        <v>0</v>
      </c>
      <c r="V1892" s="9">
        <v>0</v>
      </c>
      <c r="W1892" s="9">
        <v>0</v>
      </c>
      <c r="X1892" s="9">
        <v>0</v>
      </c>
      <c r="Y1892" s="9">
        <v>0</v>
      </c>
      <c r="Z1892" s="9">
        <v>0</v>
      </c>
      <c r="AA1892" s="9">
        <v>0</v>
      </c>
      <c r="AB1892" s="9">
        <v>0</v>
      </c>
      <c r="AC1892" s="9">
        <v>0</v>
      </c>
      <c r="AD1892" s="53" t="e">
        <f>#REF!*D1892</f>
        <v>#REF!</v>
      </c>
      <c r="AE1892" s="53" t="e">
        <f>AD1892-#REF!</f>
        <v>#REF!</v>
      </c>
      <c r="AF1892" s="8"/>
      <c r="AG1892" s="33" t="e">
        <f>#REF!-D1892</f>
        <v>#REF!</v>
      </c>
      <c r="AH1892" s="8"/>
      <c r="AI1892" s="8"/>
    </row>
    <row r="1893" spans="1:37" s="17" customFormat="1" ht="20.399999999999999" outlineLevel="1" x14ac:dyDescent="0.2">
      <c r="A1893" s="62" t="s">
        <v>2119</v>
      </c>
      <c r="B1893" s="80" t="s">
        <v>1462</v>
      </c>
      <c r="C1893" s="9" t="s">
        <v>47</v>
      </c>
      <c r="D1893" s="25">
        <f t="shared" si="511"/>
        <v>20</v>
      </c>
      <c r="E1893" s="54"/>
      <c r="F1893" s="9"/>
      <c r="G1893" s="9">
        <v>0</v>
      </c>
      <c r="H1893" s="9">
        <v>0</v>
      </c>
      <c r="I1893" s="9">
        <v>0</v>
      </c>
      <c r="J1893" s="9">
        <v>0</v>
      </c>
      <c r="K1893" s="9">
        <v>0</v>
      </c>
      <c r="L1893" s="9">
        <v>0</v>
      </c>
      <c r="M1893" s="9">
        <v>0</v>
      </c>
      <c r="N1893" s="9">
        <v>0</v>
      </c>
      <c r="O1893" s="9">
        <v>0</v>
      </c>
      <c r="P1893" s="9">
        <v>0</v>
      </c>
      <c r="Q1893" s="9">
        <v>0</v>
      </c>
      <c r="R1893" s="9">
        <v>0</v>
      </c>
      <c r="S1893" s="9">
        <v>0</v>
      </c>
      <c r="T1893" s="9">
        <v>20</v>
      </c>
      <c r="U1893" s="9">
        <v>0</v>
      </c>
      <c r="V1893" s="9">
        <v>0</v>
      </c>
      <c r="W1893" s="9">
        <v>0</v>
      </c>
      <c r="X1893" s="9">
        <v>0</v>
      </c>
      <c r="Y1893" s="9">
        <v>0</v>
      </c>
      <c r="Z1893" s="9">
        <v>0</v>
      </c>
      <c r="AA1893" s="9">
        <v>0</v>
      </c>
      <c r="AB1893" s="9">
        <v>0</v>
      </c>
      <c r="AC1893" s="9">
        <v>0</v>
      </c>
      <c r="AD1893" s="53" t="e">
        <f>#REF!*D1893</f>
        <v>#REF!</v>
      </c>
      <c r="AE1893" s="53" t="e">
        <f>AD1893-#REF!</f>
        <v>#REF!</v>
      </c>
      <c r="AF1893" s="8"/>
      <c r="AG1893" s="33" t="e">
        <f>#REF!-D1893</f>
        <v>#REF!</v>
      </c>
      <c r="AH1893" s="8"/>
      <c r="AI1893" s="8"/>
    </row>
    <row r="1894" spans="1:37" s="17" customFormat="1" ht="20.399999999999999" outlineLevel="1" x14ac:dyDescent="0.2">
      <c r="A1894" s="62" t="s">
        <v>2119</v>
      </c>
      <c r="B1894" s="80" t="s">
        <v>201</v>
      </c>
      <c r="C1894" s="9" t="s">
        <v>47</v>
      </c>
      <c r="D1894" s="25">
        <f t="shared" si="511"/>
        <v>1</v>
      </c>
      <c r="E1894" s="54"/>
      <c r="F1894" s="9"/>
      <c r="G1894" s="9">
        <v>0</v>
      </c>
      <c r="H1894" s="9">
        <v>0</v>
      </c>
      <c r="I1894" s="9">
        <v>0</v>
      </c>
      <c r="J1894" s="9">
        <v>0</v>
      </c>
      <c r="K1894" s="9">
        <v>0</v>
      </c>
      <c r="L1894" s="9">
        <v>0</v>
      </c>
      <c r="M1894" s="9">
        <v>0</v>
      </c>
      <c r="N1894" s="9">
        <v>0</v>
      </c>
      <c r="O1894" s="9">
        <v>0</v>
      </c>
      <c r="P1894" s="9">
        <v>0</v>
      </c>
      <c r="Q1894" s="9">
        <v>0</v>
      </c>
      <c r="R1894" s="9">
        <v>0</v>
      </c>
      <c r="S1894" s="9">
        <v>0</v>
      </c>
      <c r="T1894" s="9">
        <v>0</v>
      </c>
      <c r="U1894" s="9">
        <v>0</v>
      </c>
      <c r="V1894" s="9">
        <v>0</v>
      </c>
      <c r="W1894" s="9">
        <v>0</v>
      </c>
      <c r="X1894" s="9">
        <v>0</v>
      </c>
      <c r="Y1894" s="9">
        <v>0</v>
      </c>
      <c r="Z1894" s="9">
        <v>0</v>
      </c>
      <c r="AA1894" s="9">
        <v>0</v>
      </c>
      <c r="AB1894" s="9">
        <v>1</v>
      </c>
      <c r="AC1894" s="9">
        <v>0</v>
      </c>
      <c r="AD1894" s="53" t="e">
        <f>#REF!*D1894</f>
        <v>#REF!</v>
      </c>
      <c r="AE1894" s="53" t="e">
        <f>AD1894-#REF!</f>
        <v>#REF!</v>
      </c>
      <c r="AF1894" s="8"/>
      <c r="AG1894" s="33" t="e">
        <f>#REF!-D1894</f>
        <v>#REF!</v>
      </c>
      <c r="AH1894" s="8"/>
      <c r="AI1894" s="8"/>
    </row>
    <row r="1895" spans="1:37" s="12" customFormat="1" ht="23.25" customHeight="1" outlineLevel="1" x14ac:dyDescent="0.2">
      <c r="A1895" s="62" t="s">
        <v>2120</v>
      </c>
      <c r="B1895" s="80" t="s">
        <v>113</v>
      </c>
      <c r="C1895" s="9" t="s">
        <v>47</v>
      </c>
      <c r="D1895" s="25">
        <f t="shared" si="511"/>
        <v>29</v>
      </c>
      <c r="E1895" s="54"/>
      <c r="F1895" s="9"/>
      <c r="G1895" s="9">
        <v>0</v>
      </c>
      <c r="H1895" s="9">
        <v>0</v>
      </c>
      <c r="I1895" s="9">
        <v>0</v>
      </c>
      <c r="J1895" s="9">
        <v>0</v>
      </c>
      <c r="K1895" s="9">
        <v>0</v>
      </c>
      <c r="L1895" s="9">
        <v>0</v>
      </c>
      <c r="M1895" s="9">
        <v>0</v>
      </c>
      <c r="N1895" s="9">
        <v>0</v>
      </c>
      <c r="O1895" s="9">
        <v>0</v>
      </c>
      <c r="P1895" s="9">
        <v>0</v>
      </c>
      <c r="Q1895" s="9">
        <v>0</v>
      </c>
      <c r="R1895" s="9">
        <v>0</v>
      </c>
      <c r="S1895" s="9">
        <v>0</v>
      </c>
      <c r="T1895" s="9">
        <v>22</v>
      </c>
      <c r="U1895" s="9">
        <v>1</v>
      </c>
      <c r="V1895" s="9">
        <v>1</v>
      </c>
      <c r="W1895" s="9">
        <v>1</v>
      </c>
      <c r="X1895" s="9">
        <v>1</v>
      </c>
      <c r="Y1895" s="9">
        <v>1</v>
      </c>
      <c r="Z1895" s="9">
        <v>1</v>
      </c>
      <c r="AA1895" s="9">
        <v>1</v>
      </c>
      <c r="AB1895" s="9">
        <v>0</v>
      </c>
      <c r="AC1895" s="9">
        <v>0</v>
      </c>
      <c r="AD1895" s="53" t="e">
        <f>#REF!*D1895</f>
        <v>#REF!</v>
      </c>
      <c r="AE1895" s="53" t="e">
        <f>AD1895-#REF!</f>
        <v>#REF!</v>
      </c>
      <c r="AF1895" s="9"/>
      <c r="AG1895" s="33" t="e">
        <f>#REF!-D1895</f>
        <v>#REF!</v>
      </c>
      <c r="AH1895" s="9"/>
      <c r="AI1895" s="9"/>
    </row>
    <row r="1896" spans="1:37" s="17" customFormat="1" ht="20.399999999999999" outlineLevel="1" x14ac:dyDescent="0.2">
      <c r="A1896" s="62" t="s">
        <v>2121</v>
      </c>
      <c r="B1896" s="80" t="s">
        <v>284</v>
      </c>
      <c r="C1896" s="9" t="s">
        <v>47</v>
      </c>
      <c r="D1896" s="25">
        <f t="shared" si="511"/>
        <v>3</v>
      </c>
      <c r="E1896" s="54"/>
      <c r="F1896" s="9"/>
      <c r="G1896" s="9">
        <v>0</v>
      </c>
      <c r="H1896" s="9">
        <v>0</v>
      </c>
      <c r="I1896" s="9">
        <v>0</v>
      </c>
      <c r="J1896" s="9">
        <v>0</v>
      </c>
      <c r="K1896" s="9">
        <v>0</v>
      </c>
      <c r="L1896" s="9">
        <v>0</v>
      </c>
      <c r="M1896" s="9">
        <v>0</v>
      </c>
      <c r="N1896" s="9">
        <v>0</v>
      </c>
      <c r="O1896" s="9">
        <v>0</v>
      </c>
      <c r="P1896" s="9">
        <v>0</v>
      </c>
      <c r="Q1896" s="9">
        <v>0</v>
      </c>
      <c r="R1896" s="9">
        <v>0</v>
      </c>
      <c r="S1896" s="9">
        <v>0</v>
      </c>
      <c r="T1896" s="9">
        <v>3</v>
      </c>
      <c r="U1896" s="9">
        <v>0</v>
      </c>
      <c r="V1896" s="9">
        <v>0</v>
      </c>
      <c r="W1896" s="9">
        <v>0</v>
      </c>
      <c r="X1896" s="9">
        <v>0</v>
      </c>
      <c r="Y1896" s="9">
        <v>0</v>
      </c>
      <c r="Z1896" s="9">
        <v>0</v>
      </c>
      <c r="AA1896" s="9">
        <v>0</v>
      </c>
      <c r="AB1896" s="9">
        <v>0</v>
      </c>
      <c r="AC1896" s="9">
        <v>0</v>
      </c>
      <c r="AD1896" s="53" t="e">
        <f>#REF!*D1896</f>
        <v>#REF!</v>
      </c>
      <c r="AE1896" s="53" t="e">
        <f>AD1896-#REF!</f>
        <v>#REF!</v>
      </c>
      <c r="AF1896" s="8"/>
      <c r="AG1896" s="33" t="e">
        <f>#REF!-D1896</f>
        <v>#REF!</v>
      </c>
      <c r="AH1896" s="8"/>
      <c r="AI1896" s="8"/>
    </row>
    <row r="1897" spans="1:37" s="17" customFormat="1" ht="20.399999999999999" outlineLevel="1" x14ac:dyDescent="0.2">
      <c r="A1897" s="62" t="s">
        <v>2122</v>
      </c>
      <c r="B1897" s="80" t="s">
        <v>285</v>
      </c>
      <c r="C1897" s="9" t="s">
        <v>47</v>
      </c>
      <c r="D1897" s="25">
        <f t="shared" si="511"/>
        <v>5</v>
      </c>
      <c r="E1897" s="54"/>
      <c r="F1897" s="9"/>
      <c r="G1897" s="9">
        <v>0</v>
      </c>
      <c r="H1897" s="9">
        <v>0</v>
      </c>
      <c r="I1897" s="9">
        <v>0</v>
      </c>
      <c r="J1897" s="9">
        <v>0</v>
      </c>
      <c r="K1897" s="9">
        <v>0</v>
      </c>
      <c r="L1897" s="9">
        <v>0</v>
      </c>
      <c r="M1897" s="9">
        <v>0</v>
      </c>
      <c r="N1897" s="9">
        <v>0</v>
      </c>
      <c r="O1897" s="9">
        <v>0</v>
      </c>
      <c r="P1897" s="9">
        <v>0</v>
      </c>
      <c r="Q1897" s="9">
        <v>0</v>
      </c>
      <c r="R1897" s="9">
        <v>5</v>
      </c>
      <c r="S1897" s="9">
        <v>0</v>
      </c>
      <c r="T1897" s="9">
        <v>0</v>
      </c>
      <c r="U1897" s="9">
        <v>0</v>
      </c>
      <c r="V1897" s="9">
        <v>0</v>
      </c>
      <c r="W1897" s="9">
        <v>0</v>
      </c>
      <c r="X1897" s="9">
        <v>0</v>
      </c>
      <c r="Y1897" s="9">
        <v>0</v>
      </c>
      <c r="Z1897" s="9">
        <v>0</v>
      </c>
      <c r="AA1897" s="9">
        <v>0</v>
      </c>
      <c r="AB1897" s="9">
        <v>0</v>
      </c>
      <c r="AC1897" s="9">
        <v>0</v>
      </c>
      <c r="AD1897" s="53" t="e">
        <f>#REF!*D1897</f>
        <v>#REF!</v>
      </c>
      <c r="AE1897" s="53" t="e">
        <f>AD1897-#REF!</f>
        <v>#REF!</v>
      </c>
      <c r="AF1897" s="8"/>
      <c r="AG1897" s="33" t="e">
        <f>#REF!-D1897</f>
        <v>#REF!</v>
      </c>
      <c r="AH1897" s="8"/>
      <c r="AI1897" s="8"/>
    </row>
    <row r="1898" spans="1:37" s="16" customFormat="1" ht="20.399999999999999" outlineLevel="1" x14ac:dyDescent="0.2">
      <c r="A1898" s="62" t="s">
        <v>2123</v>
      </c>
      <c r="B1898" s="80" t="s">
        <v>1499</v>
      </c>
      <c r="C1898" s="9" t="s">
        <v>47</v>
      </c>
      <c r="D1898" s="25">
        <f t="shared" si="511"/>
        <v>10</v>
      </c>
      <c r="E1898" s="54"/>
      <c r="F1898" s="9"/>
      <c r="G1898" s="9">
        <v>0</v>
      </c>
      <c r="H1898" s="9">
        <v>0</v>
      </c>
      <c r="I1898" s="9">
        <v>0</v>
      </c>
      <c r="J1898" s="9">
        <v>0</v>
      </c>
      <c r="K1898" s="9">
        <v>0</v>
      </c>
      <c r="L1898" s="9">
        <v>0</v>
      </c>
      <c r="M1898" s="9">
        <v>0</v>
      </c>
      <c r="N1898" s="9">
        <v>0</v>
      </c>
      <c r="O1898" s="9">
        <v>0</v>
      </c>
      <c r="P1898" s="9">
        <v>0</v>
      </c>
      <c r="Q1898" s="9">
        <v>0</v>
      </c>
      <c r="R1898" s="9">
        <v>2</v>
      </c>
      <c r="S1898" s="9">
        <v>0</v>
      </c>
      <c r="T1898" s="9">
        <v>0</v>
      </c>
      <c r="U1898" s="9">
        <v>1</v>
      </c>
      <c r="V1898" s="9">
        <v>1</v>
      </c>
      <c r="W1898" s="9">
        <v>1</v>
      </c>
      <c r="X1898" s="9">
        <v>1</v>
      </c>
      <c r="Y1898" s="9">
        <v>1</v>
      </c>
      <c r="Z1898" s="9">
        <v>1</v>
      </c>
      <c r="AA1898" s="9">
        <v>1</v>
      </c>
      <c r="AB1898" s="9">
        <v>1</v>
      </c>
      <c r="AC1898" s="9">
        <v>0</v>
      </c>
      <c r="AD1898" s="53" t="e">
        <f>#REF!*D1898</f>
        <v>#REF!</v>
      </c>
      <c r="AE1898" s="53" t="e">
        <f>AD1898-#REF!</f>
        <v>#REF!</v>
      </c>
      <c r="AF1898" s="9"/>
      <c r="AG1898" s="33" t="e">
        <f>#REF!-D1898</f>
        <v>#REF!</v>
      </c>
    </row>
    <row r="1899" spans="1:37" s="12" customFormat="1" ht="20.399999999999999" outlineLevel="1" x14ac:dyDescent="0.2">
      <c r="A1899" s="62" t="s">
        <v>2124</v>
      </c>
      <c r="B1899" s="80" t="s">
        <v>114</v>
      </c>
      <c r="C1899" s="9" t="s">
        <v>47</v>
      </c>
      <c r="D1899" s="25">
        <f t="shared" si="511"/>
        <v>6</v>
      </c>
      <c r="E1899" s="54"/>
      <c r="F1899" s="9"/>
      <c r="G1899" s="9">
        <v>0</v>
      </c>
      <c r="H1899" s="9">
        <v>3</v>
      </c>
      <c r="I1899" s="9">
        <v>0</v>
      </c>
      <c r="J1899" s="9">
        <v>0</v>
      </c>
      <c r="K1899" s="9">
        <v>0</v>
      </c>
      <c r="L1899" s="9">
        <v>0</v>
      </c>
      <c r="M1899" s="9">
        <v>0</v>
      </c>
      <c r="N1899" s="9">
        <v>0</v>
      </c>
      <c r="O1899" s="9">
        <v>0</v>
      </c>
      <c r="P1899" s="9">
        <v>0</v>
      </c>
      <c r="Q1899" s="9">
        <v>0</v>
      </c>
      <c r="R1899" s="9">
        <v>0</v>
      </c>
      <c r="S1899" s="9">
        <v>0</v>
      </c>
      <c r="T1899" s="9">
        <v>0</v>
      </c>
      <c r="U1899" s="9">
        <v>3</v>
      </c>
      <c r="V1899" s="9">
        <v>0</v>
      </c>
      <c r="W1899" s="9">
        <v>0</v>
      </c>
      <c r="X1899" s="9">
        <v>0</v>
      </c>
      <c r="Y1899" s="9">
        <v>0</v>
      </c>
      <c r="Z1899" s="9">
        <v>0</v>
      </c>
      <c r="AA1899" s="9">
        <v>0</v>
      </c>
      <c r="AB1899" s="9">
        <v>0</v>
      </c>
      <c r="AC1899" s="9">
        <v>0</v>
      </c>
      <c r="AD1899" s="53" t="e">
        <f>#REF!*D1899</f>
        <v>#REF!</v>
      </c>
      <c r="AE1899" s="53" t="e">
        <f>AD1899-#REF!</f>
        <v>#REF!</v>
      </c>
      <c r="AF1899" s="9"/>
      <c r="AG1899" s="33" t="e">
        <f>#REF!-D1899</f>
        <v>#REF!</v>
      </c>
      <c r="AH1899" s="9"/>
      <c r="AI1899" s="9"/>
    </row>
    <row r="1900" spans="1:37" s="12" customFormat="1" ht="20.399999999999999" outlineLevel="1" x14ac:dyDescent="0.2">
      <c r="A1900" s="62" t="s">
        <v>2125</v>
      </c>
      <c r="B1900" s="80" t="s">
        <v>2548</v>
      </c>
      <c r="C1900" s="9" t="s">
        <v>47</v>
      </c>
      <c r="D1900" s="25">
        <f t="shared" si="511"/>
        <v>2</v>
      </c>
      <c r="E1900" s="54"/>
      <c r="F1900" s="9"/>
      <c r="G1900" s="9">
        <v>0</v>
      </c>
      <c r="H1900" s="9">
        <v>0</v>
      </c>
      <c r="I1900" s="9">
        <v>0</v>
      </c>
      <c r="J1900" s="9">
        <v>0</v>
      </c>
      <c r="K1900" s="9">
        <v>0</v>
      </c>
      <c r="L1900" s="9">
        <v>0</v>
      </c>
      <c r="M1900" s="9">
        <v>0</v>
      </c>
      <c r="N1900" s="9">
        <v>0</v>
      </c>
      <c r="O1900" s="9">
        <v>0</v>
      </c>
      <c r="P1900" s="9">
        <v>0</v>
      </c>
      <c r="Q1900" s="9">
        <v>0</v>
      </c>
      <c r="R1900" s="9">
        <v>2</v>
      </c>
      <c r="S1900" s="9">
        <v>0</v>
      </c>
      <c r="T1900" s="9">
        <v>0</v>
      </c>
      <c r="U1900" s="9">
        <v>0</v>
      </c>
      <c r="V1900" s="9">
        <v>0</v>
      </c>
      <c r="W1900" s="9">
        <v>0</v>
      </c>
      <c r="X1900" s="9">
        <v>0</v>
      </c>
      <c r="Y1900" s="9">
        <v>0</v>
      </c>
      <c r="Z1900" s="9">
        <v>0</v>
      </c>
      <c r="AA1900" s="9">
        <v>0</v>
      </c>
      <c r="AB1900" s="9">
        <v>0</v>
      </c>
      <c r="AC1900" s="9">
        <v>0</v>
      </c>
      <c r="AD1900" s="53" t="e">
        <f>#REF!*D1900</f>
        <v>#REF!</v>
      </c>
      <c r="AE1900" s="53" t="e">
        <f>AD1900-#REF!</f>
        <v>#REF!</v>
      </c>
      <c r="AF1900" s="9"/>
      <c r="AG1900" s="33" t="e">
        <f>#REF!-D1900</f>
        <v>#REF!</v>
      </c>
      <c r="AH1900" s="9"/>
      <c r="AI1900" s="9"/>
    </row>
    <row r="1901" spans="1:37" s="12" customFormat="1" ht="20.399999999999999" outlineLevel="1" x14ac:dyDescent="0.2">
      <c r="A1901" s="62" t="s">
        <v>2126</v>
      </c>
      <c r="B1901" s="80" t="s">
        <v>143</v>
      </c>
      <c r="C1901" s="9" t="s">
        <v>47</v>
      </c>
      <c r="D1901" s="25">
        <f t="shared" si="511"/>
        <v>1</v>
      </c>
      <c r="E1901" s="54"/>
      <c r="F1901" s="9"/>
      <c r="G1901" s="9">
        <v>0</v>
      </c>
      <c r="H1901" s="9">
        <v>0</v>
      </c>
      <c r="I1901" s="9">
        <v>0</v>
      </c>
      <c r="J1901" s="9">
        <v>0</v>
      </c>
      <c r="K1901" s="9">
        <v>0</v>
      </c>
      <c r="L1901" s="9">
        <v>0</v>
      </c>
      <c r="M1901" s="9">
        <v>0</v>
      </c>
      <c r="N1901" s="9">
        <v>0</v>
      </c>
      <c r="O1901" s="9">
        <v>0</v>
      </c>
      <c r="P1901" s="9">
        <v>0</v>
      </c>
      <c r="Q1901" s="9">
        <v>0</v>
      </c>
      <c r="R1901" s="9">
        <v>1</v>
      </c>
      <c r="S1901" s="9">
        <v>0</v>
      </c>
      <c r="T1901" s="9">
        <v>0</v>
      </c>
      <c r="U1901" s="9">
        <v>0</v>
      </c>
      <c r="V1901" s="9">
        <v>0</v>
      </c>
      <c r="W1901" s="9">
        <v>0</v>
      </c>
      <c r="X1901" s="9">
        <v>0</v>
      </c>
      <c r="Y1901" s="9">
        <v>0</v>
      </c>
      <c r="Z1901" s="9">
        <v>0</v>
      </c>
      <c r="AA1901" s="9">
        <v>0</v>
      </c>
      <c r="AB1901" s="9">
        <v>0</v>
      </c>
      <c r="AC1901" s="9">
        <v>0</v>
      </c>
      <c r="AD1901" s="53" t="e">
        <f>#REF!*D1901</f>
        <v>#REF!</v>
      </c>
      <c r="AE1901" s="53" t="e">
        <f>AD1901-#REF!</f>
        <v>#REF!</v>
      </c>
      <c r="AF1901" s="9"/>
      <c r="AG1901" s="33" t="e">
        <f>#REF!-D1901</f>
        <v>#REF!</v>
      </c>
      <c r="AH1901" s="9"/>
      <c r="AI1901" s="9"/>
    </row>
    <row r="1902" spans="1:37" s="12" customFormat="1" ht="20.399999999999999" outlineLevel="1" x14ac:dyDescent="0.2">
      <c r="A1902" s="62" t="s">
        <v>2127</v>
      </c>
      <c r="B1902" s="80" t="s">
        <v>190</v>
      </c>
      <c r="C1902" s="9" t="s">
        <v>47</v>
      </c>
      <c r="D1902" s="25">
        <f t="shared" si="511"/>
        <v>9</v>
      </c>
      <c r="E1902" s="54"/>
      <c r="F1902" s="9"/>
      <c r="G1902" s="9">
        <v>0</v>
      </c>
      <c r="H1902" s="9">
        <v>0</v>
      </c>
      <c r="I1902" s="9">
        <v>0</v>
      </c>
      <c r="J1902" s="9">
        <v>0</v>
      </c>
      <c r="K1902" s="9">
        <v>0</v>
      </c>
      <c r="L1902" s="9">
        <v>0</v>
      </c>
      <c r="M1902" s="9">
        <v>0</v>
      </c>
      <c r="N1902" s="9">
        <v>0</v>
      </c>
      <c r="O1902" s="9">
        <v>0</v>
      </c>
      <c r="P1902" s="9">
        <v>0</v>
      </c>
      <c r="Q1902" s="9">
        <v>0</v>
      </c>
      <c r="R1902" s="9">
        <v>1</v>
      </c>
      <c r="S1902" s="9">
        <v>0</v>
      </c>
      <c r="T1902" s="9">
        <v>0</v>
      </c>
      <c r="U1902" s="9">
        <v>1</v>
      </c>
      <c r="V1902" s="9">
        <v>1</v>
      </c>
      <c r="W1902" s="9">
        <v>1</v>
      </c>
      <c r="X1902" s="9">
        <v>1</v>
      </c>
      <c r="Y1902" s="9">
        <v>1</v>
      </c>
      <c r="Z1902" s="9">
        <v>1</v>
      </c>
      <c r="AA1902" s="9">
        <v>1</v>
      </c>
      <c r="AB1902" s="9">
        <v>1</v>
      </c>
      <c r="AC1902" s="9">
        <v>0</v>
      </c>
      <c r="AD1902" s="53" t="e">
        <f>#REF!*D1902</f>
        <v>#REF!</v>
      </c>
      <c r="AE1902" s="53" t="e">
        <f>AD1902-#REF!</f>
        <v>#REF!</v>
      </c>
      <c r="AF1902" s="9"/>
      <c r="AG1902" s="33" t="e">
        <f>#REF!-D1902</f>
        <v>#REF!</v>
      </c>
      <c r="AH1902" s="9"/>
      <c r="AI1902" s="9"/>
    </row>
    <row r="1903" spans="1:37" s="12" customFormat="1" ht="20.399999999999999" outlineLevel="1" x14ac:dyDescent="0.2">
      <c r="A1903" s="62" t="s">
        <v>2128</v>
      </c>
      <c r="B1903" s="14" t="s">
        <v>115</v>
      </c>
      <c r="C1903" s="9" t="s">
        <v>47</v>
      </c>
      <c r="D1903" s="25">
        <f t="shared" si="511"/>
        <v>1</v>
      </c>
      <c r="E1903" s="54"/>
      <c r="F1903" s="9"/>
      <c r="G1903" s="9">
        <v>0</v>
      </c>
      <c r="H1903" s="9">
        <v>0</v>
      </c>
      <c r="I1903" s="9">
        <v>0</v>
      </c>
      <c r="J1903" s="9">
        <v>0</v>
      </c>
      <c r="K1903" s="9">
        <v>0</v>
      </c>
      <c r="L1903" s="9">
        <v>0</v>
      </c>
      <c r="M1903" s="9">
        <v>0</v>
      </c>
      <c r="N1903" s="9">
        <v>0</v>
      </c>
      <c r="O1903" s="9">
        <v>0</v>
      </c>
      <c r="P1903" s="9">
        <v>0</v>
      </c>
      <c r="Q1903" s="9">
        <v>0</v>
      </c>
      <c r="R1903" s="9">
        <v>1</v>
      </c>
      <c r="S1903" s="9">
        <v>0</v>
      </c>
      <c r="T1903" s="9">
        <v>0</v>
      </c>
      <c r="U1903" s="9">
        <v>0</v>
      </c>
      <c r="V1903" s="9">
        <v>0</v>
      </c>
      <c r="W1903" s="9">
        <v>0</v>
      </c>
      <c r="X1903" s="9">
        <v>0</v>
      </c>
      <c r="Y1903" s="9">
        <v>0</v>
      </c>
      <c r="Z1903" s="9">
        <v>0</v>
      </c>
      <c r="AA1903" s="9">
        <v>0</v>
      </c>
      <c r="AB1903" s="9">
        <v>0</v>
      </c>
      <c r="AC1903" s="9">
        <v>0</v>
      </c>
      <c r="AD1903" s="53" t="e">
        <f>#REF!*D1903</f>
        <v>#REF!</v>
      </c>
      <c r="AE1903" s="53" t="e">
        <f>AD1903-#REF!</f>
        <v>#REF!</v>
      </c>
      <c r="AF1903" s="9"/>
      <c r="AG1903" s="33" t="e">
        <f>#REF!-D1903</f>
        <v>#REF!</v>
      </c>
      <c r="AH1903" s="9"/>
      <c r="AI1903" s="9"/>
    </row>
    <row r="1904" spans="1:37" s="17" customFormat="1" ht="31.8" outlineLevel="1" x14ac:dyDescent="0.2">
      <c r="A1904" s="62" t="s">
        <v>2129</v>
      </c>
      <c r="B1904" s="80" t="s">
        <v>2303</v>
      </c>
      <c r="C1904" s="9" t="s">
        <v>47</v>
      </c>
      <c r="D1904" s="25">
        <f t="shared" si="511"/>
        <v>577</v>
      </c>
      <c r="E1904" s="54"/>
      <c r="F1904" s="9"/>
      <c r="G1904" s="9">
        <v>0</v>
      </c>
      <c r="H1904" s="9">
        <f>45-16</f>
        <v>29</v>
      </c>
      <c r="I1904" s="9">
        <f>108-35</f>
        <v>73</v>
      </c>
      <c r="J1904" s="9">
        <f>64-19</f>
        <v>45</v>
      </c>
      <c r="K1904" s="9">
        <f>97-42</f>
        <v>55</v>
      </c>
      <c r="L1904" s="9">
        <f>56-30</f>
        <v>26</v>
      </c>
      <c r="M1904" s="9">
        <v>25</v>
      </c>
      <c r="N1904" s="9">
        <v>25</v>
      </c>
      <c r="O1904" s="9">
        <v>25</v>
      </c>
      <c r="P1904" s="9">
        <v>40</v>
      </c>
      <c r="Q1904" s="9">
        <v>30</v>
      </c>
      <c r="R1904" s="9">
        <v>2</v>
      </c>
      <c r="S1904" s="9">
        <v>0</v>
      </c>
      <c r="T1904" s="9">
        <v>0</v>
      </c>
      <c r="U1904" s="9">
        <v>29</v>
      </c>
      <c r="V1904" s="9">
        <v>25</v>
      </c>
      <c r="W1904" s="9">
        <v>46</v>
      </c>
      <c r="X1904" s="9">
        <v>20</v>
      </c>
      <c r="Y1904" s="9">
        <v>26</v>
      </c>
      <c r="Z1904" s="9">
        <v>27</v>
      </c>
      <c r="AA1904" s="9">
        <v>20</v>
      </c>
      <c r="AB1904" s="9">
        <v>9</v>
      </c>
      <c r="AC1904" s="9">
        <v>0</v>
      </c>
      <c r="AD1904" s="53" t="e">
        <f>#REF!*D1904</f>
        <v>#REF!</v>
      </c>
      <c r="AE1904" s="53" t="e">
        <f>AD1904-#REF!</f>
        <v>#REF!</v>
      </c>
      <c r="AF1904" s="8"/>
      <c r="AG1904" s="33" t="e">
        <f>#REF!-D1904</f>
        <v>#REF!</v>
      </c>
      <c r="AH1904" s="8"/>
      <c r="AI1904" s="8"/>
    </row>
    <row r="1905" spans="1:37" s="17" customFormat="1" ht="36" customHeight="1" outlineLevel="1" x14ac:dyDescent="0.2">
      <c r="A1905" s="62" t="s">
        <v>2130</v>
      </c>
      <c r="B1905" s="80" t="s">
        <v>2304</v>
      </c>
      <c r="C1905" s="9" t="s">
        <v>47</v>
      </c>
      <c r="D1905" s="25">
        <f t="shared" si="511"/>
        <v>106</v>
      </c>
      <c r="E1905" s="54"/>
      <c r="F1905" s="9"/>
      <c r="G1905" s="9">
        <v>0</v>
      </c>
      <c r="H1905" s="9">
        <v>3</v>
      </c>
      <c r="I1905" s="9">
        <v>0</v>
      </c>
      <c r="J1905" s="9">
        <v>0</v>
      </c>
      <c r="K1905" s="9">
        <v>0</v>
      </c>
      <c r="L1905" s="9">
        <v>20</v>
      </c>
      <c r="M1905" s="9">
        <v>17</v>
      </c>
      <c r="N1905" s="9">
        <v>17</v>
      </c>
      <c r="O1905" s="9">
        <v>16</v>
      </c>
      <c r="P1905" s="9">
        <v>0</v>
      </c>
      <c r="Q1905" s="9">
        <v>0</v>
      </c>
      <c r="R1905" s="9">
        <v>0</v>
      </c>
      <c r="S1905" s="9">
        <v>0</v>
      </c>
      <c r="T1905" s="9">
        <v>0</v>
      </c>
      <c r="U1905" s="9">
        <v>0</v>
      </c>
      <c r="V1905" s="9">
        <v>0</v>
      </c>
      <c r="W1905" s="9">
        <v>0</v>
      </c>
      <c r="X1905" s="9">
        <v>11</v>
      </c>
      <c r="Y1905" s="9">
        <v>11</v>
      </c>
      <c r="Z1905" s="9">
        <v>0</v>
      </c>
      <c r="AA1905" s="9">
        <v>11</v>
      </c>
      <c r="AB1905" s="9">
        <v>0</v>
      </c>
      <c r="AC1905" s="9">
        <v>0</v>
      </c>
      <c r="AD1905" s="53" t="e">
        <f>#REF!*D1905</f>
        <v>#REF!</v>
      </c>
      <c r="AE1905" s="53" t="e">
        <f>AD1905-#REF!</f>
        <v>#REF!</v>
      </c>
      <c r="AF1905" s="8"/>
      <c r="AG1905" s="33" t="e">
        <f>#REF!-D1905</f>
        <v>#REF!</v>
      </c>
      <c r="AH1905" s="8"/>
      <c r="AI1905" s="8"/>
    </row>
    <row r="1906" spans="1:37" s="17" customFormat="1" ht="20.399999999999999" outlineLevel="1" x14ac:dyDescent="0.2">
      <c r="A1906" s="62" t="s">
        <v>2131</v>
      </c>
      <c r="B1906" s="80" t="s">
        <v>329</v>
      </c>
      <c r="C1906" s="9" t="s">
        <v>47</v>
      </c>
      <c r="D1906" s="25">
        <f t="shared" si="511"/>
        <v>610</v>
      </c>
      <c r="E1906" s="54"/>
      <c r="F1906" s="9"/>
      <c r="G1906" s="49">
        <f t="shared" ref="G1906:W1906" si="512">G1904</f>
        <v>0</v>
      </c>
      <c r="H1906" s="49">
        <f t="shared" si="512"/>
        <v>29</v>
      </c>
      <c r="I1906" s="49">
        <f t="shared" si="512"/>
        <v>73</v>
      </c>
      <c r="J1906" s="49">
        <f t="shared" si="512"/>
        <v>45</v>
      </c>
      <c r="K1906" s="49">
        <f t="shared" si="512"/>
        <v>55</v>
      </c>
      <c r="L1906" s="49">
        <f t="shared" si="512"/>
        <v>26</v>
      </c>
      <c r="M1906" s="49">
        <f t="shared" si="512"/>
        <v>25</v>
      </c>
      <c r="N1906" s="49">
        <f t="shared" si="512"/>
        <v>25</v>
      </c>
      <c r="O1906" s="49">
        <f t="shared" si="512"/>
        <v>25</v>
      </c>
      <c r="P1906" s="49">
        <f t="shared" si="512"/>
        <v>40</v>
      </c>
      <c r="Q1906" s="49">
        <f t="shared" si="512"/>
        <v>30</v>
      </c>
      <c r="R1906" s="49">
        <f t="shared" si="512"/>
        <v>2</v>
      </c>
      <c r="S1906" s="49">
        <f t="shared" si="512"/>
        <v>0</v>
      </c>
      <c r="T1906" s="49">
        <f t="shared" si="512"/>
        <v>0</v>
      </c>
      <c r="U1906" s="49">
        <f t="shared" si="512"/>
        <v>29</v>
      </c>
      <c r="V1906" s="49">
        <f t="shared" si="512"/>
        <v>25</v>
      </c>
      <c r="W1906" s="49">
        <f t="shared" si="512"/>
        <v>46</v>
      </c>
      <c r="X1906" s="49">
        <f>X1904+X1905</f>
        <v>31</v>
      </c>
      <c r="Y1906" s="49">
        <f>Y1904+Y1905</f>
        <v>37</v>
      </c>
      <c r="Z1906" s="49">
        <f>Z1904+Z1905</f>
        <v>27</v>
      </c>
      <c r="AA1906" s="49">
        <f>AA1904+AA1905</f>
        <v>31</v>
      </c>
      <c r="AB1906" s="49">
        <f>AB1904</f>
        <v>9</v>
      </c>
      <c r="AC1906" s="49">
        <f>AC1904</f>
        <v>0</v>
      </c>
      <c r="AD1906" s="53" t="e">
        <f>#REF!*D1906</f>
        <v>#REF!</v>
      </c>
      <c r="AE1906" s="53" t="e">
        <f>AD1906-#REF!</f>
        <v>#REF!</v>
      </c>
      <c r="AF1906" s="8"/>
      <c r="AG1906" s="33" t="e">
        <f>#REF!-D1906</f>
        <v>#REF!</v>
      </c>
      <c r="AH1906" s="8"/>
      <c r="AI1906" s="8"/>
    </row>
    <row r="1907" spans="1:37" s="12" customFormat="1" ht="20.399999999999999" outlineLevel="1" x14ac:dyDescent="0.2">
      <c r="A1907" s="62" t="s">
        <v>2132</v>
      </c>
      <c r="B1907" s="80" t="s">
        <v>2247</v>
      </c>
      <c r="C1907" s="9" t="s">
        <v>47</v>
      </c>
      <c r="D1907" s="25">
        <f t="shared" si="511"/>
        <v>3</v>
      </c>
      <c r="E1907" s="54"/>
      <c r="F1907" s="9"/>
      <c r="G1907" s="9">
        <v>3</v>
      </c>
      <c r="H1907" s="9">
        <v>0</v>
      </c>
      <c r="I1907" s="9">
        <v>0</v>
      </c>
      <c r="J1907" s="9">
        <v>0</v>
      </c>
      <c r="K1907" s="9">
        <v>0</v>
      </c>
      <c r="L1907" s="9">
        <v>0</v>
      </c>
      <c r="M1907" s="9">
        <v>0</v>
      </c>
      <c r="N1907" s="9">
        <v>0</v>
      </c>
      <c r="O1907" s="9">
        <v>0</v>
      </c>
      <c r="P1907" s="9">
        <v>0</v>
      </c>
      <c r="Q1907" s="9">
        <v>0</v>
      </c>
      <c r="R1907" s="9">
        <v>0</v>
      </c>
      <c r="S1907" s="9">
        <v>0</v>
      </c>
      <c r="T1907" s="9">
        <v>0</v>
      </c>
      <c r="U1907" s="9">
        <v>0</v>
      </c>
      <c r="V1907" s="9">
        <v>0</v>
      </c>
      <c r="W1907" s="9">
        <v>0</v>
      </c>
      <c r="X1907" s="9">
        <v>0</v>
      </c>
      <c r="Y1907" s="9">
        <v>0</v>
      </c>
      <c r="Z1907" s="9">
        <v>0</v>
      </c>
      <c r="AA1907" s="9">
        <v>0</v>
      </c>
      <c r="AB1907" s="9">
        <v>0</v>
      </c>
      <c r="AC1907" s="9">
        <v>0</v>
      </c>
      <c r="AD1907" s="53" t="e">
        <f>#REF!*D1907</f>
        <v>#REF!</v>
      </c>
      <c r="AE1907" s="53" t="e">
        <f>AD1907-#REF!</f>
        <v>#REF!</v>
      </c>
      <c r="AF1907" s="9"/>
      <c r="AG1907" s="33" t="e">
        <f>#REF!-D1907</f>
        <v>#REF!</v>
      </c>
      <c r="AH1907" s="9"/>
      <c r="AI1907" s="9"/>
    </row>
    <row r="1908" spans="1:37" s="12" customFormat="1" ht="20.399999999999999" outlineLevel="1" x14ac:dyDescent="0.2">
      <c r="A1908" s="62" t="s">
        <v>2805</v>
      </c>
      <c r="B1908" s="80" t="s">
        <v>2549</v>
      </c>
      <c r="C1908" s="9" t="s">
        <v>47</v>
      </c>
      <c r="D1908" s="25">
        <f t="shared" si="511"/>
        <v>2</v>
      </c>
      <c r="E1908" s="54"/>
      <c r="F1908" s="9"/>
      <c r="G1908" s="9">
        <v>0</v>
      </c>
      <c r="H1908" s="9">
        <v>0</v>
      </c>
      <c r="I1908" s="9">
        <v>0</v>
      </c>
      <c r="J1908" s="9">
        <v>0</v>
      </c>
      <c r="K1908" s="9">
        <v>0</v>
      </c>
      <c r="L1908" s="9">
        <v>0</v>
      </c>
      <c r="M1908" s="9">
        <v>0</v>
      </c>
      <c r="N1908" s="9">
        <v>0</v>
      </c>
      <c r="O1908" s="9">
        <v>0</v>
      </c>
      <c r="P1908" s="9">
        <v>0</v>
      </c>
      <c r="Q1908" s="9">
        <v>0</v>
      </c>
      <c r="R1908" s="9">
        <v>1</v>
      </c>
      <c r="S1908" s="9">
        <v>0</v>
      </c>
      <c r="T1908" s="9">
        <v>1</v>
      </c>
      <c r="U1908" s="9">
        <v>0</v>
      </c>
      <c r="V1908" s="9">
        <v>0</v>
      </c>
      <c r="W1908" s="9">
        <v>0</v>
      </c>
      <c r="X1908" s="9">
        <v>0</v>
      </c>
      <c r="Y1908" s="9">
        <v>0</v>
      </c>
      <c r="Z1908" s="9">
        <v>0</v>
      </c>
      <c r="AA1908" s="9">
        <v>0</v>
      </c>
      <c r="AB1908" s="9">
        <v>0</v>
      </c>
      <c r="AC1908" s="9">
        <v>0</v>
      </c>
      <c r="AD1908" s="53" t="e">
        <f>#REF!*D1908</f>
        <v>#REF!</v>
      </c>
      <c r="AE1908" s="53" t="e">
        <f>AD1908-#REF!</f>
        <v>#REF!</v>
      </c>
      <c r="AF1908" s="9"/>
      <c r="AG1908" s="33" t="e">
        <f>#REF!-D1908</f>
        <v>#REF!</v>
      </c>
      <c r="AH1908" s="9"/>
      <c r="AI1908" s="9"/>
    </row>
    <row r="1909" spans="1:37" x14ac:dyDescent="0.25">
      <c r="E1909" s="54"/>
      <c r="G1909" s="9"/>
      <c r="H1909" s="76"/>
      <c r="I1909" s="76"/>
      <c r="N1909" s="76"/>
      <c r="U1909" s="76"/>
      <c r="V1909" s="76"/>
      <c r="AA1909" s="76"/>
      <c r="AD1909" s="53" t="e">
        <f>#REF!*D1909</f>
        <v>#REF!</v>
      </c>
      <c r="AE1909" s="53" t="e">
        <f>AD1909-#REF!</f>
        <v>#REF!</v>
      </c>
      <c r="AG1909" s="33" t="e">
        <f>#REF!-D1909</f>
        <v>#REF!</v>
      </c>
      <c r="AJ1909" s="2"/>
      <c r="AK1909" s="2"/>
    </row>
    <row r="1910" spans="1:37" x14ac:dyDescent="0.25">
      <c r="A1910" s="58">
        <v>12</v>
      </c>
      <c r="B1910" s="59" t="s">
        <v>2302</v>
      </c>
      <c r="C1910" s="58" t="s">
        <v>41</v>
      </c>
      <c r="D1910" s="60" t="e">
        <f>#REF!/#REF!*100</f>
        <v>#REF!</v>
      </c>
      <c r="E1910" s="200" t="s">
        <v>2806</v>
      </c>
      <c r="G1910" s="9"/>
      <c r="AD1910" s="53" t="e">
        <f>#REF!*D1910</f>
        <v>#REF!</v>
      </c>
      <c r="AE1910" s="53" t="e">
        <f>AD1910-#REF!</f>
        <v>#REF!</v>
      </c>
      <c r="AG1910" s="33" t="e">
        <f>#REF!-D1910</f>
        <v>#REF!</v>
      </c>
    </row>
    <row r="1911" spans="1:37" x14ac:dyDescent="0.25">
      <c r="A1911" s="18" t="s">
        <v>2256</v>
      </c>
      <c r="B1911" s="35" t="s">
        <v>387</v>
      </c>
      <c r="C1911" s="18" t="s">
        <v>41</v>
      </c>
      <c r="D1911" s="52" t="e">
        <f>#REF!/#REF!*100</f>
        <v>#REF!</v>
      </c>
      <c r="G1911" s="9"/>
      <c r="AB1911" s="214" t="s">
        <v>375</v>
      </c>
      <c r="AD1911" s="53" t="e">
        <f>#REF!*D1911</f>
        <v>#REF!</v>
      </c>
      <c r="AE1911" s="53" t="e">
        <f>AD1911-#REF!</f>
        <v>#REF!</v>
      </c>
      <c r="AG1911" s="33" t="e">
        <f>#REF!-D1911</f>
        <v>#REF!</v>
      </c>
    </row>
    <row r="1912" spans="1:37" s="19" customFormat="1" ht="20.399999999999999" outlineLevel="1" x14ac:dyDescent="0.25">
      <c r="A1912" s="61" t="s">
        <v>2257</v>
      </c>
      <c r="B1912" s="47" t="s">
        <v>2608</v>
      </c>
      <c r="C1912" s="9" t="s">
        <v>48</v>
      </c>
      <c r="D1912" s="25">
        <f>SUM(G1912:AC1912)*3</f>
        <v>6114</v>
      </c>
      <c r="E1912" s="54"/>
      <c r="F1912" s="9"/>
      <c r="G1912" s="9">
        <v>0</v>
      </c>
      <c r="H1912" s="9">
        <f>366-80</f>
        <v>286</v>
      </c>
      <c r="I1912" s="9">
        <f>227-32</f>
        <v>195</v>
      </c>
      <c r="J1912" s="9">
        <f>209-24</f>
        <v>185</v>
      </c>
      <c r="K1912" s="9">
        <f>284-113</f>
        <v>171</v>
      </c>
      <c r="L1912" s="9">
        <f>216-99</f>
        <v>117</v>
      </c>
      <c r="M1912" s="9">
        <v>110</v>
      </c>
      <c r="N1912" s="9">
        <v>105</v>
      </c>
      <c r="O1912" s="9">
        <v>112</v>
      </c>
      <c r="P1912" s="9">
        <v>141</v>
      </c>
      <c r="Q1912" s="9">
        <v>103</v>
      </c>
      <c r="R1912" s="9">
        <v>38</v>
      </c>
      <c r="S1912" s="9">
        <v>0</v>
      </c>
      <c r="T1912" s="9">
        <f>24/3</f>
        <v>8</v>
      </c>
      <c r="U1912" s="9">
        <v>74</v>
      </c>
      <c r="V1912" s="9">
        <v>77</v>
      </c>
      <c r="W1912" s="9">
        <v>69</v>
      </c>
      <c r="X1912" s="9">
        <v>48</v>
      </c>
      <c r="Y1912" s="9">
        <v>63</v>
      </c>
      <c r="Z1912" s="9">
        <v>60</v>
      </c>
      <c r="AA1912" s="9">
        <v>46</v>
      </c>
      <c r="AB1912" s="9">
        <v>30</v>
      </c>
      <c r="AC1912" s="9">
        <v>0</v>
      </c>
      <c r="AD1912" s="53" t="e">
        <f>#REF!*D1912</f>
        <v>#REF!</v>
      </c>
      <c r="AE1912" s="53" t="e">
        <f>AD1912-#REF!</f>
        <v>#REF!</v>
      </c>
      <c r="AF1912" s="9"/>
      <c r="AG1912" s="33" t="e">
        <f>#REF!-D1912</f>
        <v>#REF!</v>
      </c>
      <c r="AH1912" s="9"/>
      <c r="AI1912" s="9"/>
      <c r="AJ1912" s="9"/>
      <c r="AK1912" s="9"/>
    </row>
    <row r="1913" spans="1:37" s="19" customFormat="1" ht="27" customHeight="1" outlineLevel="1" x14ac:dyDescent="0.25">
      <c r="A1913" s="61" t="s">
        <v>2258</v>
      </c>
      <c r="B1913" s="47" t="s">
        <v>2606</v>
      </c>
      <c r="C1913" s="9" t="s">
        <v>48</v>
      </c>
      <c r="D1913" s="25">
        <f>SUM(G1913:AC1913)*3</f>
        <v>36</v>
      </c>
      <c r="E1913" s="54"/>
      <c r="F1913" s="9"/>
      <c r="G1913" s="9">
        <v>0</v>
      </c>
      <c r="H1913" s="9">
        <v>0</v>
      </c>
      <c r="I1913" s="9">
        <v>0</v>
      </c>
      <c r="J1913" s="9">
        <v>0</v>
      </c>
      <c r="K1913" s="9">
        <v>0</v>
      </c>
      <c r="L1913" s="9">
        <v>0</v>
      </c>
      <c r="M1913" s="9">
        <v>0</v>
      </c>
      <c r="N1913" s="9">
        <v>0</v>
      </c>
      <c r="O1913" s="9">
        <v>0</v>
      </c>
      <c r="P1913" s="9">
        <v>0</v>
      </c>
      <c r="Q1913" s="9">
        <v>0</v>
      </c>
      <c r="R1913" s="9">
        <v>0</v>
      </c>
      <c r="S1913" s="9">
        <v>0</v>
      </c>
      <c r="T1913" s="9">
        <f>36/3</f>
        <v>12</v>
      </c>
      <c r="U1913" s="9">
        <v>0</v>
      </c>
      <c r="V1913" s="9">
        <v>0</v>
      </c>
      <c r="W1913" s="9">
        <v>0</v>
      </c>
      <c r="X1913" s="9">
        <v>0</v>
      </c>
      <c r="Y1913" s="9">
        <v>0</v>
      </c>
      <c r="Z1913" s="9">
        <v>0</v>
      </c>
      <c r="AA1913" s="9">
        <v>0</v>
      </c>
      <c r="AB1913" s="9">
        <v>0</v>
      </c>
      <c r="AC1913" s="9">
        <v>0</v>
      </c>
      <c r="AD1913" s="53" t="e">
        <f>#REF!*D1913</f>
        <v>#REF!</v>
      </c>
      <c r="AE1913" s="53" t="e">
        <f>AD1913-#REF!</f>
        <v>#REF!</v>
      </c>
      <c r="AF1913" s="9"/>
      <c r="AG1913" s="33" t="e">
        <f>#REF!-D1913</f>
        <v>#REF!</v>
      </c>
      <c r="AH1913" s="9"/>
      <c r="AI1913" s="9"/>
      <c r="AJ1913" s="9"/>
      <c r="AK1913" s="9"/>
    </row>
    <row r="1914" spans="1:37" s="19" customFormat="1" ht="30.6" outlineLevel="1" x14ac:dyDescent="0.25">
      <c r="A1914" s="61" t="s">
        <v>2259</v>
      </c>
      <c r="B1914" s="47" t="s">
        <v>2609</v>
      </c>
      <c r="C1914" s="9" t="s">
        <v>48</v>
      </c>
      <c r="D1914" s="25">
        <f>SUM(G1914:AC1914)*3</f>
        <v>45</v>
      </c>
      <c r="E1914" s="54"/>
      <c r="F1914" s="9"/>
      <c r="G1914" s="9">
        <v>0</v>
      </c>
      <c r="H1914" s="9">
        <v>0</v>
      </c>
      <c r="I1914" s="9">
        <v>0</v>
      </c>
      <c r="J1914" s="9">
        <v>0</v>
      </c>
      <c r="K1914" s="9">
        <v>0</v>
      </c>
      <c r="L1914" s="9">
        <v>0</v>
      </c>
      <c r="M1914" s="9">
        <v>0</v>
      </c>
      <c r="N1914" s="9">
        <v>0</v>
      </c>
      <c r="O1914" s="9">
        <v>0</v>
      </c>
      <c r="P1914" s="9">
        <v>0</v>
      </c>
      <c r="Q1914" s="9">
        <v>0</v>
      </c>
      <c r="R1914" s="9">
        <v>0</v>
      </c>
      <c r="S1914" s="9">
        <v>0</v>
      </c>
      <c r="T1914" s="9">
        <f>27/3</f>
        <v>9</v>
      </c>
      <c r="U1914" s="9">
        <f>18/3</f>
        <v>6</v>
      </c>
      <c r="V1914" s="9">
        <v>0</v>
      </c>
      <c r="W1914" s="9">
        <v>0</v>
      </c>
      <c r="X1914" s="9">
        <v>0</v>
      </c>
      <c r="Y1914" s="9">
        <v>0</v>
      </c>
      <c r="Z1914" s="9">
        <v>0</v>
      </c>
      <c r="AA1914" s="9">
        <v>0</v>
      </c>
      <c r="AB1914" s="9">
        <v>0</v>
      </c>
      <c r="AC1914" s="9">
        <v>0</v>
      </c>
      <c r="AD1914" s="53" t="e">
        <f>#REF!*D1914</f>
        <v>#REF!</v>
      </c>
      <c r="AE1914" s="53" t="e">
        <f>AD1914-#REF!</f>
        <v>#REF!</v>
      </c>
      <c r="AF1914" s="9"/>
      <c r="AG1914" s="33" t="e">
        <f>#REF!-D1914</f>
        <v>#REF!</v>
      </c>
      <c r="AH1914" s="9"/>
      <c r="AI1914" s="9"/>
      <c r="AJ1914" s="9"/>
      <c r="AK1914" s="9"/>
    </row>
    <row r="1915" spans="1:37" s="19" customFormat="1" ht="24.75" customHeight="1" outlineLevel="1" x14ac:dyDescent="0.25">
      <c r="A1915" s="61" t="s">
        <v>2260</v>
      </c>
      <c r="B1915" s="47" t="s">
        <v>2803</v>
      </c>
      <c r="C1915" s="8" t="s">
        <v>47</v>
      </c>
      <c r="D1915" s="25">
        <f t="shared" ref="D1915:D1936" si="513">SUM(G1915:AC1915)</f>
        <v>279</v>
      </c>
      <c r="E1915" s="54"/>
      <c r="F1915" s="9"/>
      <c r="G1915" s="49">
        <f t="shared" ref="G1915:R1915" si="514">MROUND((G1947)*0.36,1)</f>
        <v>0</v>
      </c>
      <c r="H1915" s="49">
        <f t="shared" si="514"/>
        <v>47</v>
      </c>
      <c r="I1915" s="49">
        <f t="shared" si="514"/>
        <v>34</v>
      </c>
      <c r="J1915" s="49">
        <f t="shared" si="514"/>
        <v>26</v>
      </c>
      <c r="K1915" s="49">
        <f t="shared" si="514"/>
        <v>28</v>
      </c>
      <c r="L1915" s="49">
        <f t="shared" si="514"/>
        <v>21</v>
      </c>
      <c r="M1915" s="49">
        <f t="shared" si="514"/>
        <v>18</v>
      </c>
      <c r="N1915" s="49">
        <f t="shared" si="514"/>
        <v>18</v>
      </c>
      <c r="O1915" s="49">
        <f t="shared" si="514"/>
        <v>19</v>
      </c>
      <c r="P1915" s="49">
        <f t="shared" si="514"/>
        <v>24</v>
      </c>
      <c r="Q1915" s="49">
        <f t="shared" si="514"/>
        <v>17</v>
      </c>
      <c r="R1915" s="49">
        <f t="shared" si="514"/>
        <v>4</v>
      </c>
      <c r="S1915" s="9">
        <v>0</v>
      </c>
      <c r="T1915" s="9">
        <v>0</v>
      </c>
      <c r="U1915" s="49">
        <v>4</v>
      </c>
      <c r="V1915" s="49">
        <v>4</v>
      </c>
      <c r="W1915" s="49">
        <v>4</v>
      </c>
      <c r="X1915" s="49">
        <v>2</v>
      </c>
      <c r="Y1915" s="49">
        <v>3</v>
      </c>
      <c r="Z1915" s="49">
        <v>2</v>
      </c>
      <c r="AA1915" s="49">
        <v>2</v>
      </c>
      <c r="AB1915" s="49">
        <v>2</v>
      </c>
      <c r="AC1915" s="9">
        <v>0</v>
      </c>
      <c r="AD1915" s="53" t="e">
        <f>#REF!*D1915</f>
        <v>#REF!</v>
      </c>
      <c r="AE1915" s="53" t="e">
        <f>AD1915-#REF!</f>
        <v>#REF!</v>
      </c>
      <c r="AF1915" s="9"/>
      <c r="AG1915" s="33" t="e">
        <f>#REF!-D1915</f>
        <v>#REF!</v>
      </c>
      <c r="AH1915" s="9"/>
      <c r="AI1915" s="9"/>
      <c r="AJ1915" s="9"/>
      <c r="AK1915" s="9"/>
    </row>
    <row r="1916" spans="1:37" s="19" customFormat="1" ht="22.2" outlineLevel="1" x14ac:dyDescent="0.25">
      <c r="A1916" s="61" t="s">
        <v>2261</v>
      </c>
      <c r="B1916" s="14" t="s">
        <v>2250</v>
      </c>
      <c r="C1916" s="8" t="s">
        <v>47</v>
      </c>
      <c r="D1916" s="25">
        <f t="shared" si="513"/>
        <v>4</v>
      </c>
      <c r="E1916" s="54"/>
      <c r="F1916" s="9"/>
      <c r="G1916" s="9">
        <v>0</v>
      </c>
      <c r="H1916" s="9">
        <v>1</v>
      </c>
      <c r="I1916" s="9">
        <v>0</v>
      </c>
      <c r="J1916" s="9">
        <v>0</v>
      </c>
      <c r="K1916" s="9">
        <v>0</v>
      </c>
      <c r="L1916" s="9">
        <v>0</v>
      </c>
      <c r="M1916" s="9">
        <v>0</v>
      </c>
      <c r="N1916" s="9">
        <v>0</v>
      </c>
      <c r="O1916" s="9">
        <v>0</v>
      </c>
      <c r="P1916" s="9">
        <v>0</v>
      </c>
      <c r="Q1916" s="9">
        <v>0</v>
      </c>
      <c r="R1916" s="9">
        <v>0</v>
      </c>
      <c r="S1916" s="9">
        <v>0</v>
      </c>
      <c r="T1916" s="9">
        <v>2</v>
      </c>
      <c r="U1916" s="9">
        <v>1</v>
      </c>
      <c r="V1916" s="9">
        <v>0</v>
      </c>
      <c r="W1916" s="9">
        <v>0</v>
      </c>
      <c r="X1916" s="9">
        <v>0</v>
      </c>
      <c r="Y1916" s="9">
        <v>0</v>
      </c>
      <c r="Z1916" s="9">
        <v>0</v>
      </c>
      <c r="AA1916" s="9">
        <v>0</v>
      </c>
      <c r="AB1916" s="9">
        <v>0</v>
      </c>
      <c r="AC1916" s="9">
        <v>0</v>
      </c>
      <c r="AD1916" s="53" t="e">
        <f>#REF!*D1916</f>
        <v>#REF!</v>
      </c>
      <c r="AE1916" s="53" t="e">
        <f>AD1916-#REF!</f>
        <v>#REF!</v>
      </c>
      <c r="AF1916" s="9"/>
      <c r="AG1916" s="33" t="e">
        <f>#REF!-D1916</f>
        <v>#REF!</v>
      </c>
      <c r="AH1916" s="9"/>
      <c r="AI1916" s="9"/>
      <c r="AJ1916" s="9"/>
      <c r="AK1916" s="9"/>
    </row>
    <row r="1917" spans="1:37" s="19" customFormat="1" ht="22.2" outlineLevel="1" x14ac:dyDescent="0.25">
      <c r="A1917" s="61" t="s">
        <v>2262</v>
      </c>
      <c r="B1917" s="14" t="s">
        <v>2251</v>
      </c>
      <c r="C1917" s="8" t="s">
        <v>47</v>
      </c>
      <c r="D1917" s="25">
        <f t="shared" si="513"/>
        <v>4</v>
      </c>
      <c r="E1917" s="54"/>
      <c r="F1917" s="9"/>
      <c r="G1917" s="9">
        <v>0</v>
      </c>
      <c r="H1917" s="9">
        <v>1</v>
      </c>
      <c r="I1917" s="9">
        <v>0</v>
      </c>
      <c r="J1917" s="9">
        <v>0</v>
      </c>
      <c r="K1917" s="9">
        <v>0</v>
      </c>
      <c r="L1917" s="9">
        <v>0</v>
      </c>
      <c r="M1917" s="9">
        <v>0</v>
      </c>
      <c r="N1917" s="9">
        <v>0</v>
      </c>
      <c r="O1917" s="9">
        <v>0</v>
      </c>
      <c r="P1917" s="9">
        <v>0</v>
      </c>
      <c r="Q1917" s="9">
        <v>0</v>
      </c>
      <c r="R1917" s="9">
        <v>0</v>
      </c>
      <c r="S1917" s="9">
        <v>0</v>
      </c>
      <c r="T1917" s="9">
        <v>2</v>
      </c>
      <c r="U1917" s="9">
        <v>1</v>
      </c>
      <c r="V1917" s="9">
        <v>0</v>
      </c>
      <c r="W1917" s="9">
        <v>0</v>
      </c>
      <c r="X1917" s="9">
        <v>0</v>
      </c>
      <c r="Y1917" s="9">
        <v>0</v>
      </c>
      <c r="Z1917" s="9">
        <v>0</v>
      </c>
      <c r="AA1917" s="9">
        <v>0</v>
      </c>
      <c r="AB1917" s="9">
        <v>0</v>
      </c>
      <c r="AC1917" s="9">
        <v>0</v>
      </c>
      <c r="AD1917" s="53" t="e">
        <f>#REF!*D1917</f>
        <v>#REF!</v>
      </c>
      <c r="AE1917" s="53" t="e">
        <f>AD1917-#REF!</f>
        <v>#REF!</v>
      </c>
      <c r="AF1917" s="9"/>
      <c r="AG1917" s="33" t="e">
        <f>#REF!-D1917</f>
        <v>#REF!</v>
      </c>
      <c r="AH1917" s="9"/>
      <c r="AI1917" s="9"/>
      <c r="AJ1917" s="9"/>
      <c r="AK1917" s="9"/>
    </row>
    <row r="1918" spans="1:37" s="19" customFormat="1" ht="21" outlineLevel="1" x14ac:dyDescent="0.25">
      <c r="A1918" s="61" t="s">
        <v>2263</v>
      </c>
      <c r="B1918" s="14" t="s">
        <v>288</v>
      </c>
      <c r="C1918" s="8" t="s">
        <v>47</v>
      </c>
      <c r="D1918" s="25">
        <f t="shared" si="513"/>
        <v>558</v>
      </c>
      <c r="E1918" s="54"/>
      <c r="F1918" s="9"/>
      <c r="G1918" s="88">
        <f t="shared" ref="G1918:AC1918" si="515">G1915*2</f>
        <v>0</v>
      </c>
      <c r="H1918" s="88">
        <f t="shared" si="515"/>
        <v>94</v>
      </c>
      <c r="I1918" s="88">
        <f t="shared" si="515"/>
        <v>68</v>
      </c>
      <c r="J1918" s="88">
        <f t="shared" si="515"/>
        <v>52</v>
      </c>
      <c r="K1918" s="88">
        <f t="shared" si="515"/>
        <v>56</v>
      </c>
      <c r="L1918" s="88">
        <f t="shared" si="515"/>
        <v>42</v>
      </c>
      <c r="M1918" s="88">
        <f t="shared" si="515"/>
        <v>36</v>
      </c>
      <c r="N1918" s="88">
        <f t="shared" si="515"/>
        <v>36</v>
      </c>
      <c r="O1918" s="88">
        <f t="shared" si="515"/>
        <v>38</v>
      </c>
      <c r="P1918" s="88">
        <f t="shared" si="515"/>
        <v>48</v>
      </c>
      <c r="Q1918" s="88">
        <f t="shared" si="515"/>
        <v>34</v>
      </c>
      <c r="R1918" s="88">
        <f t="shared" si="515"/>
        <v>8</v>
      </c>
      <c r="S1918" s="88">
        <f t="shared" si="515"/>
        <v>0</v>
      </c>
      <c r="T1918" s="88">
        <f t="shared" si="515"/>
        <v>0</v>
      </c>
      <c r="U1918" s="88">
        <f t="shared" si="515"/>
        <v>8</v>
      </c>
      <c r="V1918" s="88">
        <f t="shared" si="515"/>
        <v>8</v>
      </c>
      <c r="W1918" s="88">
        <f t="shared" si="515"/>
        <v>8</v>
      </c>
      <c r="X1918" s="88">
        <f t="shared" si="515"/>
        <v>4</v>
      </c>
      <c r="Y1918" s="88">
        <f t="shared" si="515"/>
        <v>6</v>
      </c>
      <c r="Z1918" s="88">
        <f t="shared" si="515"/>
        <v>4</v>
      </c>
      <c r="AA1918" s="88">
        <f t="shared" si="515"/>
        <v>4</v>
      </c>
      <c r="AB1918" s="88">
        <f t="shared" si="515"/>
        <v>4</v>
      </c>
      <c r="AC1918" s="88">
        <f t="shared" si="515"/>
        <v>0</v>
      </c>
      <c r="AD1918" s="53" t="e">
        <f>#REF!*D1918</f>
        <v>#REF!</v>
      </c>
      <c r="AE1918" s="53" t="e">
        <f>AD1918-#REF!</f>
        <v>#REF!</v>
      </c>
      <c r="AF1918" s="9"/>
      <c r="AG1918" s="33" t="e">
        <f>#REF!-D1918</f>
        <v>#REF!</v>
      </c>
      <c r="AH1918" s="9"/>
      <c r="AI1918" s="9"/>
      <c r="AJ1918" s="9"/>
      <c r="AK1918" s="9"/>
    </row>
    <row r="1919" spans="1:37" s="19" customFormat="1" ht="21" outlineLevel="1" x14ac:dyDescent="0.25">
      <c r="A1919" s="61" t="s">
        <v>2264</v>
      </c>
      <c r="B1919" s="14" t="s">
        <v>2252</v>
      </c>
      <c r="C1919" s="8" t="s">
        <v>47</v>
      </c>
      <c r="D1919" s="25">
        <f t="shared" si="513"/>
        <v>8</v>
      </c>
      <c r="E1919" s="54"/>
      <c r="F1919" s="9"/>
      <c r="G1919" s="88">
        <f t="shared" ref="G1919:AC1919" si="516">G1916*2</f>
        <v>0</v>
      </c>
      <c r="H1919" s="88">
        <f t="shared" si="516"/>
        <v>2</v>
      </c>
      <c r="I1919" s="88">
        <f t="shared" si="516"/>
        <v>0</v>
      </c>
      <c r="J1919" s="88">
        <f t="shared" si="516"/>
        <v>0</v>
      </c>
      <c r="K1919" s="88">
        <f t="shared" si="516"/>
        <v>0</v>
      </c>
      <c r="L1919" s="88">
        <f t="shared" si="516"/>
        <v>0</v>
      </c>
      <c r="M1919" s="88">
        <f t="shared" si="516"/>
        <v>0</v>
      </c>
      <c r="N1919" s="88">
        <f t="shared" si="516"/>
        <v>0</v>
      </c>
      <c r="O1919" s="88">
        <f t="shared" si="516"/>
        <v>0</v>
      </c>
      <c r="P1919" s="88">
        <f t="shared" si="516"/>
        <v>0</v>
      </c>
      <c r="Q1919" s="88">
        <f t="shared" si="516"/>
        <v>0</v>
      </c>
      <c r="R1919" s="88">
        <f t="shared" si="516"/>
        <v>0</v>
      </c>
      <c r="S1919" s="88">
        <f t="shared" si="516"/>
        <v>0</v>
      </c>
      <c r="T1919" s="88">
        <f t="shared" si="516"/>
        <v>4</v>
      </c>
      <c r="U1919" s="88">
        <f t="shared" si="516"/>
        <v>2</v>
      </c>
      <c r="V1919" s="88">
        <f t="shared" si="516"/>
        <v>0</v>
      </c>
      <c r="W1919" s="88">
        <f t="shared" si="516"/>
        <v>0</v>
      </c>
      <c r="X1919" s="88">
        <f t="shared" si="516"/>
        <v>0</v>
      </c>
      <c r="Y1919" s="88">
        <f t="shared" si="516"/>
        <v>0</v>
      </c>
      <c r="Z1919" s="88">
        <f t="shared" si="516"/>
        <v>0</v>
      </c>
      <c r="AA1919" s="88">
        <f t="shared" si="516"/>
        <v>0</v>
      </c>
      <c r="AB1919" s="88">
        <f t="shared" si="516"/>
        <v>0</v>
      </c>
      <c r="AC1919" s="88">
        <f t="shared" si="516"/>
        <v>0</v>
      </c>
      <c r="AD1919" s="53" t="e">
        <f>#REF!*D1919</f>
        <v>#REF!</v>
      </c>
      <c r="AE1919" s="53" t="e">
        <f>AD1919-#REF!</f>
        <v>#REF!</v>
      </c>
      <c r="AF1919" s="9"/>
      <c r="AG1919" s="33" t="e">
        <f>#REF!-D1919</f>
        <v>#REF!</v>
      </c>
      <c r="AH1919" s="9"/>
      <c r="AI1919" s="9"/>
      <c r="AJ1919" s="9"/>
      <c r="AK1919" s="9"/>
    </row>
    <row r="1920" spans="1:37" s="19" customFormat="1" ht="21" outlineLevel="1" x14ac:dyDescent="0.25">
      <c r="A1920" s="61" t="s">
        <v>2265</v>
      </c>
      <c r="B1920" s="14" t="s">
        <v>2253</v>
      </c>
      <c r="C1920" s="8" t="s">
        <v>47</v>
      </c>
      <c r="D1920" s="25">
        <f t="shared" si="513"/>
        <v>8</v>
      </c>
      <c r="E1920" s="54"/>
      <c r="F1920" s="9"/>
      <c r="G1920" s="88">
        <f t="shared" ref="G1920:AC1920" si="517">G1917*2</f>
        <v>0</v>
      </c>
      <c r="H1920" s="88">
        <f t="shared" si="517"/>
        <v>2</v>
      </c>
      <c r="I1920" s="88">
        <f t="shared" si="517"/>
        <v>0</v>
      </c>
      <c r="J1920" s="88">
        <f t="shared" si="517"/>
        <v>0</v>
      </c>
      <c r="K1920" s="88">
        <f t="shared" si="517"/>
        <v>0</v>
      </c>
      <c r="L1920" s="88">
        <f t="shared" si="517"/>
        <v>0</v>
      </c>
      <c r="M1920" s="88">
        <f t="shared" si="517"/>
        <v>0</v>
      </c>
      <c r="N1920" s="88">
        <f t="shared" si="517"/>
        <v>0</v>
      </c>
      <c r="O1920" s="88">
        <f t="shared" si="517"/>
        <v>0</v>
      </c>
      <c r="P1920" s="88">
        <f t="shared" si="517"/>
        <v>0</v>
      </c>
      <c r="Q1920" s="88">
        <f t="shared" si="517"/>
        <v>0</v>
      </c>
      <c r="R1920" s="88">
        <f t="shared" si="517"/>
        <v>0</v>
      </c>
      <c r="S1920" s="88">
        <f t="shared" si="517"/>
        <v>0</v>
      </c>
      <c r="T1920" s="88">
        <f t="shared" si="517"/>
        <v>4</v>
      </c>
      <c r="U1920" s="88">
        <f t="shared" si="517"/>
        <v>2</v>
      </c>
      <c r="V1920" s="88">
        <f t="shared" si="517"/>
        <v>0</v>
      </c>
      <c r="W1920" s="88">
        <f t="shared" si="517"/>
        <v>0</v>
      </c>
      <c r="X1920" s="88">
        <f t="shared" si="517"/>
        <v>0</v>
      </c>
      <c r="Y1920" s="88">
        <f t="shared" si="517"/>
        <v>0</v>
      </c>
      <c r="Z1920" s="88">
        <f t="shared" si="517"/>
        <v>0</v>
      </c>
      <c r="AA1920" s="88">
        <f t="shared" si="517"/>
        <v>0</v>
      </c>
      <c r="AB1920" s="88">
        <f t="shared" si="517"/>
        <v>0</v>
      </c>
      <c r="AC1920" s="88">
        <f t="shared" si="517"/>
        <v>0</v>
      </c>
      <c r="AD1920" s="53" t="e">
        <f>#REF!*D1920</f>
        <v>#REF!</v>
      </c>
      <c r="AE1920" s="53" t="e">
        <f>AD1920-#REF!</f>
        <v>#REF!</v>
      </c>
      <c r="AF1920" s="9"/>
      <c r="AG1920" s="33" t="e">
        <f>#REF!-D1920</f>
        <v>#REF!</v>
      </c>
      <c r="AH1920" s="9"/>
      <c r="AI1920" s="9"/>
      <c r="AJ1920" s="9"/>
      <c r="AK1920" s="9"/>
    </row>
    <row r="1921" spans="1:37" s="17" customFormat="1" ht="20.399999999999999" outlineLevel="1" x14ac:dyDescent="0.2">
      <c r="A1921" s="61" t="s">
        <v>2266</v>
      </c>
      <c r="B1921" s="14" t="s">
        <v>68</v>
      </c>
      <c r="C1921" s="9" t="s">
        <v>36</v>
      </c>
      <c r="D1921" s="25">
        <f t="shared" si="513"/>
        <v>14</v>
      </c>
      <c r="E1921" s="54"/>
      <c r="F1921" s="9"/>
      <c r="G1921" s="9">
        <v>0</v>
      </c>
      <c r="H1921" s="9">
        <v>0</v>
      </c>
      <c r="I1921" s="9">
        <v>0</v>
      </c>
      <c r="J1921" s="9">
        <v>0</v>
      </c>
      <c r="K1921" s="9">
        <v>0</v>
      </c>
      <c r="L1921" s="9">
        <v>0</v>
      </c>
      <c r="M1921" s="9">
        <v>0</v>
      </c>
      <c r="N1921" s="9">
        <v>0</v>
      </c>
      <c r="O1921" s="9">
        <v>0</v>
      </c>
      <c r="P1921" s="9">
        <v>0</v>
      </c>
      <c r="Q1921" s="9">
        <v>0</v>
      </c>
      <c r="R1921" s="9">
        <v>0</v>
      </c>
      <c r="S1921" s="9">
        <v>0</v>
      </c>
      <c r="T1921" s="9">
        <v>14</v>
      </c>
      <c r="U1921" s="9">
        <v>0</v>
      </c>
      <c r="V1921" s="9">
        <v>0</v>
      </c>
      <c r="W1921" s="9">
        <v>0</v>
      </c>
      <c r="X1921" s="9">
        <v>0</v>
      </c>
      <c r="Y1921" s="9">
        <v>0</v>
      </c>
      <c r="Z1921" s="9">
        <v>0</v>
      </c>
      <c r="AA1921" s="9">
        <v>0</v>
      </c>
      <c r="AB1921" s="9">
        <v>0</v>
      </c>
      <c r="AC1921" s="9">
        <v>0</v>
      </c>
      <c r="AD1921" s="53" t="e">
        <f>#REF!*D1921</f>
        <v>#REF!</v>
      </c>
      <c r="AE1921" s="53" t="e">
        <f>AD1921-#REF!</f>
        <v>#REF!</v>
      </c>
      <c r="AF1921" s="9"/>
      <c r="AG1921" s="33" t="e">
        <f>#REF!-D1921</f>
        <v>#REF!</v>
      </c>
      <c r="AH1921" s="9"/>
      <c r="AI1921" s="9"/>
      <c r="AJ1921" s="9"/>
      <c r="AK1921" s="9"/>
    </row>
    <row r="1922" spans="1:37" s="17" customFormat="1" ht="20.399999999999999" outlineLevel="1" x14ac:dyDescent="0.2">
      <c r="A1922" s="61" t="s">
        <v>2267</v>
      </c>
      <c r="B1922" s="14" t="s">
        <v>226</v>
      </c>
      <c r="C1922" s="9" t="s">
        <v>36</v>
      </c>
      <c r="D1922" s="25">
        <f t="shared" si="513"/>
        <v>22</v>
      </c>
      <c r="E1922" s="54"/>
      <c r="F1922" s="9"/>
      <c r="G1922" s="9">
        <v>0</v>
      </c>
      <c r="H1922" s="9">
        <v>1</v>
      </c>
      <c r="I1922" s="9">
        <v>0</v>
      </c>
      <c r="J1922" s="9">
        <v>0</v>
      </c>
      <c r="K1922" s="9">
        <v>0</v>
      </c>
      <c r="L1922" s="9">
        <v>0</v>
      </c>
      <c r="M1922" s="9">
        <v>0</v>
      </c>
      <c r="N1922" s="9">
        <v>0</v>
      </c>
      <c r="O1922" s="9">
        <v>0</v>
      </c>
      <c r="P1922" s="9">
        <v>0</v>
      </c>
      <c r="Q1922" s="9">
        <v>0</v>
      </c>
      <c r="R1922" s="9">
        <v>0</v>
      </c>
      <c r="S1922" s="9">
        <v>0</v>
      </c>
      <c r="T1922" s="9">
        <v>20</v>
      </c>
      <c r="U1922" s="9">
        <v>1</v>
      </c>
      <c r="V1922" s="9">
        <v>0</v>
      </c>
      <c r="W1922" s="9">
        <v>0</v>
      </c>
      <c r="X1922" s="9">
        <v>0</v>
      </c>
      <c r="Y1922" s="9">
        <v>0</v>
      </c>
      <c r="Z1922" s="9">
        <v>0</v>
      </c>
      <c r="AA1922" s="9">
        <v>0</v>
      </c>
      <c r="AB1922" s="9">
        <v>0</v>
      </c>
      <c r="AC1922" s="9">
        <v>0</v>
      </c>
      <c r="AD1922" s="53" t="e">
        <f>#REF!*D1922</f>
        <v>#REF!</v>
      </c>
      <c r="AE1922" s="53" t="e">
        <f>AD1922-#REF!</f>
        <v>#REF!</v>
      </c>
      <c r="AF1922" s="9"/>
      <c r="AG1922" s="33" t="e">
        <f>#REF!-D1922</f>
        <v>#REF!</v>
      </c>
      <c r="AH1922" s="9"/>
      <c r="AI1922" s="9"/>
      <c r="AJ1922" s="9"/>
      <c r="AK1922" s="9"/>
    </row>
    <row r="1923" spans="1:37" s="17" customFormat="1" ht="20.399999999999999" outlineLevel="1" x14ac:dyDescent="0.2">
      <c r="A1923" s="61" t="s">
        <v>2268</v>
      </c>
      <c r="B1923" s="14" t="s">
        <v>227</v>
      </c>
      <c r="C1923" s="9" t="s">
        <v>36</v>
      </c>
      <c r="D1923" s="25">
        <f t="shared" si="513"/>
        <v>18</v>
      </c>
      <c r="E1923" s="54"/>
      <c r="F1923" s="9"/>
      <c r="G1923" s="9">
        <v>0</v>
      </c>
      <c r="H1923" s="9">
        <v>0</v>
      </c>
      <c r="I1923" s="9">
        <v>0</v>
      </c>
      <c r="J1923" s="9">
        <v>0</v>
      </c>
      <c r="K1923" s="9">
        <v>0</v>
      </c>
      <c r="L1923" s="9">
        <v>0</v>
      </c>
      <c r="M1923" s="9">
        <v>0</v>
      </c>
      <c r="N1923" s="9">
        <v>0</v>
      </c>
      <c r="O1923" s="9">
        <v>0</v>
      </c>
      <c r="P1923" s="9">
        <v>0</v>
      </c>
      <c r="Q1923" s="9">
        <v>0</v>
      </c>
      <c r="R1923" s="9">
        <v>0</v>
      </c>
      <c r="S1923" s="9">
        <v>0</v>
      </c>
      <c r="T1923" s="9">
        <v>16</v>
      </c>
      <c r="U1923" s="9">
        <v>2</v>
      </c>
      <c r="V1923" s="9">
        <v>0</v>
      </c>
      <c r="W1923" s="9">
        <v>0</v>
      </c>
      <c r="X1923" s="9">
        <v>0</v>
      </c>
      <c r="Y1923" s="9">
        <v>0</v>
      </c>
      <c r="Z1923" s="9">
        <v>0</v>
      </c>
      <c r="AA1923" s="9">
        <v>0</v>
      </c>
      <c r="AB1923" s="9">
        <v>0</v>
      </c>
      <c r="AC1923" s="9">
        <v>0</v>
      </c>
      <c r="AD1923" s="53" t="e">
        <f>#REF!*D1923</f>
        <v>#REF!</v>
      </c>
      <c r="AE1923" s="53" t="e">
        <f>AD1923-#REF!</f>
        <v>#REF!</v>
      </c>
      <c r="AF1923" s="9"/>
      <c r="AG1923" s="33" t="e">
        <f>#REF!-D1923</f>
        <v>#REF!</v>
      </c>
      <c r="AH1923" s="9"/>
      <c r="AI1923" s="9"/>
      <c r="AJ1923" s="9"/>
      <c r="AK1923" s="9"/>
    </row>
    <row r="1924" spans="1:37" s="17" customFormat="1" ht="20.399999999999999" outlineLevel="1" x14ac:dyDescent="0.2">
      <c r="A1924" s="61" t="s">
        <v>2269</v>
      </c>
      <c r="B1924" s="14" t="s">
        <v>2518</v>
      </c>
      <c r="C1924" s="9" t="s">
        <v>48</v>
      </c>
      <c r="D1924" s="25">
        <f t="shared" si="513"/>
        <v>1071</v>
      </c>
      <c r="E1924" s="54"/>
      <c r="F1924" s="9"/>
      <c r="G1924" s="49">
        <v>2</v>
      </c>
      <c r="H1924" s="49">
        <f t="shared" ref="H1924:R1924" si="518">H1947</f>
        <v>131</v>
      </c>
      <c r="I1924" s="49">
        <f t="shared" si="518"/>
        <v>95</v>
      </c>
      <c r="J1924" s="49">
        <f t="shared" si="518"/>
        <v>71</v>
      </c>
      <c r="K1924" s="49">
        <f t="shared" si="518"/>
        <v>77</v>
      </c>
      <c r="L1924" s="49">
        <f t="shared" si="518"/>
        <v>57</v>
      </c>
      <c r="M1924" s="49">
        <f t="shared" si="518"/>
        <v>51</v>
      </c>
      <c r="N1924" s="49">
        <f t="shared" si="518"/>
        <v>49</v>
      </c>
      <c r="O1924" s="49">
        <f t="shared" si="518"/>
        <v>52</v>
      </c>
      <c r="P1924" s="49">
        <f t="shared" si="518"/>
        <v>66</v>
      </c>
      <c r="Q1924" s="49">
        <f t="shared" si="518"/>
        <v>47</v>
      </c>
      <c r="R1924" s="49">
        <f t="shared" si="518"/>
        <v>11</v>
      </c>
      <c r="S1924" s="9">
        <v>0</v>
      </c>
      <c r="T1924" s="9">
        <v>0</v>
      </c>
      <c r="U1924" s="49">
        <f t="shared" ref="U1924:AB1924" si="519">U1947</f>
        <v>58</v>
      </c>
      <c r="V1924" s="49">
        <f t="shared" si="519"/>
        <v>61</v>
      </c>
      <c r="W1924" s="49">
        <f t="shared" si="519"/>
        <v>54</v>
      </c>
      <c r="X1924" s="49">
        <f t="shared" si="519"/>
        <v>38</v>
      </c>
      <c r="Y1924" s="49">
        <f t="shared" si="519"/>
        <v>50</v>
      </c>
      <c r="Z1924" s="49">
        <f t="shared" si="519"/>
        <v>49</v>
      </c>
      <c r="AA1924" s="49">
        <f t="shared" si="519"/>
        <v>37</v>
      </c>
      <c r="AB1924" s="49">
        <f t="shared" si="519"/>
        <v>15</v>
      </c>
      <c r="AC1924" s="9">
        <v>0</v>
      </c>
      <c r="AD1924" s="53" t="e">
        <f>#REF!*D1924</f>
        <v>#REF!</v>
      </c>
      <c r="AE1924" s="53" t="e">
        <f>AD1924-#REF!</f>
        <v>#REF!</v>
      </c>
      <c r="AF1924" s="9"/>
      <c r="AG1924" s="33" t="e">
        <f>#REF!-D1924</f>
        <v>#REF!</v>
      </c>
      <c r="AH1924" s="9"/>
      <c r="AI1924" s="9"/>
      <c r="AJ1924" s="9"/>
      <c r="AK1924" s="9"/>
    </row>
    <row r="1925" spans="1:37" s="17" customFormat="1" ht="20.399999999999999" outlineLevel="1" x14ac:dyDescent="0.2">
      <c r="A1925" s="61" t="s">
        <v>2270</v>
      </c>
      <c r="B1925" s="14" t="s">
        <v>367</v>
      </c>
      <c r="C1925" s="8" t="s">
        <v>47</v>
      </c>
      <c r="D1925" s="25">
        <f t="shared" si="513"/>
        <v>2138</v>
      </c>
      <c r="E1925" s="54"/>
      <c r="F1925" s="9"/>
      <c r="G1925" s="9">
        <v>0</v>
      </c>
      <c r="H1925" s="49">
        <f t="shared" ref="H1925:R1925" si="520">H1924*2</f>
        <v>262</v>
      </c>
      <c r="I1925" s="49">
        <f t="shared" si="520"/>
        <v>190</v>
      </c>
      <c r="J1925" s="49">
        <f t="shared" si="520"/>
        <v>142</v>
      </c>
      <c r="K1925" s="49">
        <f t="shared" si="520"/>
        <v>154</v>
      </c>
      <c r="L1925" s="49">
        <f t="shared" si="520"/>
        <v>114</v>
      </c>
      <c r="M1925" s="49">
        <f t="shared" si="520"/>
        <v>102</v>
      </c>
      <c r="N1925" s="49">
        <f t="shared" si="520"/>
        <v>98</v>
      </c>
      <c r="O1925" s="49">
        <f t="shared" si="520"/>
        <v>104</v>
      </c>
      <c r="P1925" s="49">
        <f t="shared" si="520"/>
        <v>132</v>
      </c>
      <c r="Q1925" s="49">
        <f t="shared" si="520"/>
        <v>94</v>
      </c>
      <c r="R1925" s="49">
        <f t="shared" si="520"/>
        <v>22</v>
      </c>
      <c r="S1925" s="9">
        <v>0</v>
      </c>
      <c r="T1925" s="9">
        <v>0</v>
      </c>
      <c r="U1925" s="49">
        <f t="shared" ref="U1925:AB1925" si="521">U1924*2</f>
        <v>116</v>
      </c>
      <c r="V1925" s="49">
        <f t="shared" si="521"/>
        <v>122</v>
      </c>
      <c r="W1925" s="49">
        <f t="shared" si="521"/>
        <v>108</v>
      </c>
      <c r="X1925" s="49">
        <f t="shared" si="521"/>
        <v>76</v>
      </c>
      <c r="Y1925" s="49">
        <f t="shared" si="521"/>
        <v>100</v>
      </c>
      <c r="Z1925" s="49">
        <f t="shared" si="521"/>
        <v>98</v>
      </c>
      <c r="AA1925" s="49">
        <f t="shared" si="521"/>
        <v>74</v>
      </c>
      <c r="AB1925" s="49">
        <f t="shared" si="521"/>
        <v>30</v>
      </c>
      <c r="AC1925" s="9">
        <v>0</v>
      </c>
      <c r="AD1925" s="53" t="e">
        <f>#REF!*D1925</f>
        <v>#REF!</v>
      </c>
      <c r="AE1925" s="53" t="e">
        <f>AD1925-#REF!</f>
        <v>#REF!</v>
      </c>
      <c r="AF1925" s="9"/>
      <c r="AG1925" s="33" t="e">
        <f>#REF!-D1925</f>
        <v>#REF!</v>
      </c>
      <c r="AH1925" s="9"/>
      <c r="AI1925" s="9"/>
      <c r="AJ1925" s="9"/>
      <c r="AK1925" s="9"/>
    </row>
    <row r="1926" spans="1:37" s="12" customFormat="1" ht="20.399999999999999" outlineLevel="1" x14ac:dyDescent="0.2">
      <c r="A1926" s="61" t="s">
        <v>2271</v>
      </c>
      <c r="B1926" s="14" t="s">
        <v>2254</v>
      </c>
      <c r="C1926" s="9" t="s">
        <v>47</v>
      </c>
      <c r="D1926" s="25">
        <f t="shared" si="513"/>
        <v>44</v>
      </c>
      <c r="E1926" s="54"/>
      <c r="F1926" s="9"/>
      <c r="G1926" s="9">
        <v>0</v>
      </c>
      <c r="H1926" s="9">
        <v>0</v>
      </c>
      <c r="I1926" s="9">
        <v>4</v>
      </c>
      <c r="J1926" s="9">
        <v>2</v>
      </c>
      <c r="K1926" s="9">
        <v>2</v>
      </c>
      <c r="L1926" s="9">
        <v>2</v>
      </c>
      <c r="M1926" s="9">
        <v>2</v>
      </c>
      <c r="N1926" s="9">
        <v>2</v>
      </c>
      <c r="O1926" s="9">
        <v>2</v>
      </c>
      <c r="P1926" s="9">
        <v>2</v>
      </c>
      <c r="Q1926" s="9">
        <v>2</v>
      </c>
      <c r="R1926" s="9">
        <v>1</v>
      </c>
      <c r="S1926" s="9">
        <v>0</v>
      </c>
      <c r="T1926" s="9">
        <v>0</v>
      </c>
      <c r="U1926" s="9">
        <v>4</v>
      </c>
      <c r="V1926" s="9">
        <v>4</v>
      </c>
      <c r="W1926" s="9">
        <v>4</v>
      </c>
      <c r="X1926" s="9">
        <v>2</v>
      </c>
      <c r="Y1926" s="9">
        <v>3</v>
      </c>
      <c r="Z1926" s="9">
        <v>2</v>
      </c>
      <c r="AA1926" s="9">
        <v>2</v>
      </c>
      <c r="AB1926" s="9">
        <v>2</v>
      </c>
      <c r="AC1926" s="9">
        <v>0</v>
      </c>
      <c r="AD1926" s="53" t="e">
        <f>#REF!*D1926</f>
        <v>#REF!</v>
      </c>
      <c r="AE1926" s="53" t="e">
        <f>AD1926-#REF!</f>
        <v>#REF!</v>
      </c>
      <c r="AF1926" s="9"/>
      <c r="AG1926" s="33" t="e">
        <f>#REF!-D1926</f>
        <v>#REF!</v>
      </c>
      <c r="AH1926" s="9"/>
      <c r="AI1926" s="9"/>
      <c r="AJ1926" s="9"/>
      <c r="AK1926" s="9"/>
    </row>
    <row r="1927" spans="1:37" s="17" customFormat="1" ht="30.6" outlineLevel="1" x14ac:dyDescent="0.2">
      <c r="A1927" s="61" t="s">
        <v>2272</v>
      </c>
      <c r="B1927" s="14" t="s">
        <v>158</v>
      </c>
      <c r="C1927" s="8" t="s">
        <v>47</v>
      </c>
      <c r="D1927" s="25">
        <f t="shared" si="513"/>
        <v>1853</v>
      </c>
      <c r="E1927" s="54"/>
      <c r="F1927" s="78"/>
      <c r="G1927" s="9">
        <v>0</v>
      </c>
      <c r="H1927" s="9">
        <f>225-50</f>
        <v>175</v>
      </c>
      <c r="I1927" s="9">
        <f>150-21</f>
        <v>129</v>
      </c>
      <c r="J1927" s="9">
        <f>145-16</f>
        <v>129</v>
      </c>
      <c r="K1927" s="9">
        <f>195-78</f>
        <v>117</v>
      </c>
      <c r="L1927" s="9">
        <f>145-66</f>
        <v>79</v>
      </c>
      <c r="M1927" s="9">
        <v>74</v>
      </c>
      <c r="N1927" s="9">
        <v>72</v>
      </c>
      <c r="O1927" s="9">
        <v>73</v>
      </c>
      <c r="P1927" s="9">
        <v>93</v>
      </c>
      <c r="Q1927" s="9">
        <v>68</v>
      </c>
      <c r="R1927" s="9">
        <v>30</v>
      </c>
      <c r="S1927" s="9">
        <v>0</v>
      </c>
      <c r="T1927" s="9">
        <v>0</v>
      </c>
      <c r="U1927" s="9">
        <v>130</v>
      </c>
      <c r="V1927" s="9">
        <v>137</v>
      </c>
      <c r="W1927" s="9">
        <v>122</v>
      </c>
      <c r="X1927" s="9">
        <v>85</v>
      </c>
      <c r="Y1927" s="9">
        <v>112</v>
      </c>
      <c r="Z1927" s="9">
        <v>110</v>
      </c>
      <c r="AA1927" s="9">
        <v>83</v>
      </c>
      <c r="AB1927" s="9">
        <v>35</v>
      </c>
      <c r="AC1927" s="9">
        <v>0</v>
      </c>
      <c r="AD1927" s="53" t="e">
        <f>#REF!*D1927</f>
        <v>#REF!</v>
      </c>
      <c r="AE1927" s="53" t="e">
        <f>AD1927-#REF!</f>
        <v>#REF!</v>
      </c>
      <c r="AF1927" s="8"/>
      <c r="AG1927" s="33" t="e">
        <f>#REF!-D1927</f>
        <v>#REF!</v>
      </c>
      <c r="AH1927" s="8"/>
      <c r="AI1927" s="8"/>
      <c r="AJ1927" s="8"/>
      <c r="AK1927" s="8"/>
    </row>
    <row r="1928" spans="1:37" s="17" customFormat="1" ht="25.5" customHeight="1" outlineLevel="1" x14ac:dyDescent="0.2">
      <c r="A1928" s="61" t="s">
        <v>2273</v>
      </c>
      <c r="B1928" s="47" t="s">
        <v>159</v>
      </c>
      <c r="C1928" s="8" t="s">
        <v>47</v>
      </c>
      <c r="D1928" s="25">
        <f t="shared" si="513"/>
        <v>5171</v>
      </c>
      <c r="E1928" s="54"/>
      <c r="F1928" s="78"/>
      <c r="G1928" s="49">
        <f t="shared" ref="G1928:T1928" si="522">G1927*3</f>
        <v>0</v>
      </c>
      <c r="H1928" s="49">
        <f t="shared" si="522"/>
        <v>525</v>
      </c>
      <c r="I1928" s="49">
        <f t="shared" si="522"/>
        <v>387</v>
      </c>
      <c r="J1928" s="49">
        <f t="shared" si="522"/>
        <v>387</v>
      </c>
      <c r="K1928" s="49">
        <f t="shared" si="522"/>
        <v>351</v>
      </c>
      <c r="L1928" s="49">
        <f t="shared" si="522"/>
        <v>237</v>
      </c>
      <c r="M1928" s="49">
        <f t="shared" si="522"/>
        <v>222</v>
      </c>
      <c r="N1928" s="49">
        <f t="shared" si="522"/>
        <v>216</v>
      </c>
      <c r="O1928" s="49">
        <f t="shared" si="522"/>
        <v>219</v>
      </c>
      <c r="P1928" s="49">
        <f t="shared" si="522"/>
        <v>279</v>
      </c>
      <c r="Q1928" s="49">
        <f t="shared" si="522"/>
        <v>204</v>
      </c>
      <c r="R1928" s="49">
        <f t="shared" si="522"/>
        <v>90</v>
      </c>
      <c r="S1928" s="49">
        <f t="shared" si="522"/>
        <v>0</v>
      </c>
      <c r="T1928" s="49">
        <f t="shared" si="522"/>
        <v>0</v>
      </c>
      <c r="U1928" s="49">
        <f>U1927*2.5</f>
        <v>325</v>
      </c>
      <c r="V1928" s="49">
        <v>343</v>
      </c>
      <c r="W1928" s="49">
        <f>W1927*2.5</f>
        <v>305</v>
      </c>
      <c r="X1928" s="49">
        <v>213</v>
      </c>
      <c r="Y1928" s="49">
        <f>Y1927*2.5</f>
        <v>280</v>
      </c>
      <c r="Z1928" s="49">
        <f>Z1927*2.5</f>
        <v>275</v>
      </c>
      <c r="AA1928" s="49">
        <v>208</v>
      </c>
      <c r="AB1928" s="49">
        <f>AB1927*3</f>
        <v>105</v>
      </c>
      <c r="AC1928" s="49">
        <f>AC1927*3</f>
        <v>0</v>
      </c>
      <c r="AD1928" s="53" t="e">
        <f>#REF!*D1928</f>
        <v>#REF!</v>
      </c>
      <c r="AE1928" s="53" t="e">
        <f>AD1928-#REF!</f>
        <v>#REF!</v>
      </c>
      <c r="AF1928" s="8"/>
      <c r="AG1928" s="33" t="e">
        <f>#REF!-D1928</f>
        <v>#REF!</v>
      </c>
      <c r="AH1928" s="8"/>
      <c r="AI1928" s="8"/>
      <c r="AJ1928" s="8"/>
      <c r="AK1928" s="8"/>
    </row>
    <row r="1929" spans="1:37" s="17" customFormat="1" ht="20.399999999999999" outlineLevel="1" x14ac:dyDescent="0.2">
      <c r="A1929" s="61" t="s">
        <v>2274</v>
      </c>
      <c r="B1929" s="47" t="s">
        <v>2255</v>
      </c>
      <c r="C1929" s="8" t="s">
        <v>47</v>
      </c>
      <c r="D1929" s="25">
        <f t="shared" si="513"/>
        <v>4</v>
      </c>
      <c r="E1929" s="54"/>
      <c r="F1929" s="78"/>
      <c r="G1929" s="9">
        <v>0</v>
      </c>
      <c r="H1929" s="9">
        <v>1</v>
      </c>
      <c r="I1929" s="9">
        <v>0</v>
      </c>
      <c r="J1929" s="9">
        <v>0</v>
      </c>
      <c r="K1929" s="9">
        <v>0</v>
      </c>
      <c r="L1929" s="9">
        <v>0</v>
      </c>
      <c r="M1929" s="9">
        <v>0</v>
      </c>
      <c r="N1929" s="9">
        <v>0</v>
      </c>
      <c r="O1929" s="9">
        <v>0</v>
      </c>
      <c r="P1929" s="9">
        <v>0</v>
      </c>
      <c r="Q1929" s="9">
        <v>0</v>
      </c>
      <c r="R1929" s="9">
        <v>0</v>
      </c>
      <c r="S1929" s="9">
        <v>0</v>
      </c>
      <c r="T1929" s="9">
        <v>0</v>
      </c>
      <c r="U1929" s="9">
        <v>3</v>
      </c>
      <c r="V1929" s="9">
        <v>0</v>
      </c>
      <c r="W1929" s="9">
        <v>0</v>
      </c>
      <c r="X1929" s="9">
        <v>0</v>
      </c>
      <c r="Y1929" s="9">
        <v>0</v>
      </c>
      <c r="Z1929" s="9">
        <v>0</v>
      </c>
      <c r="AA1929" s="9">
        <v>0</v>
      </c>
      <c r="AB1929" s="9">
        <v>0</v>
      </c>
      <c r="AC1929" s="9">
        <v>0</v>
      </c>
      <c r="AD1929" s="53" t="e">
        <f>#REF!*D1929</f>
        <v>#REF!</v>
      </c>
      <c r="AE1929" s="53" t="e">
        <f>AD1929-#REF!</f>
        <v>#REF!</v>
      </c>
      <c r="AF1929" s="8"/>
      <c r="AG1929" s="33" t="e">
        <f>#REF!-D1929</f>
        <v>#REF!</v>
      </c>
      <c r="AH1929" s="8"/>
      <c r="AI1929" s="8"/>
      <c r="AJ1929" s="8"/>
      <c r="AK1929" s="8"/>
    </row>
    <row r="1930" spans="1:37" s="17" customFormat="1" ht="26.25" customHeight="1" outlineLevel="1" x14ac:dyDescent="0.2">
      <c r="A1930" s="61" t="s">
        <v>2275</v>
      </c>
      <c r="B1930" s="47" t="s">
        <v>322</v>
      </c>
      <c r="C1930" s="8" t="s">
        <v>47</v>
      </c>
      <c r="D1930" s="25">
        <f t="shared" si="513"/>
        <v>4</v>
      </c>
      <c r="E1930" s="54"/>
      <c r="F1930" s="78"/>
      <c r="G1930" s="9">
        <v>0</v>
      </c>
      <c r="H1930" s="9">
        <v>0</v>
      </c>
      <c r="I1930" s="9">
        <v>0</v>
      </c>
      <c r="J1930" s="9">
        <v>0</v>
      </c>
      <c r="K1930" s="9">
        <v>0</v>
      </c>
      <c r="L1930" s="9">
        <v>0</v>
      </c>
      <c r="M1930" s="9">
        <v>0</v>
      </c>
      <c r="N1930" s="9">
        <v>0</v>
      </c>
      <c r="O1930" s="9">
        <v>0</v>
      </c>
      <c r="P1930" s="9">
        <v>0</v>
      </c>
      <c r="Q1930" s="9">
        <v>0</v>
      </c>
      <c r="R1930" s="9">
        <v>0</v>
      </c>
      <c r="S1930" s="9">
        <v>0</v>
      </c>
      <c r="T1930" s="9">
        <v>0</v>
      </c>
      <c r="U1930" s="9">
        <v>4</v>
      </c>
      <c r="V1930" s="9">
        <v>0</v>
      </c>
      <c r="W1930" s="9">
        <v>0</v>
      </c>
      <c r="X1930" s="9">
        <v>0</v>
      </c>
      <c r="Y1930" s="9">
        <v>0</v>
      </c>
      <c r="Z1930" s="9">
        <v>0</v>
      </c>
      <c r="AA1930" s="9">
        <v>0</v>
      </c>
      <c r="AB1930" s="9">
        <v>0</v>
      </c>
      <c r="AC1930" s="9">
        <v>0</v>
      </c>
      <c r="AD1930" s="53" t="e">
        <f>#REF!*D1930</f>
        <v>#REF!</v>
      </c>
      <c r="AE1930" s="53" t="e">
        <f>AD1930-#REF!</f>
        <v>#REF!</v>
      </c>
      <c r="AF1930" s="8"/>
      <c r="AG1930" s="33" t="e">
        <f>#REF!-D1930</f>
        <v>#REF!</v>
      </c>
      <c r="AH1930" s="8"/>
      <c r="AI1930" s="8"/>
      <c r="AJ1930" s="8"/>
      <c r="AK1930" s="8"/>
    </row>
    <row r="1931" spans="1:37" s="12" customFormat="1" ht="10.199999999999999" outlineLevel="1" x14ac:dyDescent="0.2">
      <c r="A1931" s="61" t="s">
        <v>2276</v>
      </c>
      <c r="B1931" s="11" t="s">
        <v>56</v>
      </c>
      <c r="C1931" s="9" t="s">
        <v>57</v>
      </c>
      <c r="D1931" s="25">
        <f t="shared" si="513"/>
        <v>64</v>
      </c>
      <c r="E1931" s="54"/>
      <c r="F1931" s="9"/>
      <c r="G1931" s="49">
        <v>3</v>
      </c>
      <c r="H1931" s="49">
        <f t="shared" ref="H1931:AC1931" si="523">MROUND((H1912+H1913+H1914)*3/100,1)</f>
        <v>9</v>
      </c>
      <c r="I1931" s="49">
        <f t="shared" si="523"/>
        <v>6</v>
      </c>
      <c r="J1931" s="49">
        <f t="shared" si="523"/>
        <v>6</v>
      </c>
      <c r="K1931" s="49">
        <f t="shared" si="523"/>
        <v>5</v>
      </c>
      <c r="L1931" s="49">
        <f t="shared" si="523"/>
        <v>4</v>
      </c>
      <c r="M1931" s="49">
        <f t="shared" si="523"/>
        <v>3</v>
      </c>
      <c r="N1931" s="49">
        <f t="shared" si="523"/>
        <v>3</v>
      </c>
      <c r="O1931" s="49">
        <f t="shared" si="523"/>
        <v>3</v>
      </c>
      <c r="P1931" s="49">
        <f t="shared" si="523"/>
        <v>4</v>
      </c>
      <c r="Q1931" s="49">
        <f t="shared" si="523"/>
        <v>3</v>
      </c>
      <c r="R1931" s="49">
        <f t="shared" si="523"/>
        <v>1</v>
      </c>
      <c r="S1931" s="49">
        <f t="shared" si="523"/>
        <v>0</v>
      </c>
      <c r="T1931" s="49">
        <f t="shared" si="523"/>
        <v>1</v>
      </c>
      <c r="U1931" s="49">
        <f t="shared" si="523"/>
        <v>2</v>
      </c>
      <c r="V1931" s="49">
        <f t="shared" si="523"/>
        <v>2</v>
      </c>
      <c r="W1931" s="49">
        <f t="shared" si="523"/>
        <v>2</v>
      </c>
      <c r="X1931" s="49">
        <f t="shared" si="523"/>
        <v>1</v>
      </c>
      <c r="Y1931" s="49">
        <f t="shared" si="523"/>
        <v>2</v>
      </c>
      <c r="Z1931" s="49">
        <f t="shared" si="523"/>
        <v>2</v>
      </c>
      <c r="AA1931" s="49">
        <f t="shared" si="523"/>
        <v>1</v>
      </c>
      <c r="AB1931" s="49">
        <f t="shared" si="523"/>
        <v>1</v>
      </c>
      <c r="AC1931" s="49">
        <f t="shared" si="523"/>
        <v>0</v>
      </c>
      <c r="AD1931" s="53" t="e">
        <f>#REF!*D1931</f>
        <v>#REF!</v>
      </c>
      <c r="AE1931" s="53" t="e">
        <f>AD1931-#REF!</f>
        <v>#REF!</v>
      </c>
      <c r="AF1931" s="9"/>
      <c r="AG1931" s="33" t="e">
        <f>#REF!-D1931</f>
        <v>#REF!</v>
      </c>
    </row>
    <row r="1932" spans="1:37" s="12" customFormat="1" ht="20.399999999999999" outlineLevel="1" x14ac:dyDescent="0.2">
      <c r="A1932" s="61" t="s">
        <v>2277</v>
      </c>
      <c r="B1932" s="14" t="s">
        <v>2477</v>
      </c>
      <c r="C1932" s="9" t="s">
        <v>47</v>
      </c>
      <c r="D1932" s="25">
        <f t="shared" si="513"/>
        <v>3287</v>
      </c>
      <c r="E1932" s="54"/>
      <c r="F1932" s="9"/>
      <c r="G1932" s="9">
        <v>0</v>
      </c>
      <c r="H1932" s="9">
        <f>580-127</f>
        <v>453</v>
      </c>
      <c r="I1932" s="9">
        <f>310-43</f>
        <v>267</v>
      </c>
      <c r="J1932" s="9">
        <f>330-38</f>
        <v>292</v>
      </c>
      <c r="K1932" s="9">
        <f>455-182</f>
        <v>273</v>
      </c>
      <c r="L1932" s="9">
        <f>345-158</f>
        <v>187</v>
      </c>
      <c r="M1932" s="9">
        <v>175</v>
      </c>
      <c r="N1932" s="9">
        <v>170</v>
      </c>
      <c r="O1932" s="9">
        <v>175</v>
      </c>
      <c r="P1932" s="9">
        <v>225</v>
      </c>
      <c r="Q1932" s="9">
        <v>165</v>
      </c>
      <c r="R1932" s="9">
        <v>65</v>
      </c>
      <c r="S1932" s="9">
        <v>0</v>
      </c>
      <c r="T1932" s="9">
        <v>45</v>
      </c>
      <c r="U1932" s="9">
        <v>127</v>
      </c>
      <c r="V1932" s="9">
        <v>132</v>
      </c>
      <c r="W1932" s="9">
        <v>118</v>
      </c>
      <c r="X1932" s="9">
        <v>83</v>
      </c>
      <c r="Y1932" s="9">
        <v>108</v>
      </c>
      <c r="Z1932" s="9">
        <v>103</v>
      </c>
      <c r="AA1932" s="9">
        <v>79</v>
      </c>
      <c r="AB1932" s="9">
        <v>45</v>
      </c>
      <c r="AC1932" s="9">
        <v>0</v>
      </c>
      <c r="AD1932" s="53" t="e">
        <f>#REF!*D1932</f>
        <v>#REF!</v>
      </c>
      <c r="AE1932" s="53" t="e">
        <f>AD1932-#REF!</f>
        <v>#REF!</v>
      </c>
      <c r="AF1932" s="9"/>
      <c r="AG1932" s="33" t="e">
        <f>#REF!-D1932</f>
        <v>#REF!</v>
      </c>
      <c r="AH1932" s="9"/>
      <c r="AI1932" s="9"/>
      <c r="AJ1932" s="9"/>
      <c r="AK1932" s="9"/>
    </row>
    <row r="1933" spans="1:37" s="17" customFormat="1" ht="20.399999999999999" outlineLevel="1" x14ac:dyDescent="0.2">
      <c r="A1933" s="61" t="s">
        <v>2278</v>
      </c>
      <c r="B1933" s="14" t="s">
        <v>424</v>
      </c>
      <c r="C1933" s="8" t="s">
        <v>47</v>
      </c>
      <c r="D1933" s="25">
        <f t="shared" si="513"/>
        <v>3287</v>
      </c>
      <c r="E1933" s="54"/>
      <c r="F1933" s="9"/>
      <c r="G1933" s="49">
        <f t="shared" ref="G1933:AC1933" si="524">G1932</f>
        <v>0</v>
      </c>
      <c r="H1933" s="49">
        <f t="shared" si="524"/>
        <v>453</v>
      </c>
      <c r="I1933" s="49">
        <f t="shared" si="524"/>
        <v>267</v>
      </c>
      <c r="J1933" s="49">
        <f t="shared" si="524"/>
        <v>292</v>
      </c>
      <c r="K1933" s="49">
        <f t="shared" si="524"/>
        <v>273</v>
      </c>
      <c r="L1933" s="49">
        <f t="shared" si="524"/>
        <v>187</v>
      </c>
      <c r="M1933" s="49">
        <f t="shared" si="524"/>
        <v>175</v>
      </c>
      <c r="N1933" s="49">
        <f t="shared" si="524"/>
        <v>170</v>
      </c>
      <c r="O1933" s="49">
        <f t="shared" si="524"/>
        <v>175</v>
      </c>
      <c r="P1933" s="49">
        <f t="shared" si="524"/>
        <v>225</v>
      </c>
      <c r="Q1933" s="49">
        <f t="shared" si="524"/>
        <v>165</v>
      </c>
      <c r="R1933" s="49">
        <f t="shared" si="524"/>
        <v>65</v>
      </c>
      <c r="S1933" s="49">
        <f t="shared" si="524"/>
        <v>0</v>
      </c>
      <c r="T1933" s="49">
        <f t="shared" si="524"/>
        <v>45</v>
      </c>
      <c r="U1933" s="49">
        <f t="shared" si="524"/>
        <v>127</v>
      </c>
      <c r="V1933" s="49">
        <f t="shared" si="524"/>
        <v>132</v>
      </c>
      <c r="W1933" s="49">
        <f t="shared" si="524"/>
        <v>118</v>
      </c>
      <c r="X1933" s="49">
        <f t="shared" si="524"/>
        <v>83</v>
      </c>
      <c r="Y1933" s="49">
        <f t="shared" si="524"/>
        <v>108</v>
      </c>
      <c r="Z1933" s="49">
        <f t="shared" si="524"/>
        <v>103</v>
      </c>
      <c r="AA1933" s="49">
        <f t="shared" si="524"/>
        <v>79</v>
      </c>
      <c r="AB1933" s="49">
        <f t="shared" si="524"/>
        <v>45</v>
      </c>
      <c r="AC1933" s="49">
        <f t="shared" si="524"/>
        <v>0</v>
      </c>
      <c r="AD1933" s="53" t="e">
        <f>#REF!*D1933</f>
        <v>#REF!</v>
      </c>
      <c r="AE1933" s="53" t="e">
        <f>AD1933-#REF!</f>
        <v>#REF!</v>
      </c>
      <c r="AF1933" s="8"/>
      <c r="AG1933" s="33" t="e">
        <f>#REF!-D1933</f>
        <v>#REF!</v>
      </c>
      <c r="AH1933" s="8"/>
      <c r="AI1933" s="8"/>
      <c r="AJ1933" s="8"/>
      <c r="AK1933" s="8"/>
    </row>
    <row r="1934" spans="1:37" s="12" customFormat="1" ht="20.399999999999999" outlineLevel="1" x14ac:dyDescent="0.2">
      <c r="A1934" s="61" t="s">
        <v>2279</v>
      </c>
      <c r="B1934" s="14" t="s">
        <v>69</v>
      </c>
      <c r="C1934" s="9" t="s">
        <v>47</v>
      </c>
      <c r="D1934" s="25">
        <f t="shared" si="513"/>
        <v>6574</v>
      </c>
      <c r="E1934" s="54"/>
      <c r="F1934" s="9"/>
      <c r="G1934" s="49">
        <f t="shared" ref="G1934:AC1934" si="525">G1933*2</f>
        <v>0</v>
      </c>
      <c r="H1934" s="49">
        <f t="shared" si="525"/>
        <v>906</v>
      </c>
      <c r="I1934" s="49">
        <f t="shared" si="525"/>
        <v>534</v>
      </c>
      <c r="J1934" s="49">
        <f t="shared" si="525"/>
        <v>584</v>
      </c>
      <c r="K1934" s="49">
        <f t="shared" si="525"/>
        <v>546</v>
      </c>
      <c r="L1934" s="49">
        <f t="shared" si="525"/>
        <v>374</v>
      </c>
      <c r="M1934" s="49">
        <f t="shared" si="525"/>
        <v>350</v>
      </c>
      <c r="N1934" s="49">
        <f t="shared" si="525"/>
        <v>340</v>
      </c>
      <c r="O1934" s="49">
        <f t="shared" si="525"/>
        <v>350</v>
      </c>
      <c r="P1934" s="49">
        <f t="shared" si="525"/>
        <v>450</v>
      </c>
      <c r="Q1934" s="49">
        <f t="shared" si="525"/>
        <v>330</v>
      </c>
      <c r="R1934" s="49">
        <f t="shared" si="525"/>
        <v>130</v>
      </c>
      <c r="S1934" s="49">
        <f t="shared" si="525"/>
        <v>0</v>
      </c>
      <c r="T1934" s="49">
        <f t="shared" si="525"/>
        <v>90</v>
      </c>
      <c r="U1934" s="49">
        <f t="shared" si="525"/>
        <v>254</v>
      </c>
      <c r="V1934" s="49">
        <f t="shared" si="525"/>
        <v>264</v>
      </c>
      <c r="W1934" s="49">
        <f t="shared" si="525"/>
        <v>236</v>
      </c>
      <c r="X1934" s="49">
        <f t="shared" si="525"/>
        <v>166</v>
      </c>
      <c r="Y1934" s="49">
        <f t="shared" si="525"/>
        <v>216</v>
      </c>
      <c r="Z1934" s="49">
        <f t="shared" si="525"/>
        <v>206</v>
      </c>
      <c r="AA1934" s="49">
        <f t="shared" si="525"/>
        <v>158</v>
      </c>
      <c r="AB1934" s="49">
        <f t="shared" si="525"/>
        <v>90</v>
      </c>
      <c r="AC1934" s="49">
        <f t="shared" si="525"/>
        <v>0</v>
      </c>
      <c r="AD1934" s="53" t="e">
        <f>#REF!*D1934</f>
        <v>#REF!</v>
      </c>
      <c r="AE1934" s="53" t="e">
        <f>AD1934-#REF!</f>
        <v>#REF!</v>
      </c>
      <c r="AF1934" s="9"/>
      <c r="AG1934" s="33" t="e">
        <f>#REF!-D1934</f>
        <v>#REF!</v>
      </c>
      <c r="AH1934" s="9"/>
      <c r="AI1934" s="9"/>
      <c r="AJ1934" s="9"/>
      <c r="AK1934" s="9"/>
    </row>
    <row r="1935" spans="1:37" s="12" customFormat="1" ht="20.399999999999999" outlineLevel="1" x14ac:dyDescent="0.2">
      <c r="A1935" s="61" t="s">
        <v>2280</v>
      </c>
      <c r="B1935" s="14" t="s">
        <v>1032</v>
      </c>
      <c r="C1935" s="9" t="s">
        <v>47</v>
      </c>
      <c r="D1935" s="25">
        <f t="shared" si="513"/>
        <v>19722</v>
      </c>
      <c r="E1935" s="54"/>
      <c r="F1935" s="9"/>
      <c r="G1935" s="49">
        <f t="shared" ref="G1935:AC1935" si="526">G1934*3</f>
        <v>0</v>
      </c>
      <c r="H1935" s="49">
        <f t="shared" si="526"/>
        <v>2718</v>
      </c>
      <c r="I1935" s="49">
        <f t="shared" si="526"/>
        <v>1602</v>
      </c>
      <c r="J1935" s="49">
        <f t="shared" si="526"/>
        <v>1752</v>
      </c>
      <c r="K1935" s="49">
        <f t="shared" si="526"/>
        <v>1638</v>
      </c>
      <c r="L1935" s="49">
        <f t="shared" si="526"/>
        <v>1122</v>
      </c>
      <c r="M1935" s="49">
        <f t="shared" si="526"/>
        <v>1050</v>
      </c>
      <c r="N1935" s="49">
        <f t="shared" si="526"/>
        <v>1020</v>
      </c>
      <c r="O1935" s="49">
        <f t="shared" si="526"/>
        <v>1050</v>
      </c>
      <c r="P1935" s="49">
        <f t="shared" si="526"/>
        <v>1350</v>
      </c>
      <c r="Q1935" s="49">
        <f t="shared" si="526"/>
        <v>990</v>
      </c>
      <c r="R1935" s="49">
        <f t="shared" si="526"/>
        <v>390</v>
      </c>
      <c r="S1935" s="49">
        <f t="shared" si="526"/>
        <v>0</v>
      </c>
      <c r="T1935" s="49">
        <f t="shared" si="526"/>
        <v>270</v>
      </c>
      <c r="U1935" s="49">
        <f t="shared" si="526"/>
        <v>762</v>
      </c>
      <c r="V1935" s="49">
        <f t="shared" si="526"/>
        <v>792</v>
      </c>
      <c r="W1935" s="49">
        <f t="shared" si="526"/>
        <v>708</v>
      </c>
      <c r="X1935" s="49">
        <f t="shared" si="526"/>
        <v>498</v>
      </c>
      <c r="Y1935" s="49">
        <f t="shared" si="526"/>
        <v>648</v>
      </c>
      <c r="Z1935" s="49">
        <f t="shared" si="526"/>
        <v>618</v>
      </c>
      <c r="AA1935" s="49">
        <f t="shared" si="526"/>
        <v>474</v>
      </c>
      <c r="AB1935" s="49">
        <f t="shared" si="526"/>
        <v>270</v>
      </c>
      <c r="AC1935" s="49">
        <f t="shared" si="526"/>
        <v>0</v>
      </c>
      <c r="AD1935" s="53" t="e">
        <f>#REF!*D1935</f>
        <v>#REF!</v>
      </c>
      <c r="AE1935" s="53" t="e">
        <f>AD1935-#REF!</f>
        <v>#REF!</v>
      </c>
      <c r="AF1935" s="9"/>
      <c r="AG1935" s="33" t="e">
        <f>#REF!-D1935</f>
        <v>#REF!</v>
      </c>
      <c r="AH1935" s="9"/>
      <c r="AI1935" s="9"/>
      <c r="AJ1935" s="9"/>
      <c r="AK1935" s="9"/>
    </row>
    <row r="1936" spans="1:37" s="17" customFormat="1" ht="20.399999999999999" outlineLevel="1" x14ac:dyDescent="0.2">
      <c r="A1936" s="61" t="s">
        <v>2281</v>
      </c>
      <c r="B1936" s="14" t="s">
        <v>1033</v>
      </c>
      <c r="C1936" s="8" t="s">
        <v>48</v>
      </c>
      <c r="D1936" s="25">
        <f t="shared" si="513"/>
        <v>1803</v>
      </c>
      <c r="E1936" s="54"/>
      <c r="F1936" s="9"/>
      <c r="G1936" s="49">
        <f t="shared" ref="G1936:AC1936" si="527">MROUND(G1933*0.55,3)</f>
        <v>0</v>
      </c>
      <c r="H1936" s="49">
        <f t="shared" si="527"/>
        <v>249</v>
      </c>
      <c r="I1936" s="49">
        <f t="shared" si="527"/>
        <v>147</v>
      </c>
      <c r="J1936" s="49">
        <f t="shared" si="527"/>
        <v>162</v>
      </c>
      <c r="K1936" s="49">
        <f t="shared" si="527"/>
        <v>150</v>
      </c>
      <c r="L1936" s="49">
        <f t="shared" si="527"/>
        <v>102</v>
      </c>
      <c r="M1936" s="49">
        <f t="shared" si="527"/>
        <v>96</v>
      </c>
      <c r="N1936" s="49">
        <f t="shared" si="527"/>
        <v>93</v>
      </c>
      <c r="O1936" s="49">
        <f t="shared" si="527"/>
        <v>96</v>
      </c>
      <c r="P1936" s="49">
        <f t="shared" si="527"/>
        <v>123</v>
      </c>
      <c r="Q1936" s="49">
        <f t="shared" si="527"/>
        <v>90</v>
      </c>
      <c r="R1936" s="49">
        <f t="shared" si="527"/>
        <v>36</v>
      </c>
      <c r="S1936" s="49">
        <f t="shared" si="527"/>
        <v>0</v>
      </c>
      <c r="T1936" s="49">
        <f t="shared" si="527"/>
        <v>24</v>
      </c>
      <c r="U1936" s="49">
        <f t="shared" si="527"/>
        <v>69</v>
      </c>
      <c r="V1936" s="49">
        <f t="shared" si="527"/>
        <v>72</v>
      </c>
      <c r="W1936" s="49">
        <f t="shared" si="527"/>
        <v>66</v>
      </c>
      <c r="X1936" s="49">
        <f t="shared" si="527"/>
        <v>45</v>
      </c>
      <c r="Y1936" s="49">
        <f t="shared" si="527"/>
        <v>60</v>
      </c>
      <c r="Z1936" s="49">
        <f t="shared" si="527"/>
        <v>57</v>
      </c>
      <c r="AA1936" s="49">
        <f t="shared" si="527"/>
        <v>42</v>
      </c>
      <c r="AB1936" s="49">
        <f t="shared" si="527"/>
        <v>24</v>
      </c>
      <c r="AC1936" s="49">
        <f t="shared" si="527"/>
        <v>0</v>
      </c>
      <c r="AD1936" s="53" t="e">
        <f>#REF!*D1936</f>
        <v>#REF!</v>
      </c>
      <c r="AE1936" s="53" t="e">
        <f>AD1936-#REF!</f>
        <v>#REF!</v>
      </c>
      <c r="AF1936" s="8"/>
      <c r="AG1936" s="33" t="e">
        <f>#REF!-D1936</f>
        <v>#REF!</v>
      </c>
      <c r="AH1936" s="8"/>
      <c r="AI1936" s="8"/>
      <c r="AJ1936" s="8"/>
      <c r="AK1936" s="8"/>
    </row>
    <row r="1937" spans="1:37" s="12" customFormat="1" ht="10.199999999999999" outlineLevel="1" x14ac:dyDescent="0.2">
      <c r="A1937" s="61"/>
      <c r="B1937" s="11"/>
      <c r="C1937" s="9"/>
      <c r="D1937" s="25"/>
      <c r="E1937" s="54"/>
      <c r="F1937" s="9"/>
      <c r="G1937" s="9"/>
      <c r="H1937" s="9"/>
      <c r="I1937" s="9"/>
      <c r="J1937" s="9"/>
      <c r="K1937" s="9"/>
      <c r="L1937" s="9"/>
      <c r="M1937" s="9"/>
      <c r="N1937" s="9"/>
      <c r="O1937" s="9"/>
      <c r="P1937" s="9"/>
      <c r="Q1937" s="9"/>
      <c r="R1937" s="9"/>
      <c r="S1937" s="9"/>
      <c r="T1937" s="9"/>
      <c r="U1937" s="9"/>
      <c r="V1937" s="9"/>
      <c r="W1937" s="9"/>
      <c r="X1937" s="9"/>
      <c r="Y1937" s="9"/>
      <c r="Z1937" s="9"/>
      <c r="AA1937" s="9"/>
      <c r="AB1937" s="9"/>
      <c r="AC1937" s="9"/>
      <c r="AD1937" s="53" t="e">
        <f>#REF!*D1937</f>
        <v>#REF!</v>
      </c>
      <c r="AE1937" s="53" t="e">
        <f>AD1937-#REF!</f>
        <v>#REF!</v>
      </c>
      <c r="AF1937" s="9"/>
      <c r="AG1937" s="33" t="e">
        <f>#REF!-D1937</f>
        <v>#REF!</v>
      </c>
    </row>
    <row r="1938" spans="1:37" x14ac:dyDescent="0.25">
      <c r="A1938" s="18" t="s">
        <v>2283</v>
      </c>
      <c r="B1938" s="35" t="s">
        <v>386</v>
      </c>
      <c r="C1938" s="18" t="s">
        <v>41</v>
      </c>
      <c r="D1938" s="52" t="e">
        <f>#REF!/#REF!*100</f>
        <v>#REF!</v>
      </c>
      <c r="G1938" s="9"/>
      <c r="AB1938" s="214" t="s">
        <v>375</v>
      </c>
      <c r="AD1938" s="53" t="e">
        <f>#REF!*D1938</f>
        <v>#REF!</v>
      </c>
      <c r="AE1938" s="53" t="e">
        <f>AD1938-#REF!</f>
        <v>#REF!</v>
      </c>
      <c r="AG1938" s="33" t="e">
        <f>#REF!-D1938</f>
        <v>#REF!</v>
      </c>
    </row>
    <row r="1939" spans="1:37" s="12" customFormat="1" ht="40.799999999999997" outlineLevel="1" x14ac:dyDescent="0.2">
      <c r="A1939" s="61" t="s">
        <v>2284</v>
      </c>
      <c r="B1939" s="47" t="s">
        <v>2305</v>
      </c>
      <c r="C1939" s="9" t="s">
        <v>48</v>
      </c>
      <c r="D1939" s="25">
        <f>SUM(G1939:AC1939)</f>
        <v>12170</v>
      </c>
      <c r="E1939" s="54"/>
      <c r="F1939" s="9"/>
      <c r="G1939" s="9">
        <v>0</v>
      </c>
      <c r="H1939" s="9">
        <f>2200-500</f>
        <v>1700</v>
      </c>
      <c r="I1939" s="9">
        <f>1250-200</f>
        <v>1050</v>
      </c>
      <c r="J1939" s="9">
        <f>1100-130</f>
        <v>970</v>
      </c>
      <c r="K1939" s="9">
        <f>1500-600</f>
        <v>900</v>
      </c>
      <c r="L1939" s="9">
        <v>600</v>
      </c>
      <c r="M1939" s="9">
        <v>600</v>
      </c>
      <c r="N1939" s="9">
        <v>550</v>
      </c>
      <c r="O1939" s="9">
        <v>600</v>
      </c>
      <c r="P1939" s="9">
        <v>750</v>
      </c>
      <c r="Q1939" s="9">
        <v>550</v>
      </c>
      <c r="R1939" s="9">
        <v>200</v>
      </c>
      <c r="S1939" s="9">
        <v>0</v>
      </c>
      <c r="T1939" s="9">
        <v>1400</v>
      </c>
      <c r="U1939" s="9">
        <v>365</v>
      </c>
      <c r="V1939" s="9">
        <v>380</v>
      </c>
      <c r="W1939" s="9">
        <v>340</v>
      </c>
      <c r="X1939" s="9">
        <v>235</v>
      </c>
      <c r="Y1939" s="9">
        <v>310</v>
      </c>
      <c r="Z1939" s="9">
        <v>300</v>
      </c>
      <c r="AA1939" s="9">
        <v>225</v>
      </c>
      <c r="AB1939" s="9">
        <v>145</v>
      </c>
      <c r="AC1939" s="9">
        <v>0</v>
      </c>
      <c r="AD1939" s="53" t="e">
        <f>#REF!*D1939</f>
        <v>#REF!</v>
      </c>
      <c r="AE1939" s="53" t="e">
        <f>AD1939-#REF!</f>
        <v>#REF!</v>
      </c>
      <c r="AF1939" s="9"/>
      <c r="AG1939" s="33" t="e">
        <f>#REF!-D1939</f>
        <v>#REF!</v>
      </c>
      <c r="AH1939" s="9"/>
      <c r="AI1939" s="9"/>
      <c r="AJ1939" s="9"/>
      <c r="AK1939" s="9"/>
    </row>
    <row r="1940" spans="1:37" outlineLevel="1" x14ac:dyDescent="0.25">
      <c r="E1940" s="54"/>
      <c r="G1940" s="9"/>
      <c r="AD1940" s="53" t="e">
        <f>#REF!*D1940</f>
        <v>#REF!</v>
      </c>
      <c r="AE1940" s="53" t="e">
        <f>AD1940-#REF!</f>
        <v>#REF!</v>
      </c>
      <c r="AG1940" s="33" t="e">
        <f>#REF!-D1940</f>
        <v>#REF!</v>
      </c>
    </row>
    <row r="1941" spans="1:37" x14ac:dyDescent="0.25">
      <c r="A1941" s="18" t="s">
        <v>2285</v>
      </c>
      <c r="B1941" s="35" t="s">
        <v>3205</v>
      </c>
      <c r="C1941" s="18" t="s">
        <v>41</v>
      </c>
      <c r="D1941" s="52" t="e">
        <f>#REF!/#REF!*100</f>
        <v>#REF!</v>
      </c>
      <c r="G1941" s="9"/>
      <c r="AD1941" s="53" t="e">
        <f>#REF!*D1941</f>
        <v>#REF!</v>
      </c>
      <c r="AE1941" s="53" t="e">
        <f>AD1941-#REF!</f>
        <v>#REF!</v>
      </c>
      <c r="AG1941" s="33" t="e">
        <f>#REF!-D1941</f>
        <v>#REF!</v>
      </c>
    </row>
    <row r="1942" spans="1:37" x14ac:dyDescent="0.25">
      <c r="A1942" s="18"/>
      <c r="B1942" s="226" t="s">
        <v>3196</v>
      </c>
      <c r="C1942" s="18"/>
      <c r="D1942" s="52"/>
      <c r="G1942" s="9"/>
      <c r="AB1942" s="214" t="s">
        <v>375</v>
      </c>
      <c r="AD1942" s="53"/>
      <c r="AE1942" s="53" t="e">
        <f>AD1942-#REF!</f>
        <v>#REF!</v>
      </c>
      <c r="AG1942" s="33"/>
    </row>
    <row r="1943" spans="1:37" s="12" customFormat="1" ht="30.6" outlineLevel="1" x14ac:dyDescent="0.2">
      <c r="A1943" s="61" t="s">
        <v>2286</v>
      </c>
      <c r="B1943" s="47" t="s">
        <v>3263</v>
      </c>
      <c r="C1943" s="8" t="s">
        <v>20</v>
      </c>
      <c r="D1943" s="25">
        <f t="shared" ref="D1943:D1957" si="528">SUM(G1943:AC1943)</f>
        <v>2</v>
      </c>
      <c r="E1943" s="54"/>
      <c r="F1943" s="78"/>
      <c r="G1943" s="9">
        <v>0</v>
      </c>
      <c r="H1943" s="9">
        <v>1</v>
      </c>
      <c r="I1943" s="9">
        <v>0</v>
      </c>
      <c r="J1943" s="9">
        <v>0</v>
      </c>
      <c r="K1943" s="9">
        <v>0</v>
      </c>
      <c r="L1943" s="9">
        <v>0</v>
      </c>
      <c r="M1943" s="9">
        <v>0</v>
      </c>
      <c r="N1943" s="9">
        <v>0</v>
      </c>
      <c r="O1943" s="9">
        <v>0</v>
      </c>
      <c r="P1943" s="9">
        <v>0</v>
      </c>
      <c r="Q1943" s="9">
        <v>0</v>
      </c>
      <c r="R1943" s="9">
        <v>0</v>
      </c>
      <c r="S1943" s="9">
        <v>0</v>
      </c>
      <c r="T1943" s="9">
        <v>0</v>
      </c>
      <c r="U1943" s="9">
        <v>1</v>
      </c>
      <c r="V1943" s="9">
        <v>0</v>
      </c>
      <c r="W1943" s="9">
        <v>0</v>
      </c>
      <c r="X1943" s="9">
        <v>0</v>
      </c>
      <c r="Y1943" s="9">
        <v>0</v>
      </c>
      <c r="Z1943" s="9">
        <v>0</v>
      </c>
      <c r="AA1943" s="9">
        <v>0</v>
      </c>
      <c r="AB1943" s="9">
        <v>0</v>
      </c>
      <c r="AC1943" s="9">
        <v>0</v>
      </c>
      <c r="AD1943" s="53" t="e">
        <f>#REF!*D1943</f>
        <v>#REF!</v>
      </c>
      <c r="AE1943" s="53" t="e">
        <f>AD1943-#REF!</f>
        <v>#REF!</v>
      </c>
      <c r="AF1943" s="9"/>
      <c r="AG1943" s="33" t="e">
        <f>#REF!-D1943</f>
        <v>#REF!</v>
      </c>
      <c r="AH1943" s="83">
        <f>90025.4*1.15</f>
        <v>103529.20999999999</v>
      </c>
      <c r="AI1943" s="9"/>
      <c r="AJ1943" s="9"/>
      <c r="AK1943" s="9"/>
    </row>
    <row r="1944" spans="1:37" s="12" customFormat="1" ht="20.399999999999999" outlineLevel="1" x14ac:dyDescent="0.2">
      <c r="A1944" s="61" t="s">
        <v>2287</v>
      </c>
      <c r="B1944" s="14" t="s">
        <v>3264</v>
      </c>
      <c r="C1944" s="9" t="s">
        <v>47</v>
      </c>
      <c r="D1944" s="25">
        <f t="shared" si="528"/>
        <v>8</v>
      </c>
      <c r="E1944" s="54"/>
      <c r="F1944" s="9"/>
      <c r="G1944" s="9">
        <v>0</v>
      </c>
      <c r="H1944" s="9">
        <v>3</v>
      </c>
      <c r="I1944" s="9">
        <v>0</v>
      </c>
      <c r="J1944" s="9">
        <v>0</v>
      </c>
      <c r="K1944" s="9">
        <v>0</v>
      </c>
      <c r="L1944" s="9">
        <v>0</v>
      </c>
      <c r="M1944" s="9">
        <v>1</v>
      </c>
      <c r="N1944" s="9">
        <v>0</v>
      </c>
      <c r="O1944" s="9">
        <v>0</v>
      </c>
      <c r="P1944" s="9">
        <v>0</v>
      </c>
      <c r="Q1944" s="9">
        <v>0</v>
      </c>
      <c r="R1944" s="9">
        <v>4</v>
      </c>
      <c r="S1944" s="9">
        <v>0</v>
      </c>
      <c r="T1944" s="9">
        <v>0</v>
      </c>
      <c r="U1944" s="9">
        <v>0</v>
      </c>
      <c r="V1944" s="9">
        <v>0</v>
      </c>
      <c r="W1944" s="9">
        <v>0</v>
      </c>
      <c r="X1944" s="9">
        <v>0</v>
      </c>
      <c r="Y1944" s="9">
        <v>0</v>
      </c>
      <c r="Z1944" s="9">
        <v>0</v>
      </c>
      <c r="AA1944" s="9">
        <v>0</v>
      </c>
      <c r="AB1944" s="9">
        <v>0</v>
      </c>
      <c r="AC1944" s="9">
        <v>0</v>
      </c>
      <c r="AD1944" s="53" t="e">
        <f>#REF!*D1944</f>
        <v>#REF!</v>
      </c>
      <c r="AE1944" s="53" t="e">
        <f>AD1944-#REF!</f>
        <v>#REF!</v>
      </c>
      <c r="AF1944" s="9"/>
      <c r="AG1944" s="33" t="e">
        <f>#REF!-D1944</f>
        <v>#REF!</v>
      </c>
      <c r="AH1944" s="83">
        <v>1050</v>
      </c>
      <c r="AI1944" s="9"/>
      <c r="AJ1944" s="9"/>
      <c r="AK1944" s="9"/>
    </row>
    <row r="1945" spans="1:37" s="12" customFormat="1" ht="20.399999999999999" outlineLevel="1" x14ac:dyDescent="0.2">
      <c r="A1945" s="61" t="s">
        <v>2288</v>
      </c>
      <c r="B1945" s="47" t="s">
        <v>3265</v>
      </c>
      <c r="C1945" s="8" t="s">
        <v>47</v>
      </c>
      <c r="D1945" s="25">
        <f t="shared" si="528"/>
        <v>1027</v>
      </c>
      <c r="E1945" s="54"/>
      <c r="F1945" s="78"/>
      <c r="G1945" s="9">
        <v>0</v>
      </c>
      <c r="H1945" s="9">
        <f>134-24</f>
        <v>110</v>
      </c>
      <c r="I1945" s="9">
        <f>99-10</f>
        <v>89</v>
      </c>
      <c r="J1945" s="9">
        <f>95-24</f>
        <v>71</v>
      </c>
      <c r="K1945" s="9">
        <f>133-56</f>
        <v>77</v>
      </c>
      <c r="L1945" s="9">
        <f>102-45</f>
        <v>57</v>
      </c>
      <c r="M1945" s="9">
        <v>51</v>
      </c>
      <c r="N1945" s="9">
        <v>49</v>
      </c>
      <c r="O1945" s="9">
        <v>52</v>
      </c>
      <c r="P1945" s="9">
        <v>66</v>
      </c>
      <c r="Q1945" s="9">
        <v>47</v>
      </c>
      <c r="R1945" s="9">
        <v>11</v>
      </c>
      <c r="S1945" s="9">
        <v>0</v>
      </c>
      <c r="T1945" s="9">
        <v>0</v>
      </c>
      <c r="U1945" s="9">
        <v>58</v>
      </c>
      <c r="V1945" s="9">
        <v>58</v>
      </c>
      <c r="W1945" s="9">
        <v>51</v>
      </c>
      <c r="X1945" s="9">
        <v>37</v>
      </c>
      <c r="Y1945" s="9">
        <v>48</v>
      </c>
      <c r="Z1945" s="9">
        <v>47</v>
      </c>
      <c r="AA1945" s="9">
        <v>35</v>
      </c>
      <c r="AB1945" s="9">
        <v>13</v>
      </c>
      <c r="AC1945" s="9">
        <v>0</v>
      </c>
      <c r="AD1945" s="53" t="e">
        <f>#REF!*D1945</f>
        <v>#REF!</v>
      </c>
      <c r="AE1945" s="53" t="e">
        <f>AD1945-#REF!</f>
        <v>#REF!</v>
      </c>
      <c r="AF1945" s="9"/>
      <c r="AG1945" s="33" t="e">
        <f>#REF!-D1945</f>
        <v>#REF!</v>
      </c>
      <c r="AH1945" s="83">
        <v>556.75</v>
      </c>
      <c r="AI1945" s="9"/>
      <c r="AJ1945" s="9"/>
      <c r="AK1945" s="9"/>
    </row>
    <row r="1946" spans="1:37" s="12" customFormat="1" ht="21.6" outlineLevel="1" x14ac:dyDescent="0.2">
      <c r="A1946" s="61" t="s">
        <v>2289</v>
      </c>
      <c r="B1946" s="47" t="s">
        <v>3266</v>
      </c>
      <c r="C1946" s="8" t="s">
        <v>47</v>
      </c>
      <c r="D1946" s="25">
        <f t="shared" si="528"/>
        <v>42</v>
      </c>
      <c r="E1946" s="54"/>
      <c r="F1946" s="78"/>
      <c r="G1946" s="9">
        <v>0</v>
      </c>
      <c r="H1946" s="9">
        <f>23-2</f>
        <v>21</v>
      </c>
      <c r="I1946" s="9">
        <v>6</v>
      </c>
      <c r="J1946" s="9">
        <v>0</v>
      </c>
      <c r="K1946" s="9">
        <v>0</v>
      </c>
      <c r="L1946" s="9">
        <v>0</v>
      </c>
      <c r="M1946" s="9">
        <v>0</v>
      </c>
      <c r="N1946" s="9">
        <v>0</v>
      </c>
      <c r="O1946" s="9">
        <v>0</v>
      </c>
      <c r="P1946" s="9">
        <v>0</v>
      </c>
      <c r="Q1946" s="9">
        <v>0</v>
      </c>
      <c r="R1946" s="9">
        <v>0</v>
      </c>
      <c r="S1946" s="9">
        <v>0</v>
      </c>
      <c r="T1946" s="9">
        <v>0</v>
      </c>
      <c r="U1946" s="9">
        <v>0</v>
      </c>
      <c r="V1946" s="9">
        <v>3</v>
      </c>
      <c r="W1946" s="9">
        <v>3</v>
      </c>
      <c r="X1946" s="9">
        <v>1</v>
      </c>
      <c r="Y1946" s="9">
        <v>2</v>
      </c>
      <c r="Z1946" s="9">
        <v>2</v>
      </c>
      <c r="AA1946" s="9">
        <v>2</v>
      </c>
      <c r="AB1946" s="9">
        <v>2</v>
      </c>
      <c r="AC1946" s="9">
        <v>0</v>
      </c>
      <c r="AD1946" s="53" t="e">
        <f>#REF!*D1946</f>
        <v>#REF!</v>
      </c>
      <c r="AE1946" s="53" t="e">
        <f>AD1946-#REF!</f>
        <v>#REF!</v>
      </c>
      <c r="AF1946" s="9"/>
      <c r="AG1946" s="33" t="e">
        <f>#REF!-D1946</f>
        <v>#REF!</v>
      </c>
      <c r="AH1946" s="83">
        <v>467.8</v>
      </c>
      <c r="AI1946" s="9"/>
      <c r="AJ1946" s="9"/>
      <c r="AK1946" s="9"/>
    </row>
    <row r="1947" spans="1:37" s="12" customFormat="1" ht="20.399999999999999" outlineLevel="1" x14ac:dyDescent="0.2">
      <c r="A1947" s="61" t="s">
        <v>2290</v>
      </c>
      <c r="B1947" s="47" t="s">
        <v>3267</v>
      </c>
      <c r="C1947" s="8" t="s">
        <v>47</v>
      </c>
      <c r="D1947" s="25">
        <f t="shared" si="528"/>
        <v>1069</v>
      </c>
      <c r="E1947" s="54"/>
      <c r="F1947" s="78"/>
      <c r="G1947" s="9">
        <v>0</v>
      </c>
      <c r="H1947" s="49">
        <f t="shared" ref="H1947:R1947" si="529">H1946+H1945</f>
        <v>131</v>
      </c>
      <c r="I1947" s="49">
        <f t="shared" si="529"/>
        <v>95</v>
      </c>
      <c r="J1947" s="49">
        <f t="shared" si="529"/>
        <v>71</v>
      </c>
      <c r="K1947" s="49">
        <f t="shared" si="529"/>
        <v>77</v>
      </c>
      <c r="L1947" s="49">
        <f t="shared" si="529"/>
        <v>57</v>
      </c>
      <c r="M1947" s="49">
        <f t="shared" si="529"/>
        <v>51</v>
      </c>
      <c r="N1947" s="49">
        <f t="shared" si="529"/>
        <v>49</v>
      </c>
      <c r="O1947" s="49">
        <f t="shared" si="529"/>
        <v>52</v>
      </c>
      <c r="P1947" s="49">
        <f t="shared" si="529"/>
        <v>66</v>
      </c>
      <c r="Q1947" s="49">
        <f t="shared" si="529"/>
        <v>47</v>
      </c>
      <c r="R1947" s="49">
        <f t="shared" si="529"/>
        <v>11</v>
      </c>
      <c r="S1947" s="9">
        <v>0</v>
      </c>
      <c r="T1947" s="9">
        <v>0</v>
      </c>
      <c r="U1947" s="49">
        <f t="shared" ref="U1947:AB1947" si="530">U1946+U1945</f>
        <v>58</v>
      </c>
      <c r="V1947" s="49">
        <f t="shared" si="530"/>
        <v>61</v>
      </c>
      <c r="W1947" s="49">
        <f t="shared" si="530"/>
        <v>54</v>
      </c>
      <c r="X1947" s="49">
        <f t="shared" si="530"/>
        <v>38</v>
      </c>
      <c r="Y1947" s="49">
        <f t="shared" si="530"/>
        <v>50</v>
      </c>
      <c r="Z1947" s="49">
        <f t="shared" si="530"/>
        <v>49</v>
      </c>
      <c r="AA1947" s="49">
        <f t="shared" si="530"/>
        <v>37</v>
      </c>
      <c r="AB1947" s="49">
        <f t="shared" si="530"/>
        <v>15</v>
      </c>
      <c r="AC1947" s="9">
        <v>0</v>
      </c>
      <c r="AD1947" s="53" t="e">
        <f>#REF!*D1947</f>
        <v>#REF!</v>
      </c>
      <c r="AE1947" s="53" t="e">
        <f>AD1947-#REF!</f>
        <v>#REF!</v>
      </c>
      <c r="AF1947" s="9"/>
      <c r="AG1947" s="33" t="e">
        <f>#REF!-D1947</f>
        <v>#REF!</v>
      </c>
      <c r="AH1947" s="83">
        <v>213.5</v>
      </c>
      <c r="AI1947" s="9"/>
      <c r="AJ1947" s="9"/>
      <c r="AK1947" s="9"/>
    </row>
    <row r="1948" spans="1:37" s="12" customFormat="1" ht="30.6" outlineLevel="1" x14ac:dyDescent="0.2">
      <c r="A1948" s="61" t="s">
        <v>2291</v>
      </c>
      <c r="B1948" s="47" t="s">
        <v>3268</v>
      </c>
      <c r="C1948" s="8" t="s">
        <v>47</v>
      </c>
      <c r="D1948" s="25">
        <f t="shared" si="528"/>
        <v>5</v>
      </c>
      <c r="E1948" s="54"/>
      <c r="F1948" s="78"/>
      <c r="G1948" s="9">
        <v>0</v>
      </c>
      <c r="H1948" s="9">
        <v>0</v>
      </c>
      <c r="I1948" s="9">
        <v>1</v>
      </c>
      <c r="J1948" s="9">
        <v>0</v>
      </c>
      <c r="K1948" s="9">
        <v>0</v>
      </c>
      <c r="L1948" s="9">
        <v>0</v>
      </c>
      <c r="M1948" s="9">
        <v>0</v>
      </c>
      <c r="N1948" s="9">
        <v>0</v>
      </c>
      <c r="O1948" s="9">
        <v>0</v>
      </c>
      <c r="P1948" s="9">
        <v>0</v>
      </c>
      <c r="Q1948" s="9">
        <v>0</v>
      </c>
      <c r="R1948" s="9">
        <v>4</v>
      </c>
      <c r="S1948" s="9">
        <v>0</v>
      </c>
      <c r="T1948" s="9">
        <v>0</v>
      </c>
      <c r="U1948" s="9">
        <v>0</v>
      </c>
      <c r="V1948" s="9">
        <v>0</v>
      </c>
      <c r="W1948" s="9">
        <v>0</v>
      </c>
      <c r="X1948" s="9">
        <v>0</v>
      </c>
      <c r="Y1948" s="9">
        <v>0</v>
      </c>
      <c r="Z1948" s="9">
        <v>0</v>
      </c>
      <c r="AA1948" s="9">
        <v>0</v>
      </c>
      <c r="AB1948" s="9">
        <v>0</v>
      </c>
      <c r="AC1948" s="9">
        <v>0</v>
      </c>
      <c r="AD1948" s="53" t="e">
        <f>#REF!*D1948</f>
        <v>#REF!</v>
      </c>
      <c r="AE1948" s="53" t="e">
        <f>AD1948-#REF!</f>
        <v>#REF!</v>
      </c>
      <c r="AF1948" s="9"/>
      <c r="AG1948" s="33" t="e">
        <f>#REF!-D1948</f>
        <v>#REF!</v>
      </c>
      <c r="AH1948" s="83">
        <v>10352</v>
      </c>
      <c r="AI1948" s="9"/>
      <c r="AJ1948" s="9"/>
      <c r="AK1948" s="9"/>
    </row>
    <row r="1949" spans="1:37" s="12" customFormat="1" ht="30.6" outlineLevel="1" x14ac:dyDescent="0.2">
      <c r="A1949" s="61" t="s">
        <v>2292</v>
      </c>
      <c r="B1949" s="47" t="s">
        <v>3269</v>
      </c>
      <c r="C1949" s="8" t="s">
        <v>47</v>
      </c>
      <c r="D1949" s="25">
        <f t="shared" si="528"/>
        <v>120</v>
      </c>
      <c r="E1949" s="54"/>
      <c r="F1949" s="78"/>
      <c r="G1949" s="9">
        <v>0</v>
      </c>
      <c r="H1949" s="9">
        <f>18-4</f>
        <v>14</v>
      </c>
      <c r="I1949" s="9">
        <v>11</v>
      </c>
      <c r="J1949" s="9">
        <v>12</v>
      </c>
      <c r="K1949" s="9">
        <f>18-7</f>
        <v>11</v>
      </c>
      <c r="L1949" s="9">
        <v>7</v>
      </c>
      <c r="M1949" s="9">
        <v>7</v>
      </c>
      <c r="N1949" s="9">
        <v>7</v>
      </c>
      <c r="O1949" s="9">
        <v>7</v>
      </c>
      <c r="P1949" s="9">
        <v>9</v>
      </c>
      <c r="Q1949" s="9">
        <v>7</v>
      </c>
      <c r="R1949" s="9">
        <v>5</v>
      </c>
      <c r="S1949" s="9">
        <v>0</v>
      </c>
      <c r="T1949" s="9">
        <v>0</v>
      </c>
      <c r="U1949" s="9">
        <v>4</v>
      </c>
      <c r="V1949" s="9">
        <v>4</v>
      </c>
      <c r="W1949" s="9">
        <v>4</v>
      </c>
      <c r="X1949" s="9">
        <v>2</v>
      </c>
      <c r="Y1949" s="9">
        <v>3</v>
      </c>
      <c r="Z1949" s="9">
        <v>2</v>
      </c>
      <c r="AA1949" s="9">
        <v>2</v>
      </c>
      <c r="AB1949" s="9">
        <v>2</v>
      </c>
      <c r="AC1949" s="9">
        <v>0</v>
      </c>
      <c r="AD1949" s="53" t="e">
        <f>#REF!*D1949</f>
        <v>#REF!</v>
      </c>
      <c r="AE1949" s="53" t="e">
        <f>AD1949-#REF!</f>
        <v>#REF!</v>
      </c>
      <c r="AF1949" s="9"/>
      <c r="AG1949" s="33" t="e">
        <f>#REF!-D1949</f>
        <v>#REF!</v>
      </c>
      <c r="AH1949" s="83">
        <v>1303.8</v>
      </c>
      <c r="AI1949" s="9"/>
      <c r="AJ1949" s="9"/>
      <c r="AK1949" s="9"/>
    </row>
    <row r="1950" spans="1:37" s="12" customFormat="1" ht="20.399999999999999" outlineLevel="1" x14ac:dyDescent="0.2">
      <c r="A1950" s="61" t="s">
        <v>2293</v>
      </c>
      <c r="B1950" s="47" t="s">
        <v>3270</v>
      </c>
      <c r="C1950" s="8" t="s">
        <v>47</v>
      </c>
      <c r="D1950" s="25">
        <f t="shared" si="528"/>
        <v>120</v>
      </c>
      <c r="E1950" s="54"/>
      <c r="F1950" s="78"/>
      <c r="G1950" s="9">
        <v>0</v>
      </c>
      <c r="H1950" s="9">
        <f>18-4</f>
        <v>14</v>
      </c>
      <c r="I1950" s="9">
        <v>11</v>
      </c>
      <c r="J1950" s="9">
        <v>12</v>
      </c>
      <c r="K1950" s="9">
        <f>18-7</f>
        <v>11</v>
      </c>
      <c r="L1950" s="9">
        <v>7</v>
      </c>
      <c r="M1950" s="9">
        <v>7</v>
      </c>
      <c r="N1950" s="9">
        <v>7</v>
      </c>
      <c r="O1950" s="9">
        <v>7</v>
      </c>
      <c r="P1950" s="9">
        <v>9</v>
      </c>
      <c r="Q1950" s="9">
        <v>7</v>
      </c>
      <c r="R1950" s="9">
        <v>5</v>
      </c>
      <c r="S1950" s="9">
        <v>0</v>
      </c>
      <c r="T1950" s="9">
        <v>0</v>
      </c>
      <c r="U1950" s="9">
        <v>4</v>
      </c>
      <c r="V1950" s="9">
        <v>4</v>
      </c>
      <c r="W1950" s="9">
        <v>4</v>
      </c>
      <c r="X1950" s="9">
        <v>2</v>
      </c>
      <c r="Y1950" s="9">
        <v>3</v>
      </c>
      <c r="Z1950" s="9">
        <v>2</v>
      </c>
      <c r="AA1950" s="9">
        <v>2</v>
      </c>
      <c r="AB1950" s="9">
        <v>2</v>
      </c>
      <c r="AC1950" s="9">
        <v>0</v>
      </c>
      <c r="AD1950" s="53" t="e">
        <f>#REF!*D1950</f>
        <v>#REF!</v>
      </c>
      <c r="AE1950" s="53" t="e">
        <f>AD1950-#REF!</f>
        <v>#REF!</v>
      </c>
      <c r="AF1950" s="9"/>
      <c r="AG1950" s="33" t="e">
        <f>#REF!-D1950</f>
        <v>#REF!</v>
      </c>
      <c r="AH1950" s="83">
        <v>235</v>
      </c>
      <c r="AI1950" s="9"/>
      <c r="AJ1950" s="9"/>
      <c r="AK1950" s="9"/>
    </row>
    <row r="1951" spans="1:37" s="12" customFormat="1" ht="20.399999999999999" outlineLevel="1" x14ac:dyDescent="0.2">
      <c r="A1951" s="61" t="s">
        <v>2294</v>
      </c>
      <c r="B1951" s="47" t="s">
        <v>3271</v>
      </c>
      <c r="C1951" s="8" t="s">
        <v>47</v>
      </c>
      <c r="D1951" s="25">
        <f t="shared" si="528"/>
        <v>120</v>
      </c>
      <c r="E1951" s="54"/>
      <c r="F1951" s="78"/>
      <c r="G1951" s="9">
        <v>0</v>
      </c>
      <c r="H1951" s="49">
        <f t="shared" ref="H1951:R1951" si="531">H1949</f>
        <v>14</v>
      </c>
      <c r="I1951" s="49">
        <f t="shared" si="531"/>
        <v>11</v>
      </c>
      <c r="J1951" s="49">
        <f t="shared" si="531"/>
        <v>12</v>
      </c>
      <c r="K1951" s="49">
        <f t="shared" si="531"/>
        <v>11</v>
      </c>
      <c r="L1951" s="49">
        <f t="shared" si="531"/>
        <v>7</v>
      </c>
      <c r="M1951" s="49">
        <f t="shared" si="531"/>
        <v>7</v>
      </c>
      <c r="N1951" s="49">
        <f t="shared" si="531"/>
        <v>7</v>
      </c>
      <c r="O1951" s="49">
        <f t="shared" si="531"/>
        <v>7</v>
      </c>
      <c r="P1951" s="49">
        <f t="shared" si="531"/>
        <v>9</v>
      </c>
      <c r="Q1951" s="49">
        <f t="shared" si="531"/>
        <v>7</v>
      </c>
      <c r="R1951" s="49">
        <f t="shared" si="531"/>
        <v>5</v>
      </c>
      <c r="S1951" s="9">
        <v>0</v>
      </c>
      <c r="T1951" s="9">
        <v>0</v>
      </c>
      <c r="U1951" s="49">
        <f t="shared" ref="U1951:AB1952" si="532">U1949</f>
        <v>4</v>
      </c>
      <c r="V1951" s="49">
        <f t="shared" si="532"/>
        <v>4</v>
      </c>
      <c r="W1951" s="49">
        <f t="shared" si="532"/>
        <v>4</v>
      </c>
      <c r="X1951" s="49">
        <f t="shared" si="532"/>
        <v>2</v>
      </c>
      <c r="Y1951" s="49">
        <f t="shared" si="532"/>
        <v>3</v>
      </c>
      <c r="Z1951" s="49">
        <f t="shared" si="532"/>
        <v>2</v>
      </c>
      <c r="AA1951" s="49">
        <f t="shared" si="532"/>
        <v>2</v>
      </c>
      <c r="AB1951" s="49">
        <f t="shared" si="532"/>
        <v>2</v>
      </c>
      <c r="AC1951" s="9">
        <v>0</v>
      </c>
      <c r="AD1951" s="53" t="e">
        <f>#REF!*D1951</f>
        <v>#REF!</v>
      </c>
      <c r="AE1951" s="53" t="e">
        <f>AD1951-#REF!</f>
        <v>#REF!</v>
      </c>
      <c r="AF1951" s="9"/>
      <c r="AG1951" s="33" t="e">
        <f>#REF!-D1951</f>
        <v>#REF!</v>
      </c>
      <c r="AH1951" s="83">
        <v>1666</v>
      </c>
      <c r="AI1951" s="9"/>
      <c r="AJ1951" s="9"/>
      <c r="AK1951" s="9"/>
    </row>
    <row r="1952" spans="1:37" s="12" customFormat="1" ht="30.6" outlineLevel="1" x14ac:dyDescent="0.2">
      <c r="A1952" s="61" t="s">
        <v>2295</v>
      </c>
      <c r="B1952" s="47" t="s">
        <v>3272</v>
      </c>
      <c r="C1952" s="8" t="s">
        <v>47</v>
      </c>
      <c r="D1952" s="25">
        <f t="shared" si="528"/>
        <v>120</v>
      </c>
      <c r="E1952" s="54"/>
      <c r="F1952" s="78"/>
      <c r="G1952" s="9">
        <v>0</v>
      </c>
      <c r="H1952" s="49">
        <f t="shared" ref="H1952:R1952" si="533">H1950</f>
        <v>14</v>
      </c>
      <c r="I1952" s="49">
        <f t="shared" si="533"/>
        <v>11</v>
      </c>
      <c r="J1952" s="49">
        <f t="shared" si="533"/>
        <v>12</v>
      </c>
      <c r="K1952" s="49">
        <f t="shared" si="533"/>
        <v>11</v>
      </c>
      <c r="L1952" s="49">
        <f t="shared" si="533"/>
        <v>7</v>
      </c>
      <c r="M1952" s="49">
        <f t="shared" si="533"/>
        <v>7</v>
      </c>
      <c r="N1952" s="49">
        <f t="shared" si="533"/>
        <v>7</v>
      </c>
      <c r="O1952" s="49">
        <f t="shared" si="533"/>
        <v>7</v>
      </c>
      <c r="P1952" s="49">
        <f t="shared" si="533"/>
        <v>9</v>
      </c>
      <c r="Q1952" s="49">
        <f t="shared" si="533"/>
        <v>7</v>
      </c>
      <c r="R1952" s="49">
        <f t="shared" si="533"/>
        <v>5</v>
      </c>
      <c r="S1952" s="9">
        <v>0</v>
      </c>
      <c r="T1952" s="9">
        <v>0</v>
      </c>
      <c r="U1952" s="49">
        <f t="shared" si="532"/>
        <v>4</v>
      </c>
      <c r="V1952" s="49">
        <f t="shared" si="532"/>
        <v>4</v>
      </c>
      <c r="W1952" s="49">
        <f t="shared" si="532"/>
        <v>4</v>
      </c>
      <c r="X1952" s="49">
        <f t="shared" si="532"/>
        <v>2</v>
      </c>
      <c r="Y1952" s="49">
        <f t="shared" si="532"/>
        <v>3</v>
      </c>
      <c r="Z1952" s="49">
        <f t="shared" si="532"/>
        <v>2</v>
      </c>
      <c r="AA1952" s="49">
        <f t="shared" si="532"/>
        <v>2</v>
      </c>
      <c r="AB1952" s="49">
        <f t="shared" si="532"/>
        <v>2</v>
      </c>
      <c r="AC1952" s="9">
        <v>0</v>
      </c>
      <c r="AD1952" s="53" t="e">
        <f>#REF!*D1952</f>
        <v>#REF!</v>
      </c>
      <c r="AE1952" s="53" t="e">
        <f>AD1952-#REF!</f>
        <v>#REF!</v>
      </c>
      <c r="AF1952" s="9"/>
      <c r="AG1952" s="33" t="e">
        <f>#REF!-D1952</f>
        <v>#REF!</v>
      </c>
      <c r="AH1952" s="83">
        <v>198.75</v>
      </c>
      <c r="AI1952" s="9"/>
      <c r="AJ1952" s="9"/>
      <c r="AK1952" s="9"/>
    </row>
    <row r="1953" spans="1:37" s="12" customFormat="1" ht="20.399999999999999" outlineLevel="1" x14ac:dyDescent="0.2">
      <c r="A1953" s="61" t="s">
        <v>2296</v>
      </c>
      <c r="B1953" s="47" t="s">
        <v>3273</v>
      </c>
      <c r="C1953" s="8" t="s">
        <v>47</v>
      </c>
      <c r="D1953" s="25">
        <f t="shared" si="528"/>
        <v>49</v>
      </c>
      <c r="E1953" s="54"/>
      <c r="F1953" s="78"/>
      <c r="G1953" s="9">
        <v>0</v>
      </c>
      <c r="H1953" s="9">
        <v>2</v>
      </c>
      <c r="I1953" s="9">
        <v>3</v>
      </c>
      <c r="J1953" s="9">
        <v>2</v>
      </c>
      <c r="K1953" s="9">
        <v>2</v>
      </c>
      <c r="L1953" s="9">
        <v>2</v>
      </c>
      <c r="M1953" s="9">
        <v>4</v>
      </c>
      <c r="N1953" s="9">
        <v>4</v>
      </c>
      <c r="O1953" s="9">
        <v>4</v>
      </c>
      <c r="P1953" s="9">
        <v>4</v>
      </c>
      <c r="Q1953" s="9">
        <v>4</v>
      </c>
      <c r="R1953" s="9">
        <v>2</v>
      </c>
      <c r="S1953" s="9">
        <v>0</v>
      </c>
      <c r="T1953" s="9">
        <v>0</v>
      </c>
      <c r="U1953" s="9">
        <v>2</v>
      </c>
      <c r="V1953" s="9">
        <v>2</v>
      </c>
      <c r="W1953" s="9">
        <v>2</v>
      </c>
      <c r="X1953" s="9">
        <v>2</v>
      </c>
      <c r="Y1953" s="9">
        <v>2</v>
      </c>
      <c r="Z1953" s="9">
        <v>2</v>
      </c>
      <c r="AA1953" s="9">
        <v>2</v>
      </c>
      <c r="AB1953" s="9">
        <v>2</v>
      </c>
      <c r="AC1953" s="9">
        <v>0</v>
      </c>
      <c r="AD1953" s="53" t="e">
        <f>#REF!*D1953</f>
        <v>#REF!</v>
      </c>
      <c r="AE1953" s="53" t="e">
        <f>AD1953-#REF!</f>
        <v>#REF!</v>
      </c>
      <c r="AF1953" s="9"/>
      <c r="AG1953" s="33" t="e">
        <f>#REF!-D1953</f>
        <v>#REF!</v>
      </c>
      <c r="AH1953" s="83">
        <v>863</v>
      </c>
      <c r="AI1953" s="9"/>
      <c r="AJ1953" s="9"/>
      <c r="AK1953" s="9"/>
    </row>
    <row r="1954" spans="1:37" s="12" customFormat="1" ht="20.399999999999999" outlineLevel="1" x14ac:dyDescent="0.2">
      <c r="A1954" s="61" t="s">
        <v>2297</v>
      </c>
      <c r="B1954" s="47" t="s">
        <v>3274</v>
      </c>
      <c r="C1954" s="8" t="s">
        <v>47</v>
      </c>
      <c r="D1954" s="25">
        <f t="shared" si="528"/>
        <v>47</v>
      </c>
      <c r="E1954" s="54"/>
      <c r="F1954" s="78"/>
      <c r="G1954" s="9">
        <v>0</v>
      </c>
      <c r="H1954" s="9">
        <v>2</v>
      </c>
      <c r="I1954" s="9">
        <v>3</v>
      </c>
      <c r="J1954" s="9">
        <v>2</v>
      </c>
      <c r="K1954" s="9">
        <v>2</v>
      </c>
      <c r="L1954" s="9">
        <v>2</v>
      </c>
      <c r="M1954" s="9">
        <v>4</v>
      </c>
      <c r="N1954" s="9">
        <v>4</v>
      </c>
      <c r="O1954" s="9">
        <v>4</v>
      </c>
      <c r="P1954" s="9">
        <v>4</v>
      </c>
      <c r="Q1954" s="9">
        <v>4</v>
      </c>
      <c r="R1954" s="9">
        <v>2</v>
      </c>
      <c r="S1954" s="9">
        <v>0</v>
      </c>
      <c r="T1954" s="9">
        <v>0</v>
      </c>
      <c r="U1954" s="9">
        <v>2</v>
      </c>
      <c r="V1954" s="9">
        <v>2</v>
      </c>
      <c r="W1954" s="9">
        <v>2</v>
      </c>
      <c r="X1954" s="9">
        <v>2</v>
      </c>
      <c r="Y1954" s="9">
        <v>2</v>
      </c>
      <c r="Z1954" s="9">
        <v>2</v>
      </c>
      <c r="AA1954" s="9">
        <v>2</v>
      </c>
      <c r="AB1954" s="9">
        <v>0</v>
      </c>
      <c r="AC1954" s="9">
        <v>0</v>
      </c>
      <c r="AD1954" s="53" t="e">
        <f>#REF!*D1954</f>
        <v>#REF!</v>
      </c>
      <c r="AE1954" s="53" t="e">
        <f>AD1954-#REF!</f>
        <v>#REF!</v>
      </c>
      <c r="AF1954" s="9"/>
      <c r="AG1954" s="33" t="e">
        <f>#REF!-D1954</f>
        <v>#REF!</v>
      </c>
      <c r="AH1954" s="83">
        <v>526.79999999999995</v>
      </c>
      <c r="AI1954" s="9"/>
      <c r="AJ1954" s="9"/>
      <c r="AK1954" s="9"/>
    </row>
    <row r="1955" spans="1:37" s="12" customFormat="1" ht="20.399999999999999" outlineLevel="1" x14ac:dyDescent="0.2">
      <c r="A1955" s="61" t="s">
        <v>2298</v>
      </c>
      <c r="B1955" s="47" t="s">
        <v>3275</v>
      </c>
      <c r="C1955" s="8" t="s">
        <v>47</v>
      </c>
      <c r="D1955" s="25">
        <f t="shared" si="528"/>
        <v>62</v>
      </c>
      <c r="E1955" s="54"/>
      <c r="F1955" s="78"/>
      <c r="G1955" s="9">
        <v>0</v>
      </c>
      <c r="H1955" s="9">
        <v>3</v>
      </c>
      <c r="I1955" s="9">
        <v>4</v>
      </c>
      <c r="J1955" s="9">
        <v>3</v>
      </c>
      <c r="K1955" s="9">
        <v>3</v>
      </c>
      <c r="L1955" s="9">
        <v>3</v>
      </c>
      <c r="M1955" s="9">
        <v>5</v>
      </c>
      <c r="N1955" s="9">
        <v>5</v>
      </c>
      <c r="O1955" s="9">
        <v>5</v>
      </c>
      <c r="P1955" s="9">
        <v>5</v>
      </c>
      <c r="Q1955" s="9">
        <v>5</v>
      </c>
      <c r="R1955" s="9">
        <v>5</v>
      </c>
      <c r="S1955" s="9">
        <v>2</v>
      </c>
      <c r="T1955" s="9">
        <v>0</v>
      </c>
      <c r="U1955" s="9">
        <v>2</v>
      </c>
      <c r="V1955" s="9">
        <v>2</v>
      </c>
      <c r="W1955" s="9">
        <v>2</v>
      </c>
      <c r="X1955" s="9">
        <v>2</v>
      </c>
      <c r="Y1955" s="9">
        <v>2</v>
      </c>
      <c r="Z1955" s="9">
        <v>2</v>
      </c>
      <c r="AA1955" s="9">
        <v>2</v>
      </c>
      <c r="AB1955" s="9">
        <v>0</v>
      </c>
      <c r="AC1955" s="9">
        <v>0</v>
      </c>
      <c r="AD1955" s="53" t="e">
        <f>#REF!*D1955</f>
        <v>#REF!</v>
      </c>
      <c r="AE1955" s="53" t="e">
        <f>AD1955-#REF!</f>
        <v>#REF!</v>
      </c>
      <c r="AF1955" s="9"/>
      <c r="AG1955" s="33" t="e">
        <f>#REF!-D1955</f>
        <v>#REF!</v>
      </c>
      <c r="AH1955" s="83">
        <v>824.95</v>
      </c>
      <c r="AI1955" s="9"/>
      <c r="AJ1955" s="9"/>
      <c r="AK1955" s="9"/>
    </row>
    <row r="1956" spans="1:37" s="12" customFormat="1" ht="20.399999999999999" outlineLevel="1" x14ac:dyDescent="0.2">
      <c r="A1956" s="61" t="s">
        <v>2299</v>
      </c>
      <c r="B1956" s="14" t="s">
        <v>3276</v>
      </c>
      <c r="C1956" s="9" t="s">
        <v>47</v>
      </c>
      <c r="D1956" s="25">
        <f t="shared" si="528"/>
        <v>49</v>
      </c>
      <c r="E1956" s="54"/>
      <c r="F1956" s="9"/>
      <c r="G1956" s="9">
        <v>0</v>
      </c>
      <c r="H1956" s="9">
        <v>0</v>
      </c>
      <c r="I1956" s="9">
        <v>0</v>
      </c>
      <c r="J1956" s="9">
        <v>0</v>
      </c>
      <c r="K1956" s="9">
        <v>0</v>
      </c>
      <c r="L1956" s="9">
        <v>0</v>
      </c>
      <c r="M1956" s="9">
        <v>0</v>
      </c>
      <c r="N1956" s="9">
        <v>0</v>
      </c>
      <c r="O1956" s="9">
        <v>0</v>
      </c>
      <c r="P1956" s="9">
        <v>0</v>
      </c>
      <c r="Q1956" s="9">
        <v>0</v>
      </c>
      <c r="R1956" s="9">
        <v>4</v>
      </c>
      <c r="S1956" s="9">
        <v>0</v>
      </c>
      <c r="T1956" s="9">
        <v>45</v>
      </c>
      <c r="U1956" s="9">
        <v>0</v>
      </c>
      <c r="V1956" s="9">
        <v>0</v>
      </c>
      <c r="W1956" s="9">
        <v>0</v>
      </c>
      <c r="X1956" s="9">
        <v>0</v>
      </c>
      <c r="Y1956" s="9">
        <v>0</v>
      </c>
      <c r="Z1956" s="9">
        <v>0</v>
      </c>
      <c r="AA1956" s="9">
        <v>0</v>
      </c>
      <c r="AB1956" s="9">
        <v>0</v>
      </c>
      <c r="AC1956" s="9">
        <v>0</v>
      </c>
      <c r="AD1956" s="53" t="e">
        <f>#REF!*D1956</f>
        <v>#REF!</v>
      </c>
      <c r="AE1956" s="53" t="e">
        <f>AD1956-#REF!</f>
        <v>#REF!</v>
      </c>
      <c r="AF1956" s="9"/>
      <c r="AG1956" s="33" t="e">
        <f>#REF!-D1956</f>
        <v>#REF!</v>
      </c>
      <c r="AH1956" s="83">
        <v>1504.5</v>
      </c>
      <c r="AI1956" s="9"/>
      <c r="AJ1956" s="9"/>
      <c r="AK1956" s="9"/>
    </row>
    <row r="1957" spans="1:37" s="12" customFormat="1" ht="20.399999999999999" outlineLevel="1" x14ac:dyDescent="0.2">
      <c r="A1957" s="61" t="s">
        <v>2300</v>
      </c>
      <c r="B1957" s="14" t="s">
        <v>2282</v>
      </c>
      <c r="C1957" s="9" t="s">
        <v>47</v>
      </c>
      <c r="D1957" s="25">
        <f t="shared" si="528"/>
        <v>8</v>
      </c>
      <c r="E1957" s="54"/>
      <c r="F1957" s="9"/>
      <c r="G1957" s="9">
        <v>0</v>
      </c>
      <c r="H1957" s="9">
        <v>2</v>
      </c>
      <c r="I1957" s="9">
        <v>0</v>
      </c>
      <c r="J1957" s="9">
        <v>0</v>
      </c>
      <c r="K1957" s="9">
        <v>0</v>
      </c>
      <c r="L1957" s="9">
        <v>0</v>
      </c>
      <c r="M1957" s="9">
        <v>1</v>
      </c>
      <c r="N1957" s="9">
        <v>0</v>
      </c>
      <c r="O1957" s="9">
        <v>0</v>
      </c>
      <c r="P1957" s="9">
        <v>0</v>
      </c>
      <c r="Q1957" s="9">
        <v>0</v>
      </c>
      <c r="R1957" s="9">
        <v>4</v>
      </c>
      <c r="S1957" s="9">
        <v>0</v>
      </c>
      <c r="T1957" s="9">
        <v>0</v>
      </c>
      <c r="U1957" s="9">
        <v>1</v>
      </c>
      <c r="V1957" s="9">
        <v>0</v>
      </c>
      <c r="W1957" s="9">
        <v>0</v>
      </c>
      <c r="X1957" s="9">
        <v>0</v>
      </c>
      <c r="Y1957" s="9">
        <v>0</v>
      </c>
      <c r="Z1957" s="9">
        <v>0</v>
      </c>
      <c r="AA1957" s="9">
        <v>0</v>
      </c>
      <c r="AB1957" s="9">
        <v>0</v>
      </c>
      <c r="AC1957" s="9">
        <v>0</v>
      </c>
      <c r="AD1957" s="53" t="e">
        <f>#REF!*D1957</f>
        <v>#REF!</v>
      </c>
      <c r="AE1957" s="53" t="e">
        <f>AD1957-#REF!</f>
        <v>#REF!</v>
      </c>
      <c r="AF1957" s="9"/>
      <c r="AG1957" s="33" t="e">
        <f>#REF!-D1957</f>
        <v>#REF!</v>
      </c>
      <c r="AH1957" s="83">
        <v>815.45</v>
      </c>
      <c r="AI1957" s="9"/>
      <c r="AJ1957" s="9"/>
      <c r="AK1957" s="9"/>
    </row>
    <row r="1958" spans="1:37" s="12" customFormat="1" ht="12" outlineLevel="1" x14ac:dyDescent="0.25">
      <c r="A1958" s="61"/>
      <c r="B1958" s="226" t="s">
        <v>3197</v>
      </c>
      <c r="C1958" s="8"/>
      <c r="D1958" s="25"/>
      <c r="E1958" s="54"/>
      <c r="F1958" s="78"/>
      <c r="G1958" s="9"/>
      <c r="H1958" s="9"/>
      <c r="I1958" s="9"/>
      <c r="J1958" s="9"/>
      <c r="K1958" s="9"/>
      <c r="L1958" s="9"/>
      <c r="M1958" s="9"/>
      <c r="N1958" s="9"/>
      <c r="O1958" s="9"/>
      <c r="P1958" s="9"/>
      <c r="Q1958" s="9"/>
      <c r="R1958" s="9"/>
      <c r="S1958" s="9"/>
      <c r="T1958" s="9"/>
      <c r="U1958" s="9"/>
      <c r="V1958" s="9"/>
      <c r="W1958" s="9"/>
      <c r="X1958" s="9"/>
      <c r="Y1958" s="9"/>
      <c r="Z1958" s="9"/>
      <c r="AA1958" s="9"/>
      <c r="AB1958" s="9"/>
      <c r="AC1958" s="9"/>
      <c r="AD1958" s="53"/>
      <c r="AE1958" s="53" t="e">
        <f>AD1958-#REF!</f>
        <v>#REF!</v>
      </c>
      <c r="AF1958" s="9"/>
      <c r="AG1958" s="33"/>
      <c r="AH1958" s="83"/>
      <c r="AI1958" s="9"/>
      <c r="AJ1958" s="9"/>
      <c r="AK1958" s="9"/>
    </row>
    <row r="1959" spans="1:37" s="12" customFormat="1" ht="20.399999999999999" outlineLevel="1" x14ac:dyDescent="0.2">
      <c r="A1959" s="61" t="s">
        <v>2301</v>
      </c>
      <c r="B1959" s="47" t="s">
        <v>3277</v>
      </c>
      <c r="C1959" s="8" t="s">
        <v>47</v>
      </c>
      <c r="D1959" s="25">
        <f>SUM(G1959:AC1959)</f>
        <v>1</v>
      </c>
      <c r="E1959" s="54"/>
      <c r="F1959" s="78"/>
      <c r="G1959" s="9">
        <v>0</v>
      </c>
      <c r="H1959" s="9">
        <v>1</v>
      </c>
      <c r="I1959" s="9">
        <v>0</v>
      </c>
      <c r="J1959" s="9">
        <v>0</v>
      </c>
      <c r="K1959" s="9">
        <v>0</v>
      </c>
      <c r="L1959" s="9">
        <v>0</v>
      </c>
      <c r="M1959" s="9">
        <v>0</v>
      </c>
      <c r="N1959" s="9">
        <v>0</v>
      </c>
      <c r="O1959" s="9">
        <v>0</v>
      </c>
      <c r="P1959" s="9">
        <v>0</v>
      </c>
      <c r="Q1959" s="9">
        <v>0</v>
      </c>
      <c r="R1959" s="9">
        <v>0</v>
      </c>
      <c r="S1959" s="9">
        <v>0</v>
      </c>
      <c r="T1959" s="9">
        <v>0</v>
      </c>
      <c r="U1959" s="9">
        <v>0</v>
      </c>
      <c r="V1959" s="9">
        <v>0</v>
      </c>
      <c r="W1959" s="9">
        <v>0</v>
      </c>
      <c r="X1959" s="9">
        <v>0</v>
      </c>
      <c r="Y1959" s="9">
        <v>0</v>
      </c>
      <c r="Z1959" s="9">
        <v>0</v>
      </c>
      <c r="AA1959" s="9">
        <v>0</v>
      </c>
      <c r="AB1959" s="9">
        <v>0</v>
      </c>
      <c r="AC1959" s="9">
        <v>0</v>
      </c>
      <c r="AD1959" s="53" t="e">
        <f>#REF!*D1959</f>
        <v>#REF!</v>
      </c>
      <c r="AE1959" s="53" t="e">
        <f>AD1959-#REF!</f>
        <v>#REF!</v>
      </c>
      <c r="AF1959" s="9"/>
      <c r="AG1959" s="33" t="e">
        <f>#REF!-D1959</f>
        <v>#REF!</v>
      </c>
      <c r="AH1959" s="83">
        <f>(55403/3+(20358/5*3)+AH1945+AH1947*2)*1.15</f>
        <v>36416.149166666662</v>
      </c>
      <c r="AI1959" s="9"/>
      <c r="AJ1959" s="9"/>
      <c r="AK1959" s="9"/>
    </row>
    <row r="1960" spans="1:37" s="12" customFormat="1" ht="26.25" customHeight="1" outlineLevel="1" x14ac:dyDescent="0.2">
      <c r="A1960" s="61" t="s">
        <v>2603</v>
      </c>
      <c r="B1960" s="47" t="s">
        <v>3278</v>
      </c>
      <c r="C1960" s="8" t="s">
        <v>47</v>
      </c>
      <c r="D1960" s="25">
        <f>SUM(G1960:AC1960)</f>
        <v>6</v>
      </c>
      <c r="E1960" s="54"/>
      <c r="F1960" s="78"/>
      <c r="G1960" s="9">
        <v>0</v>
      </c>
      <c r="H1960" s="9">
        <v>6</v>
      </c>
      <c r="I1960" s="9">
        <v>0</v>
      </c>
      <c r="J1960" s="9">
        <v>0</v>
      </c>
      <c r="K1960" s="9">
        <v>0</v>
      </c>
      <c r="L1960" s="9">
        <v>0</v>
      </c>
      <c r="M1960" s="9">
        <v>0</v>
      </c>
      <c r="N1960" s="9">
        <v>0</v>
      </c>
      <c r="O1960" s="9">
        <v>0</v>
      </c>
      <c r="P1960" s="9">
        <v>0</v>
      </c>
      <c r="Q1960" s="9">
        <v>0</v>
      </c>
      <c r="R1960" s="9">
        <v>0</v>
      </c>
      <c r="S1960" s="9">
        <v>0</v>
      </c>
      <c r="T1960" s="9">
        <v>0</v>
      </c>
      <c r="U1960" s="9">
        <v>0</v>
      </c>
      <c r="V1960" s="9">
        <v>0</v>
      </c>
      <c r="W1960" s="9">
        <v>0</v>
      </c>
      <c r="X1960" s="9">
        <v>0</v>
      </c>
      <c r="Y1960" s="9">
        <v>0</v>
      </c>
      <c r="Z1960" s="9">
        <v>0</v>
      </c>
      <c r="AA1960" s="9">
        <v>0</v>
      </c>
      <c r="AB1960" s="9">
        <v>0</v>
      </c>
      <c r="AC1960" s="9">
        <v>0</v>
      </c>
      <c r="AD1960" s="53" t="e">
        <f>#REF!*D1960</f>
        <v>#REF!</v>
      </c>
      <c r="AE1960" s="53" t="e">
        <f>AD1960-#REF!</f>
        <v>#REF!</v>
      </c>
      <c r="AF1960" s="9"/>
      <c r="AG1960" s="33" t="e">
        <f>#REF!-D1960</f>
        <v>#REF!</v>
      </c>
      <c r="AH1960" s="83">
        <v>10352</v>
      </c>
      <c r="AI1960" s="9"/>
      <c r="AJ1960" s="9"/>
      <c r="AK1960" s="9"/>
    </row>
    <row r="1961" spans="1:37" s="12" customFormat="1" ht="30.6" outlineLevel="1" x14ac:dyDescent="0.2">
      <c r="A1961" s="61" t="s">
        <v>2604</v>
      </c>
      <c r="B1961" s="47" t="s">
        <v>3279</v>
      </c>
      <c r="C1961" s="8" t="s">
        <v>47</v>
      </c>
      <c r="D1961" s="25">
        <f>SUM(G1961:AC1961)</f>
        <v>1</v>
      </c>
      <c r="E1961" s="54"/>
      <c r="F1961" s="78"/>
      <c r="G1961" s="9">
        <v>0</v>
      </c>
      <c r="H1961" s="9">
        <v>1</v>
      </c>
      <c r="I1961" s="9">
        <v>0</v>
      </c>
      <c r="J1961" s="9">
        <v>0</v>
      </c>
      <c r="K1961" s="9">
        <v>0</v>
      </c>
      <c r="L1961" s="9">
        <v>0</v>
      </c>
      <c r="M1961" s="9">
        <v>0</v>
      </c>
      <c r="N1961" s="9">
        <v>0</v>
      </c>
      <c r="O1961" s="9">
        <v>0</v>
      </c>
      <c r="P1961" s="9">
        <v>0</v>
      </c>
      <c r="Q1961" s="9">
        <v>0</v>
      </c>
      <c r="R1961" s="9">
        <v>0</v>
      </c>
      <c r="S1961" s="9">
        <v>0</v>
      </c>
      <c r="T1961" s="9">
        <v>0</v>
      </c>
      <c r="U1961" s="9">
        <v>0</v>
      </c>
      <c r="V1961" s="9">
        <v>0</v>
      </c>
      <c r="W1961" s="9">
        <v>0</v>
      </c>
      <c r="X1961" s="9">
        <v>0</v>
      </c>
      <c r="Y1961" s="9">
        <v>0</v>
      </c>
      <c r="Z1961" s="9">
        <v>0</v>
      </c>
      <c r="AA1961" s="9">
        <v>0</v>
      </c>
      <c r="AB1961" s="9">
        <v>0</v>
      </c>
      <c r="AC1961" s="9">
        <v>0</v>
      </c>
      <c r="AD1961" s="53" t="e">
        <f>#REF!*D1961</f>
        <v>#REF!</v>
      </c>
      <c r="AE1961" s="53" t="e">
        <f>AD1961-#REF!</f>
        <v>#REF!</v>
      </c>
      <c r="AF1961" s="9"/>
      <c r="AG1961" s="33" t="e">
        <f>#REF!-D1961</f>
        <v>#REF!</v>
      </c>
      <c r="AH1961" s="83">
        <v>1303.8</v>
      </c>
      <c r="AI1961" s="9"/>
      <c r="AJ1961" s="9"/>
      <c r="AK1961" s="9"/>
    </row>
    <row r="1962" spans="1:37" s="12" customFormat="1" ht="20.399999999999999" outlineLevel="1" x14ac:dyDescent="0.2">
      <c r="A1962" s="61" t="s">
        <v>3199</v>
      </c>
      <c r="B1962" s="47" t="s">
        <v>3280</v>
      </c>
      <c r="C1962" s="8" t="s">
        <v>47</v>
      </c>
      <c r="D1962" s="25">
        <f>SUM(G1962:AC1962)</f>
        <v>2</v>
      </c>
      <c r="E1962" s="54"/>
      <c r="F1962" s="78"/>
      <c r="G1962" s="9">
        <v>0</v>
      </c>
      <c r="H1962" s="9">
        <v>2</v>
      </c>
      <c r="I1962" s="9">
        <v>0</v>
      </c>
      <c r="J1962" s="9">
        <v>0</v>
      </c>
      <c r="K1962" s="9">
        <v>0</v>
      </c>
      <c r="L1962" s="9">
        <v>0</v>
      </c>
      <c r="M1962" s="9">
        <v>0</v>
      </c>
      <c r="N1962" s="9">
        <v>0</v>
      </c>
      <c r="O1962" s="9">
        <v>0</v>
      </c>
      <c r="P1962" s="9">
        <v>0</v>
      </c>
      <c r="Q1962" s="9">
        <v>0</v>
      </c>
      <c r="R1962" s="9">
        <v>0</v>
      </c>
      <c r="S1962" s="9">
        <v>0</v>
      </c>
      <c r="T1962" s="9">
        <v>0</v>
      </c>
      <c r="U1962" s="9">
        <v>0</v>
      </c>
      <c r="V1962" s="9">
        <v>0</v>
      </c>
      <c r="W1962" s="9">
        <v>0</v>
      </c>
      <c r="X1962" s="9">
        <v>0</v>
      </c>
      <c r="Y1962" s="9">
        <v>0</v>
      </c>
      <c r="Z1962" s="9">
        <v>0</v>
      </c>
      <c r="AA1962" s="9">
        <v>0</v>
      </c>
      <c r="AB1962" s="9">
        <v>0</v>
      </c>
      <c r="AC1962" s="9">
        <v>0</v>
      </c>
      <c r="AD1962" s="53" t="e">
        <f>#REF!*D1962</f>
        <v>#REF!</v>
      </c>
      <c r="AE1962" s="53" t="e">
        <f>AD1962-#REF!</f>
        <v>#REF!</v>
      </c>
      <c r="AF1962" s="9"/>
      <c r="AG1962" s="33" t="e">
        <f>#REF!-D1962</f>
        <v>#REF!</v>
      </c>
      <c r="AH1962" s="83">
        <v>1303.8</v>
      </c>
      <c r="AI1962" s="9"/>
      <c r="AJ1962" s="9"/>
      <c r="AK1962" s="9"/>
    </row>
    <row r="1963" spans="1:37" s="12" customFormat="1" ht="60.75" customHeight="1" outlineLevel="1" x14ac:dyDescent="0.2">
      <c r="A1963" s="61" t="s">
        <v>3200</v>
      </c>
      <c r="B1963" s="47" t="s">
        <v>3551</v>
      </c>
      <c r="C1963" s="8" t="s">
        <v>47</v>
      </c>
      <c r="D1963" s="25">
        <f>SUM(G1963:AC1963)</f>
        <v>1</v>
      </c>
      <c r="E1963" s="54"/>
      <c r="F1963" s="78"/>
      <c r="G1963" s="9">
        <v>0</v>
      </c>
      <c r="H1963" s="9">
        <v>1</v>
      </c>
      <c r="I1963" s="9">
        <v>0</v>
      </c>
      <c r="J1963" s="9">
        <v>0</v>
      </c>
      <c r="K1963" s="9">
        <v>0</v>
      </c>
      <c r="L1963" s="9">
        <v>0</v>
      </c>
      <c r="M1963" s="9">
        <v>0</v>
      </c>
      <c r="N1963" s="9">
        <v>0</v>
      </c>
      <c r="O1963" s="9">
        <v>0</v>
      </c>
      <c r="P1963" s="9">
        <v>0</v>
      </c>
      <c r="Q1963" s="9">
        <v>0</v>
      </c>
      <c r="R1963" s="9">
        <v>0</v>
      </c>
      <c r="S1963" s="9">
        <v>0</v>
      </c>
      <c r="T1963" s="9">
        <v>0</v>
      </c>
      <c r="U1963" s="9">
        <v>0</v>
      </c>
      <c r="V1963" s="9">
        <v>0</v>
      </c>
      <c r="W1963" s="9">
        <v>0</v>
      </c>
      <c r="X1963" s="9">
        <v>0</v>
      </c>
      <c r="Y1963" s="9">
        <v>0</v>
      </c>
      <c r="Z1963" s="9">
        <v>0</v>
      </c>
      <c r="AA1963" s="9">
        <v>0</v>
      </c>
      <c r="AB1963" s="9">
        <v>0</v>
      </c>
      <c r="AC1963" s="9">
        <v>0</v>
      </c>
      <c r="AD1963" s="53" t="e">
        <f>#REF!*D1963</f>
        <v>#REF!</v>
      </c>
      <c r="AE1963" s="53" t="e">
        <f>AD1963-#REF!</f>
        <v>#REF!</v>
      </c>
      <c r="AF1963" s="9"/>
      <c r="AG1963" s="33" t="e">
        <f>#REF!-D1963</f>
        <v>#REF!</v>
      </c>
      <c r="AH1963" s="83">
        <f>(61667.92-20358)*1.15</f>
        <v>47506.407999999996</v>
      </c>
      <c r="AI1963" s="9"/>
      <c r="AJ1963" s="9"/>
      <c r="AK1963" s="9"/>
    </row>
    <row r="1964" spans="1:37" s="12" customFormat="1" ht="12" outlineLevel="1" x14ac:dyDescent="0.25">
      <c r="A1964" s="61"/>
      <c r="B1964" s="226" t="s">
        <v>3198</v>
      </c>
      <c r="C1964" s="8"/>
      <c r="D1964" s="25"/>
      <c r="E1964" s="54"/>
      <c r="F1964" s="78"/>
      <c r="G1964" s="9"/>
      <c r="H1964" s="9"/>
      <c r="I1964" s="9"/>
      <c r="J1964" s="9"/>
      <c r="K1964" s="9"/>
      <c r="L1964" s="9"/>
      <c r="M1964" s="9"/>
      <c r="N1964" s="9"/>
      <c r="O1964" s="9"/>
      <c r="P1964" s="9"/>
      <c r="Q1964" s="9"/>
      <c r="R1964" s="9"/>
      <c r="S1964" s="9"/>
      <c r="T1964" s="9"/>
      <c r="U1964" s="9"/>
      <c r="V1964" s="9"/>
      <c r="W1964" s="9"/>
      <c r="X1964" s="9"/>
      <c r="Y1964" s="9"/>
      <c r="Z1964" s="9"/>
      <c r="AA1964" s="9"/>
      <c r="AB1964" s="9"/>
      <c r="AC1964" s="9"/>
      <c r="AD1964" s="53"/>
      <c r="AE1964" s="53" t="e">
        <f>AD1964-#REF!</f>
        <v>#REF!</v>
      </c>
      <c r="AF1964" s="9"/>
      <c r="AG1964" s="33"/>
      <c r="AH1964" s="83"/>
      <c r="AI1964" s="9"/>
      <c r="AJ1964" s="9"/>
      <c r="AK1964" s="9"/>
    </row>
    <row r="1965" spans="1:37" s="12" customFormat="1" ht="40.799999999999997" outlineLevel="1" x14ac:dyDescent="0.2">
      <c r="A1965" s="61" t="s">
        <v>3201</v>
      </c>
      <c r="B1965" s="47" t="s">
        <v>3250</v>
      </c>
      <c r="C1965" s="8" t="s">
        <v>47</v>
      </c>
      <c r="D1965" s="25">
        <f>SUM(G1965:AC1965)</f>
        <v>1</v>
      </c>
      <c r="E1965" s="54"/>
      <c r="F1965" s="78"/>
      <c r="G1965" s="9">
        <v>0</v>
      </c>
      <c r="H1965" s="9">
        <v>1</v>
      </c>
      <c r="I1965" s="9">
        <v>0</v>
      </c>
      <c r="J1965" s="9">
        <v>0</v>
      </c>
      <c r="K1965" s="9">
        <v>0</v>
      </c>
      <c r="L1965" s="9">
        <v>0</v>
      </c>
      <c r="M1965" s="9">
        <v>0</v>
      </c>
      <c r="N1965" s="9">
        <v>0</v>
      </c>
      <c r="O1965" s="9">
        <v>0</v>
      </c>
      <c r="P1965" s="9">
        <v>0</v>
      </c>
      <c r="Q1965" s="9">
        <v>0</v>
      </c>
      <c r="R1965" s="9">
        <v>0</v>
      </c>
      <c r="S1965" s="9">
        <v>0</v>
      </c>
      <c r="T1965" s="9">
        <v>0</v>
      </c>
      <c r="U1965" s="9">
        <v>0</v>
      </c>
      <c r="V1965" s="9">
        <v>0</v>
      </c>
      <c r="W1965" s="9">
        <v>0</v>
      </c>
      <c r="X1965" s="9">
        <v>0</v>
      </c>
      <c r="Y1965" s="9">
        <v>0</v>
      </c>
      <c r="Z1965" s="9">
        <v>0</v>
      </c>
      <c r="AA1965" s="9">
        <v>0</v>
      </c>
      <c r="AB1965" s="9">
        <v>0</v>
      </c>
      <c r="AC1965" s="9">
        <v>0</v>
      </c>
      <c r="AD1965" s="53" t="e">
        <f>#REF!*D1965</f>
        <v>#REF!</v>
      </c>
      <c r="AE1965" s="53" t="e">
        <f>AD1965-#REF!</f>
        <v>#REF!</v>
      </c>
      <c r="AF1965" s="9"/>
      <c r="AG1965" s="33" t="e">
        <f>#REF!-D1965</f>
        <v>#REF!</v>
      </c>
      <c r="AH1965" s="83">
        <f>49175*1.15</f>
        <v>56551.249999999993</v>
      </c>
      <c r="AI1965" s="9"/>
      <c r="AJ1965" s="9"/>
      <c r="AK1965" s="9"/>
    </row>
    <row r="1966" spans="1:37" s="12" customFormat="1" ht="30.6" outlineLevel="1" x14ac:dyDescent="0.2">
      <c r="A1966" s="61" t="s">
        <v>3202</v>
      </c>
      <c r="B1966" s="47" t="s">
        <v>3251</v>
      </c>
      <c r="C1966" s="8" t="s">
        <v>47</v>
      </c>
      <c r="D1966" s="25">
        <f>SUM(G1966:AC1966)</f>
        <v>1</v>
      </c>
      <c r="E1966" s="54"/>
      <c r="F1966" s="78"/>
      <c r="G1966" s="9">
        <v>0</v>
      </c>
      <c r="H1966" s="9">
        <v>1</v>
      </c>
      <c r="I1966" s="9">
        <v>0</v>
      </c>
      <c r="J1966" s="9">
        <v>0</v>
      </c>
      <c r="K1966" s="9">
        <v>0</v>
      </c>
      <c r="L1966" s="9">
        <v>0</v>
      </c>
      <c r="M1966" s="9">
        <v>0</v>
      </c>
      <c r="N1966" s="9">
        <v>0</v>
      </c>
      <c r="O1966" s="9">
        <v>0</v>
      </c>
      <c r="P1966" s="9">
        <v>0</v>
      </c>
      <c r="Q1966" s="9">
        <v>0</v>
      </c>
      <c r="R1966" s="9">
        <v>0</v>
      </c>
      <c r="S1966" s="9">
        <v>0</v>
      </c>
      <c r="T1966" s="9">
        <v>0</v>
      </c>
      <c r="U1966" s="9">
        <v>0</v>
      </c>
      <c r="V1966" s="9">
        <v>0</v>
      </c>
      <c r="W1966" s="9">
        <v>0</v>
      </c>
      <c r="X1966" s="9">
        <v>0</v>
      </c>
      <c r="Y1966" s="9">
        <v>0</v>
      </c>
      <c r="Z1966" s="9">
        <v>0</v>
      </c>
      <c r="AA1966" s="9">
        <v>0</v>
      </c>
      <c r="AB1966" s="9">
        <v>0</v>
      </c>
      <c r="AC1966" s="9">
        <v>0</v>
      </c>
      <c r="AD1966" s="53" t="e">
        <f>#REF!*D1966</f>
        <v>#REF!</v>
      </c>
      <c r="AE1966" s="53" t="e">
        <f>AD1966-#REF!</f>
        <v>#REF!</v>
      </c>
      <c r="AF1966" s="9"/>
      <c r="AG1966" s="33" t="e">
        <f>#REF!-D1966</f>
        <v>#REF!</v>
      </c>
      <c r="AH1966" s="83">
        <f>(55403/3+924+420)*1.15</f>
        <v>22783.416666666668</v>
      </c>
      <c r="AI1966" s="9"/>
      <c r="AJ1966" s="9"/>
      <c r="AK1966" s="9"/>
    </row>
    <row r="1967" spans="1:37" s="12" customFormat="1" ht="12" outlineLevel="1" x14ac:dyDescent="0.25">
      <c r="A1967" s="61"/>
      <c r="B1967" s="226" t="s">
        <v>3204</v>
      </c>
      <c r="C1967" s="8"/>
      <c r="D1967" s="25"/>
      <c r="E1967" s="54"/>
      <c r="F1967" s="78"/>
      <c r="G1967" s="9"/>
      <c r="H1967" s="9"/>
      <c r="I1967" s="9"/>
      <c r="J1967" s="9"/>
      <c r="K1967" s="9"/>
      <c r="L1967" s="9"/>
      <c r="M1967" s="9"/>
      <c r="N1967" s="9"/>
      <c r="O1967" s="9"/>
      <c r="P1967" s="9"/>
      <c r="Q1967" s="9"/>
      <c r="R1967" s="9"/>
      <c r="S1967" s="9"/>
      <c r="T1967" s="9"/>
      <c r="U1967" s="9"/>
      <c r="V1967" s="9"/>
      <c r="W1967" s="9"/>
      <c r="X1967" s="9"/>
      <c r="Y1967" s="9"/>
      <c r="Z1967" s="9"/>
      <c r="AA1967" s="9"/>
      <c r="AB1967" s="9"/>
      <c r="AC1967" s="9"/>
      <c r="AD1967" s="53"/>
      <c r="AE1967" s="53" t="e">
        <f>AD1967-#REF!</f>
        <v>#REF!</v>
      </c>
      <c r="AF1967" s="9"/>
      <c r="AG1967" s="33"/>
      <c r="AH1967" s="83"/>
      <c r="AI1967" s="9"/>
      <c r="AJ1967" s="9"/>
      <c r="AK1967" s="9"/>
    </row>
    <row r="1968" spans="1:37" s="12" customFormat="1" ht="30.6" outlineLevel="1" x14ac:dyDescent="0.2">
      <c r="A1968" s="61" t="s">
        <v>3203</v>
      </c>
      <c r="B1968" s="47" t="s">
        <v>3552</v>
      </c>
      <c r="C1968" s="8" t="s">
        <v>47</v>
      </c>
      <c r="D1968" s="25">
        <f>SUM(G1968:AC1968)</f>
        <v>3</v>
      </c>
      <c r="E1968" s="54"/>
      <c r="F1968" s="78"/>
      <c r="G1968" s="9">
        <v>0</v>
      </c>
      <c r="H1968" s="9">
        <v>1</v>
      </c>
      <c r="I1968" s="9">
        <v>2</v>
      </c>
      <c r="J1968" s="9">
        <v>0</v>
      </c>
      <c r="K1968" s="9">
        <v>0</v>
      </c>
      <c r="L1968" s="9">
        <v>0</v>
      </c>
      <c r="M1968" s="9">
        <v>0</v>
      </c>
      <c r="N1968" s="9">
        <v>0</v>
      </c>
      <c r="O1968" s="9">
        <v>0</v>
      </c>
      <c r="P1968" s="9">
        <v>0</v>
      </c>
      <c r="Q1968" s="9">
        <v>0</v>
      </c>
      <c r="R1968" s="9">
        <v>0</v>
      </c>
      <c r="S1968" s="9">
        <v>0</v>
      </c>
      <c r="T1968" s="9">
        <v>0</v>
      </c>
      <c r="U1968" s="9">
        <v>0</v>
      </c>
      <c r="V1968" s="9">
        <v>0</v>
      </c>
      <c r="W1968" s="9">
        <v>0</v>
      </c>
      <c r="X1968" s="9">
        <v>0</v>
      </c>
      <c r="Y1968" s="9">
        <v>0</v>
      </c>
      <c r="Z1968" s="9">
        <v>0</v>
      </c>
      <c r="AA1968" s="9">
        <v>0</v>
      </c>
      <c r="AB1968" s="9">
        <v>0</v>
      </c>
      <c r="AC1968" s="9">
        <v>0</v>
      </c>
      <c r="AD1968" s="53" t="e">
        <f>#REF!*D1968</f>
        <v>#REF!</v>
      </c>
      <c r="AE1968" s="53" t="e">
        <f>AD1968-#REF!</f>
        <v>#REF!</v>
      </c>
      <c r="AF1968" s="9"/>
      <c r="AG1968" s="33" t="e">
        <f>#REF!-D1968</f>
        <v>#REF!</v>
      </c>
      <c r="AH1968" s="83">
        <f>54500*1.15</f>
        <v>62674.999999999993</v>
      </c>
      <c r="AI1968" s="9"/>
      <c r="AJ1968" s="9"/>
      <c r="AK1968" s="9"/>
    </row>
    <row r="1969" spans="1:35" x14ac:dyDescent="0.25">
      <c r="E1969" s="54"/>
      <c r="G1969" s="9"/>
      <c r="AD1969" s="53" t="e">
        <f>#REF!*D1969</f>
        <v>#REF!</v>
      </c>
      <c r="AE1969" s="53" t="e">
        <f>AD1969-#REF!</f>
        <v>#REF!</v>
      </c>
      <c r="AG1969" s="33" t="e">
        <f>#REF!-D1969</f>
        <v>#REF!</v>
      </c>
    </row>
    <row r="1970" spans="1:35" x14ac:dyDescent="0.25">
      <c r="A1970" s="58">
        <v>13</v>
      </c>
      <c r="B1970" s="59" t="s">
        <v>2066</v>
      </c>
      <c r="C1970" s="58"/>
      <c r="D1970" s="60"/>
      <c r="E1970" s="200" t="s">
        <v>2806</v>
      </c>
      <c r="G1970" s="9"/>
      <c r="H1970" s="76"/>
      <c r="I1970" s="76"/>
      <c r="J1970" s="76"/>
      <c r="K1970" s="76"/>
      <c r="L1970" s="76"/>
      <c r="M1970" s="76"/>
      <c r="N1970" s="76"/>
      <c r="O1970" s="76"/>
      <c r="P1970" s="76"/>
      <c r="Q1970" s="76"/>
      <c r="R1970" s="76"/>
      <c r="S1970" s="76"/>
      <c r="T1970" s="76"/>
      <c r="U1970" s="76"/>
      <c r="V1970" s="76"/>
      <c r="W1970" s="76"/>
      <c r="X1970" s="76"/>
      <c r="Y1970" s="76"/>
      <c r="Z1970" s="76"/>
      <c r="AA1970" s="76"/>
      <c r="AB1970" s="76"/>
      <c r="AC1970" s="76"/>
      <c r="AD1970" s="53" t="e">
        <f>#REF!*D1970</f>
        <v>#REF!</v>
      </c>
      <c r="AE1970" s="53" t="e">
        <f>AD1970-#REF!</f>
        <v>#REF!</v>
      </c>
      <c r="AG1970" s="33" t="e">
        <f>#REF!-D1970</f>
        <v>#REF!</v>
      </c>
    </row>
    <row r="1971" spans="1:35" x14ac:dyDescent="0.25">
      <c r="A1971" s="18" t="s">
        <v>326</v>
      </c>
      <c r="B1971" s="35" t="s">
        <v>2067</v>
      </c>
      <c r="C1971" s="18"/>
      <c r="D1971" s="52"/>
      <c r="G1971" s="9"/>
      <c r="H1971" s="81"/>
      <c r="I1971" s="81"/>
      <c r="J1971" s="76"/>
      <c r="K1971" s="76"/>
      <c r="L1971" s="76"/>
      <c r="M1971" s="76"/>
      <c r="N1971" s="81"/>
      <c r="O1971" s="76"/>
      <c r="P1971" s="76"/>
      <c r="Q1971" s="76"/>
      <c r="R1971" s="76"/>
      <c r="S1971" s="76"/>
      <c r="T1971" s="76"/>
      <c r="U1971" s="81"/>
      <c r="V1971" s="81"/>
      <c r="W1971" s="76"/>
      <c r="X1971" s="76"/>
      <c r="Y1971" s="76"/>
      <c r="Z1971" s="76"/>
      <c r="AA1971" s="81"/>
      <c r="AB1971" s="76"/>
      <c r="AC1971" s="76"/>
      <c r="AD1971" s="53" t="e">
        <f>#REF!*D1971</f>
        <v>#REF!</v>
      </c>
      <c r="AE1971" s="53" t="e">
        <f>AD1971-#REF!</f>
        <v>#REF!</v>
      </c>
      <c r="AG1971" s="33" t="e">
        <f>#REF!-D1971</f>
        <v>#REF!</v>
      </c>
    </row>
    <row r="1972" spans="1:35" s="12" customFormat="1" ht="20.399999999999999" outlineLevel="1" x14ac:dyDescent="0.2">
      <c r="A1972" s="61" t="s">
        <v>2068</v>
      </c>
      <c r="B1972" s="80" t="s">
        <v>2092</v>
      </c>
      <c r="C1972" s="8" t="s">
        <v>48</v>
      </c>
      <c r="D1972" s="25">
        <f t="shared" ref="D1972:D1995" si="534">SUM(G1972:AC1972)</f>
        <v>145</v>
      </c>
      <c r="E1972" s="54"/>
      <c r="F1972" s="78"/>
      <c r="G1972" s="9">
        <v>0</v>
      </c>
      <c r="H1972" s="9">
        <v>125</v>
      </c>
      <c r="I1972" s="9">
        <v>0</v>
      </c>
      <c r="J1972" s="9">
        <v>0</v>
      </c>
      <c r="K1972" s="9">
        <v>0</v>
      </c>
      <c r="L1972" s="9">
        <v>0</v>
      </c>
      <c r="M1972" s="9">
        <v>0</v>
      </c>
      <c r="N1972" s="9">
        <v>0</v>
      </c>
      <c r="O1972" s="9">
        <v>0</v>
      </c>
      <c r="P1972" s="9">
        <v>0</v>
      </c>
      <c r="Q1972" s="9">
        <v>0</v>
      </c>
      <c r="R1972" s="9">
        <v>0</v>
      </c>
      <c r="S1972" s="9">
        <v>0</v>
      </c>
      <c r="T1972" s="9">
        <v>0</v>
      </c>
      <c r="U1972" s="9">
        <v>0</v>
      </c>
      <c r="V1972" s="9">
        <v>20</v>
      </c>
      <c r="W1972" s="9">
        <v>0</v>
      </c>
      <c r="X1972" s="9">
        <v>0</v>
      </c>
      <c r="Y1972" s="9">
        <v>0</v>
      </c>
      <c r="Z1972" s="9">
        <v>0</v>
      </c>
      <c r="AA1972" s="9">
        <v>0</v>
      </c>
      <c r="AB1972" s="9">
        <v>0</v>
      </c>
      <c r="AC1972" s="9">
        <v>0</v>
      </c>
      <c r="AD1972" s="53" t="e">
        <f>#REF!*D1972</f>
        <v>#REF!</v>
      </c>
      <c r="AE1972" s="53" t="e">
        <f>AD1972-#REF!</f>
        <v>#REF!</v>
      </c>
      <c r="AF1972" s="8"/>
      <c r="AG1972" s="33" t="e">
        <f>#REF!-D1972</f>
        <v>#REF!</v>
      </c>
      <c r="AH1972" s="8"/>
      <c r="AI1972" s="8"/>
    </row>
    <row r="1973" spans="1:35" s="12" customFormat="1" ht="20.399999999999999" outlineLevel="1" x14ac:dyDescent="0.2">
      <c r="A1973" s="61" t="s">
        <v>2069</v>
      </c>
      <c r="B1973" s="80" t="s">
        <v>2093</v>
      </c>
      <c r="C1973" s="8" t="s">
        <v>48</v>
      </c>
      <c r="D1973" s="25">
        <f t="shared" si="534"/>
        <v>165</v>
      </c>
      <c r="E1973" s="54"/>
      <c r="F1973" s="78"/>
      <c r="G1973" s="9">
        <v>0</v>
      </c>
      <c r="H1973" s="9">
        <v>95</v>
      </c>
      <c r="I1973" s="9">
        <v>0</v>
      </c>
      <c r="J1973" s="9">
        <v>0</v>
      </c>
      <c r="K1973" s="9">
        <v>0</v>
      </c>
      <c r="L1973" s="9">
        <v>0</v>
      </c>
      <c r="M1973" s="9">
        <v>0</v>
      </c>
      <c r="N1973" s="9">
        <v>0</v>
      </c>
      <c r="O1973" s="9">
        <v>0</v>
      </c>
      <c r="P1973" s="9">
        <v>0</v>
      </c>
      <c r="Q1973" s="9">
        <v>0</v>
      </c>
      <c r="R1973" s="9">
        <v>15</v>
      </c>
      <c r="S1973" s="9">
        <v>0</v>
      </c>
      <c r="T1973" s="9">
        <v>50</v>
      </c>
      <c r="U1973" s="9">
        <v>5</v>
      </c>
      <c r="V1973" s="9">
        <v>0</v>
      </c>
      <c r="W1973" s="9">
        <v>0</v>
      </c>
      <c r="X1973" s="9">
        <v>0</v>
      </c>
      <c r="Y1973" s="9">
        <v>0</v>
      </c>
      <c r="Z1973" s="9">
        <v>0</v>
      </c>
      <c r="AA1973" s="9">
        <v>0</v>
      </c>
      <c r="AB1973" s="9">
        <v>0</v>
      </c>
      <c r="AC1973" s="9">
        <v>0</v>
      </c>
      <c r="AD1973" s="53" t="e">
        <f>#REF!*D1973</f>
        <v>#REF!</v>
      </c>
      <c r="AE1973" s="53" t="e">
        <f>AD1973-#REF!</f>
        <v>#REF!</v>
      </c>
      <c r="AF1973" s="8"/>
      <c r="AG1973" s="33" t="e">
        <f>#REF!-D1973</f>
        <v>#REF!</v>
      </c>
      <c r="AH1973" s="8"/>
      <c r="AI1973" s="8"/>
    </row>
    <row r="1974" spans="1:35" s="17" customFormat="1" ht="20.399999999999999" outlineLevel="1" x14ac:dyDescent="0.2">
      <c r="A1974" s="61" t="s">
        <v>2070</v>
      </c>
      <c r="B1974" s="80" t="s">
        <v>2094</v>
      </c>
      <c r="C1974" s="8" t="s">
        <v>48</v>
      </c>
      <c r="D1974" s="25">
        <f t="shared" si="534"/>
        <v>140</v>
      </c>
      <c r="E1974" s="54"/>
      <c r="F1974" s="78"/>
      <c r="G1974" s="9">
        <v>140</v>
      </c>
      <c r="H1974" s="9">
        <v>0</v>
      </c>
      <c r="I1974" s="9">
        <v>0</v>
      </c>
      <c r="J1974" s="9">
        <v>0</v>
      </c>
      <c r="K1974" s="9">
        <v>0</v>
      </c>
      <c r="L1974" s="9">
        <v>0</v>
      </c>
      <c r="M1974" s="9">
        <v>0</v>
      </c>
      <c r="N1974" s="9">
        <v>0</v>
      </c>
      <c r="O1974" s="9">
        <v>0</v>
      </c>
      <c r="P1974" s="9">
        <v>0</v>
      </c>
      <c r="Q1974" s="9">
        <v>0</v>
      </c>
      <c r="R1974" s="9">
        <v>0</v>
      </c>
      <c r="S1974" s="9">
        <v>0</v>
      </c>
      <c r="T1974" s="9">
        <v>0</v>
      </c>
      <c r="U1974" s="9">
        <v>0</v>
      </c>
      <c r="V1974" s="9">
        <v>0</v>
      </c>
      <c r="W1974" s="9">
        <v>0</v>
      </c>
      <c r="X1974" s="9">
        <v>0</v>
      </c>
      <c r="Y1974" s="9">
        <v>0</v>
      </c>
      <c r="Z1974" s="9">
        <v>0</v>
      </c>
      <c r="AA1974" s="9">
        <v>0</v>
      </c>
      <c r="AB1974" s="9">
        <v>0</v>
      </c>
      <c r="AC1974" s="9">
        <v>0</v>
      </c>
      <c r="AD1974" s="53" t="e">
        <f>#REF!*D1974</f>
        <v>#REF!</v>
      </c>
      <c r="AE1974" s="53" t="e">
        <f>AD1974-#REF!</f>
        <v>#REF!</v>
      </c>
      <c r="AF1974" s="8"/>
      <c r="AG1974" s="33" t="e">
        <f>#REF!-D1974</f>
        <v>#REF!</v>
      </c>
      <c r="AH1974" s="8"/>
      <c r="AI1974" s="8"/>
    </row>
    <row r="1975" spans="1:35" s="12" customFormat="1" ht="10.199999999999999" outlineLevel="1" x14ac:dyDescent="0.2">
      <c r="A1975" s="61" t="s">
        <v>2071</v>
      </c>
      <c r="B1975" s="11" t="s">
        <v>2095</v>
      </c>
      <c r="C1975" s="8" t="s">
        <v>47</v>
      </c>
      <c r="D1975" s="25">
        <f t="shared" si="534"/>
        <v>29</v>
      </c>
      <c r="E1975" s="54"/>
      <c r="F1975" s="9"/>
      <c r="G1975" s="49">
        <f t="shared" ref="G1975:AC1975" si="535">G1972/5</f>
        <v>0</v>
      </c>
      <c r="H1975" s="49">
        <f t="shared" si="535"/>
        <v>25</v>
      </c>
      <c r="I1975" s="49">
        <f t="shared" si="535"/>
        <v>0</v>
      </c>
      <c r="J1975" s="49">
        <f t="shared" si="535"/>
        <v>0</v>
      </c>
      <c r="K1975" s="49">
        <f t="shared" si="535"/>
        <v>0</v>
      </c>
      <c r="L1975" s="49">
        <f t="shared" si="535"/>
        <v>0</v>
      </c>
      <c r="M1975" s="49">
        <f t="shared" si="535"/>
        <v>0</v>
      </c>
      <c r="N1975" s="49">
        <f t="shared" si="535"/>
        <v>0</v>
      </c>
      <c r="O1975" s="49">
        <f t="shared" si="535"/>
        <v>0</v>
      </c>
      <c r="P1975" s="49">
        <f t="shared" si="535"/>
        <v>0</v>
      </c>
      <c r="Q1975" s="49">
        <f t="shared" si="535"/>
        <v>0</v>
      </c>
      <c r="R1975" s="49">
        <f t="shared" si="535"/>
        <v>0</v>
      </c>
      <c r="S1975" s="49">
        <f t="shared" si="535"/>
        <v>0</v>
      </c>
      <c r="T1975" s="49">
        <f t="shared" si="535"/>
        <v>0</v>
      </c>
      <c r="U1975" s="49">
        <f t="shared" si="535"/>
        <v>0</v>
      </c>
      <c r="V1975" s="49">
        <f t="shared" si="535"/>
        <v>4</v>
      </c>
      <c r="W1975" s="49">
        <f t="shared" si="535"/>
        <v>0</v>
      </c>
      <c r="X1975" s="49">
        <f t="shared" si="535"/>
        <v>0</v>
      </c>
      <c r="Y1975" s="49">
        <f t="shared" si="535"/>
        <v>0</v>
      </c>
      <c r="Z1975" s="49">
        <f t="shared" si="535"/>
        <v>0</v>
      </c>
      <c r="AA1975" s="49">
        <f t="shared" si="535"/>
        <v>0</v>
      </c>
      <c r="AB1975" s="49">
        <f t="shared" si="535"/>
        <v>0</v>
      </c>
      <c r="AC1975" s="49">
        <f t="shared" si="535"/>
        <v>0</v>
      </c>
      <c r="AD1975" s="53" t="e">
        <f>#REF!*D1975</f>
        <v>#REF!</v>
      </c>
      <c r="AE1975" s="53" t="e">
        <f>AD1975-#REF!</f>
        <v>#REF!</v>
      </c>
      <c r="AF1975" s="8"/>
      <c r="AG1975" s="33" t="e">
        <f>#REF!-D1975</f>
        <v>#REF!</v>
      </c>
      <c r="AH1975" s="8"/>
      <c r="AI1975" s="8"/>
    </row>
    <row r="1976" spans="1:35" s="12" customFormat="1" ht="10.199999999999999" outlineLevel="1" x14ac:dyDescent="0.2">
      <c r="A1976" s="61" t="s">
        <v>2072</v>
      </c>
      <c r="B1976" s="11" t="s">
        <v>2096</v>
      </c>
      <c r="C1976" s="8" t="s">
        <v>47</v>
      </c>
      <c r="D1976" s="25">
        <f t="shared" si="534"/>
        <v>33</v>
      </c>
      <c r="E1976" s="54"/>
      <c r="F1976" s="9"/>
      <c r="G1976" s="49">
        <f t="shared" ref="G1976:AC1976" si="536">G1973/5</f>
        <v>0</v>
      </c>
      <c r="H1976" s="49">
        <f t="shared" si="536"/>
        <v>19</v>
      </c>
      <c r="I1976" s="49">
        <f t="shared" si="536"/>
        <v>0</v>
      </c>
      <c r="J1976" s="49">
        <f t="shared" si="536"/>
        <v>0</v>
      </c>
      <c r="K1976" s="49">
        <f t="shared" si="536"/>
        <v>0</v>
      </c>
      <c r="L1976" s="49">
        <f t="shared" si="536"/>
        <v>0</v>
      </c>
      <c r="M1976" s="49">
        <f t="shared" si="536"/>
        <v>0</v>
      </c>
      <c r="N1976" s="49">
        <f t="shared" si="536"/>
        <v>0</v>
      </c>
      <c r="O1976" s="49">
        <f t="shared" si="536"/>
        <v>0</v>
      </c>
      <c r="P1976" s="49">
        <f t="shared" si="536"/>
        <v>0</v>
      </c>
      <c r="Q1976" s="49">
        <f t="shared" si="536"/>
        <v>0</v>
      </c>
      <c r="R1976" s="49">
        <f t="shared" si="536"/>
        <v>3</v>
      </c>
      <c r="S1976" s="49">
        <f t="shared" si="536"/>
        <v>0</v>
      </c>
      <c r="T1976" s="49">
        <f t="shared" si="536"/>
        <v>10</v>
      </c>
      <c r="U1976" s="49">
        <f t="shared" si="536"/>
        <v>1</v>
      </c>
      <c r="V1976" s="49">
        <f t="shared" si="536"/>
        <v>0</v>
      </c>
      <c r="W1976" s="49">
        <f t="shared" si="536"/>
        <v>0</v>
      </c>
      <c r="X1976" s="49">
        <f t="shared" si="536"/>
        <v>0</v>
      </c>
      <c r="Y1976" s="49">
        <f t="shared" si="536"/>
        <v>0</v>
      </c>
      <c r="Z1976" s="49">
        <f t="shared" si="536"/>
        <v>0</v>
      </c>
      <c r="AA1976" s="49">
        <f t="shared" si="536"/>
        <v>0</v>
      </c>
      <c r="AB1976" s="49">
        <f t="shared" si="536"/>
        <v>0</v>
      </c>
      <c r="AC1976" s="49">
        <f t="shared" si="536"/>
        <v>0</v>
      </c>
      <c r="AD1976" s="53" t="e">
        <f>#REF!*D1976</f>
        <v>#REF!</v>
      </c>
      <c r="AE1976" s="53" t="e">
        <f>AD1976-#REF!</f>
        <v>#REF!</v>
      </c>
      <c r="AF1976" s="8"/>
      <c r="AG1976" s="33" t="e">
        <f>#REF!-D1976</f>
        <v>#REF!</v>
      </c>
      <c r="AH1976" s="8"/>
      <c r="AI1976" s="8"/>
    </row>
    <row r="1977" spans="1:35" s="17" customFormat="1" ht="10.199999999999999" outlineLevel="1" x14ac:dyDescent="0.2">
      <c r="A1977" s="61" t="s">
        <v>2073</v>
      </c>
      <c r="B1977" s="11" t="s">
        <v>2097</v>
      </c>
      <c r="C1977" s="8" t="s">
        <v>47</v>
      </c>
      <c r="D1977" s="25">
        <f t="shared" si="534"/>
        <v>28</v>
      </c>
      <c r="E1977" s="54"/>
      <c r="F1977" s="9"/>
      <c r="G1977" s="49">
        <f t="shared" ref="G1977:AC1977" si="537">G1974/5</f>
        <v>28</v>
      </c>
      <c r="H1977" s="49">
        <f t="shared" si="537"/>
        <v>0</v>
      </c>
      <c r="I1977" s="49">
        <f t="shared" si="537"/>
        <v>0</v>
      </c>
      <c r="J1977" s="49">
        <f t="shared" si="537"/>
        <v>0</v>
      </c>
      <c r="K1977" s="49">
        <f t="shared" si="537"/>
        <v>0</v>
      </c>
      <c r="L1977" s="49">
        <f t="shared" si="537"/>
        <v>0</v>
      </c>
      <c r="M1977" s="49">
        <f t="shared" si="537"/>
        <v>0</v>
      </c>
      <c r="N1977" s="49">
        <f t="shared" si="537"/>
        <v>0</v>
      </c>
      <c r="O1977" s="49">
        <f t="shared" si="537"/>
        <v>0</v>
      </c>
      <c r="P1977" s="49">
        <f t="shared" si="537"/>
        <v>0</v>
      </c>
      <c r="Q1977" s="49">
        <f t="shared" si="537"/>
        <v>0</v>
      </c>
      <c r="R1977" s="49">
        <f t="shared" si="537"/>
        <v>0</v>
      </c>
      <c r="S1977" s="49">
        <f t="shared" si="537"/>
        <v>0</v>
      </c>
      <c r="T1977" s="49">
        <f t="shared" si="537"/>
        <v>0</v>
      </c>
      <c r="U1977" s="49">
        <f t="shared" si="537"/>
        <v>0</v>
      </c>
      <c r="V1977" s="49">
        <f t="shared" si="537"/>
        <v>0</v>
      </c>
      <c r="W1977" s="49">
        <f t="shared" si="537"/>
        <v>0</v>
      </c>
      <c r="X1977" s="49">
        <f t="shared" si="537"/>
        <v>0</v>
      </c>
      <c r="Y1977" s="49">
        <f t="shared" si="537"/>
        <v>0</v>
      </c>
      <c r="Z1977" s="49">
        <f t="shared" si="537"/>
        <v>0</v>
      </c>
      <c r="AA1977" s="49">
        <f t="shared" si="537"/>
        <v>0</v>
      </c>
      <c r="AB1977" s="49">
        <f t="shared" si="537"/>
        <v>0</v>
      </c>
      <c r="AC1977" s="49">
        <f t="shared" si="537"/>
        <v>0</v>
      </c>
      <c r="AD1977" s="53" t="e">
        <f>#REF!*D1977</f>
        <v>#REF!</v>
      </c>
      <c r="AE1977" s="53" t="e">
        <f>AD1977-#REF!</f>
        <v>#REF!</v>
      </c>
      <c r="AF1977" s="8"/>
      <c r="AG1977" s="33" t="e">
        <f>#REF!-D1977</f>
        <v>#REF!</v>
      </c>
      <c r="AH1977" s="8"/>
      <c r="AI1977" s="8"/>
    </row>
    <row r="1978" spans="1:35" s="17" customFormat="1" ht="11.25" customHeight="1" outlineLevel="1" x14ac:dyDescent="0.2">
      <c r="A1978" s="61" t="s">
        <v>2074</v>
      </c>
      <c r="B1978" s="11" t="s">
        <v>2098</v>
      </c>
      <c r="C1978" s="8" t="s">
        <v>47</v>
      </c>
      <c r="D1978" s="25">
        <f t="shared" si="534"/>
        <v>14</v>
      </c>
      <c r="E1978" s="54"/>
      <c r="F1978" s="9"/>
      <c r="G1978" s="9">
        <v>0</v>
      </c>
      <c r="H1978" s="9">
        <v>10</v>
      </c>
      <c r="I1978" s="9">
        <v>0</v>
      </c>
      <c r="J1978" s="9">
        <v>0</v>
      </c>
      <c r="K1978" s="9">
        <v>0</v>
      </c>
      <c r="L1978" s="9">
        <v>0</v>
      </c>
      <c r="M1978" s="9">
        <v>0</v>
      </c>
      <c r="N1978" s="9">
        <v>0</v>
      </c>
      <c r="O1978" s="9">
        <v>0</v>
      </c>
      <c r="P1978" s="9">
        <v>0</v>
      </c>
      <c r="Q1978" s="9">
        <v>0</v>
      </c>
      <c r="R1978" s="9">
        <v>2</v>
      </c>
      <c r="S1978" s="9">
        <v>0</v>
      </c>
      <c r="T1978" s="9">
        <v>0</v>
      </c>
      <c r="U1978" s="9">
        <v>0</v>
      </c>
      <c r="V1978" s="9">
        <v>2</v>
      </c>
      <c r="W1978" s="9">
        <v>0</v>
      </c>
      <c r="X1978" s="9">
        <v>0</v>
      </c>
      <c r="Y1978" s="9">
        <v>0</v>
      </c>
      <c r="Z1978" s="9">
        <v>0</v>
      </c>
      <c r="AA1978" s="9">
        <v>0</v>
      </c>
      <c r="AB1978" s="9">
        <v>0</v>
      </c>
      <c r="AC1978" s="9">
        <v>0</v>
      </c>
      <c r="AD1978" s="53" t="e">
        <f>#REF!*D1978</f>
        <v>#REF!</v>
      </c>
      <c r="AE1978" s="53" t="e">
        <f>AD1978-#REF!</f>
        <v>#REF!</v>
      </c>
      <c r="AF1978" s="8"/>
      <c r="AG1978" s="33" t="e">
        <f>#REF!-D1978</f>
        <v>#REF!</v>
      </c>
      <c r="AH1978" s="8"/>
      <c r="AI1978" s="8"/>
    </row>
    <row r="1979" spans="1:35" s="17" customFormat="1" ht="11.4" outlineLevel="1" x14ac:dyDescent="0.2">
      <c r="A1979" s="61" t="s">
        <v>2075</v>
      </c>
      <c r="B1979" s="11" t="s">
        <v>2099</v>
      </c>
      <c r="C1979" s="8" t="s">
        <v>47</v>
      </c>
      <c r="D1979" s="25">
        <f t="shared" si="534"/>
        <v>50</v>
      </c>
      <c r="E1979" s="54"/>
      <c r="F1979" s="9"/>
      <c r="G1979" s="9">
        <v>0</v>
      </c>
      <c r="H1979" s="9">
        <v>40</v>
      </c>
      <c r="I1979" s="9">
        <v>0</v>
      </c>
      <c r="J1979" s="9">
        <v>0</v>
      </c>
      <c r="K1979" s="9">
        <v>0</v>
      </c>
      <c r="L1979" s="9">
        <v>0</v>
      </c>
      <c r="M1979" s="9">
        <v>0</v>
      </c>
      <c r="N1979" s="9">
        <v>0</v>
      </c>
      <c r="O1979" s="9">
        <v>0</v>
      </c>
      <c r="P1979" s="9">
        <v>0</v>
      </c>
      <c r="Q1979" s="9">
        <v>0</v>
      </c>
      <c r="R1979" s="9">
        <v>0</v>
      </c>
      <c r="S1979" s="9">
        <v>0</v>
      </c>
      <c r="T1979" s="9">
        <v>4</v>
      </c>
      <c r="U1979" s="9">
        <v>0</v>
      </c>
      <c r="V1979" s="9">
        <v>6</v>
      </c>
      <c r="W1979" s="9">
        <v>0</v>
      </c>
      <c r="X1979" s="9">
        <v>0</v>
      </c>
      <c r="Y1979" s="9">
        <v>0</v>
      </c>
      <c r="Z1979" s="9">
        <v>0</v>
      </c>
      <c r="AA1979" s="9">
        <v>0</v>
      </c>
      <c r="AB1979" s="9">
        <v>0</v>
      </c>
      <c r="AC1979" s="9">
        <v>0</v>
      </c>
      <c r="AD1979" s="53" t="e">
        <f>#REF!*D1979</f>
        <v>#REF!</v>
      </c>
      <c r="AE1979" s="53" t="e">
        <f>AD1979-#REF!</f>
        <v>#REF!</v>
      </c>
      <c r="AF1979" s="8"/>
      <c r="AG1979" s="33" t="e">
        <f>#REF!-D1979</f>
        <v>#REF!</v>
      </c>
      <c r="AH1979" s="8"/>
      <c r="AI1979" s="8"/>
    </row>
    <row r="1980" spans="1:35" s="12" customFormat="1" ht="11.4" outlineLevel="1" x14ac:dyDescent="0.2">
      <c r="A1980" s="61" t="s">
        <v>2076</v>
      </c>
      <c r="B1980" s="11" t="s">
        <v>2100</v>
      </c>
      <c r="C1980" s="8" t="s">
        <v>47</v>
      </c>
      <c r="D1980" s="25">
        <f t="shared" si="534"/>
        <v>10</v>
      </c>
      <c r="E1980" s="54"/>
      <c r="F1980" s="9"/>
      <c r="G1980" s="9">
        <v>0</v>
      </c>
      <c r="H1980" s="9">
        <v>4</v>
      </c>
      <c r="I1980" s="9">
        <v>0</v>
      </c>
      <c r="J1980" s="9">
        <v>0</v>
      </c>
      <c r="K1980" s="9">
        <v>0</v>
      </c>
      <c r="L1980" s="9">
        <v>0</v>
      </c>
      <c r="M1980" s="9">
        <v>0</v>
      </c>
      <c r="N1980" s="9">
        <v>0</v>
      </c>
      <c r="O1980" s="9">
        <v>0</v>
      </c>
      <c r="P1980" s="9">
        <v>0</v>
      </c>
      <c r="Q1980" s="9">
        <v>0</v>
      </c>
      <c r="R1980" s="9">
        <v>5</v>
      </c>
      <c r="S1980" s="9">
        <v>0</v>
      </c>
      <c r="T1980" s="9">
        <v>0</v>
      </c>
      <c r="U1980" s="9">
        <v>1</v>
      </c>
      <c r="V1980" s="9">
        <v>0</v>
      </c>
      <c r="W1980" s="9">
        <v>0</v>
      </c>
      <c r="X1980" s="9">
        <v>0</v>
      </c>
      <c r="Y1980" s="9">
        <v>0</v>
      </c>
      <c r="Z1980" s="9">
        <v>0</v>
      </c>
      <c r="AA1980" s="9">
        <v>0</v>
      </c>
      <c r="AB1980" s="9">
        <v>0</v>
      </c>
      <c r="AC1980" s="9">
        <v>0</v>
      </c>
      <c r="AD1980" s="53" t="e">
        <f>#REF!*D1980</f>
        <v>#REF!</v>
      </c>
      <c r="AE1980" s="53" t="e">
        <f>AD1980-#REF!</f>
        <v>#REF!</v>
      </c>
      <c r="AF1980" s="8"/>
      <c r="AG1980" s="33" t="e">
        <f>#REF!-D1980</f>
        <v>#REF!</v>
      </c>
      <c r="AH1980" s="8"/>
      <c r="AI1980" s="8"/>
    </row>
    <row r="1981" spans="1:35" s="12" customFormat="1" ht="11.4" outlineLevel="1" x14ac:dyDescent="0.2">
      <c r="A1981" s="61" t="s">
        <v>2077</v>
      </c>
      <c r="B1981" s="11" t="s">
        <v>2105</v>
      </c>
      <c r="C1981" s="8" t="s">
        <v>47</v>
      </c>
      <c r="D1981" s="25">
        <f t="shared" si="534"/>
        <v>9</v>
      </c>
      <c r="E1981" s="54"/>
      <c r="F1981" s="9"/>
      <c r="G1981" s="9">
        <v>9</v>
      </c>
      <c r="H1981" s="9">
        <v>0</v>
      </c>
      <c r="I1981" s="9">
        <v>0</v>
      </c>
      <c r="J1981" s="9">
        <v>0</v>
      </c>
      <c r="K1981" s="9">
        <v>0</v>
      </c>
      <c r="L1981" s="9">
        <v>0</v>
      </c>
      <c r="M1981" s="9">
        <v>0</v>
      </c>
      <c r="N1981" s="9">
        <v>0</v>
      </c>
      <c r="O1981" s="9">
        <v>0</v>
      </c>
      <c r="P1981" s="9">
        <v>0</v>
      </c>
      <c r="Q1981" s="9">
        <v>0</v>
      </c>
      <c r="R1981" s="9">
        <v>0</v>
      </c>
      <c r="S1981" s="9">
        <v>0</v>
      </c>
      <c r="T1981" s="9">
        <v>0</v>
      </c>
      <c r="U1981" s="9">
        <v>0</v>
      </c>
      <c r="V1981" s="9">
        <v>0</v>
      </c>
      <c r="W1981" s="9">
        <v>0</v>
      </c>
      <c r="X1981" s="9">
        <v>0</v>
      </c>
      <c r="Y1981" s="9">
        <v>0</v>
      </c>
      <c r="Z1981" s="9">
        <v>0</v>
      </c>
      <c r="AA1981" s="9">
        <v>0</v>
      </c>
      <c r="AB1981" s="9">
        <v>0</v>
      </c>
      <c r="AC1981" s="9">
        <v>0</v>
      </c>
      <c r="AD1981" s="53" t="e">
        <f>#REF!*D1981</f>
        <v>#REF!</v>
      </c>
      <c r="AE1981" s="53" t="e">
        <f>AD1981-#REF!</f>
        <v>#REF!</v>
      </c>
      <c r="AF1981" s="8"/>
      <c r="AG1981" s="33" t="e">
        <f>#REF!-D1981</f>
        <v>#REF!</v>
      </c>
      <c r="AH1981" s="8"/>
      <c r="AI1981" s="8"/>
    </row>
    <row r="1982" spans="1:35" s="12" customFormat="1" ht="11.4" outlineLevel="1" x14ac:dyDescent="0.2">
      <c r="A1982" s="61" t="s">
        <v>2078</v>
      </c>
      <c r="B1982" s="11" t="s">
        <v>2101</v>
      </c>
      <c r="C1982" s="8" t="s">
        <v>47</v>
      </c>
      <c r="D1982" s="25">
        <f t="shared" si="534"/>
        <v>2</v>
      </c>
      <c r="E1982" s="54"/>
      <c r="F1982" s="9"/>
      <c r="G1982" s="9">
        <v>0</v>
      </c>
      <c r="H1982" s="9">
        <v>1</v>
      </c>
      <c r="I1982" s="9">
        <v>0</v>
      </c>
      <c r="J1982" s="9">
        <v>0</v>
      </c>
      <c r="K1982" s="9">
        <v>0</v>
      </c>
      <c r="L1982" s="9">
        <v>0</v>
      </c>
      <c r="M1982" s="9">
        <v>0</v>
      </c>
      <c r="N1982" s="9">
        <v>0</v>
      </c>
      <c r="O1982" s="9">
        <v>0</v>
      </c>
      <c r="P1982" s="9">
        <v>0</v>
      </c>
      <c r="Q1982" s="9">
        <v>0</v>
      </c>
      <c r="R1982" s="9">
        <v>0</v>
      </c>
      <c r="S1982" s="9">
        <v>0</v>
      </c>
      <c r="T1982" s="9">
        <v>0</v>
      </c>
      <c r="U1982" s="9">
        <v>0</v>
      </c>
      <c r="V1982" s="9">
        <v>1</v>
      </c>
      <c r="W1982" s="9">
        <v>0</v>
      </c>
      <c r="X1982" s="9">
        <v>0</v>
      </c>
      <c r="Y1982" s="9">
        <v>0</v>
      </c>
      <c r="Z1982" s="9">
        <v>0</v>
      </c>
      <c r="AA1982" s="9">
        <v>0</v>
      </c>
      <c r="AB1982" s="9">
        <v>0</v>
      </c>
      <c r="AC1982" s="9">
        <v>0</v>
      </c>
      <c r="AD1982" s="53" t="e">
        <f>#REF!*D1982</f>
        <v>#REF!</v>
      </c>
      <c r="AE1982" s="53" t="e">
        <f>AD1982-#REF!</f>
        <v>#REF!</v>
      </c>
      <c r="AF1982" s="9"/>
      <c r="AG1982" s="33" t="e">
        <f>#REF!-D1982</f>
        <v>#REF!</v>
      </c>
      <c r="AH1982" s="9"/>
      <c r="AI1982" s="9"/>
    </row>
    <row r="1983" spans="1:35" s="12" customFormat="1" ht="11.4" outlineLevel="1" x14ac:dyDescent="0.2">
      <c r="A1983" s="61" t="s">
        <v>2079</v>
      </c>
      <c r="B1983" s="11" t="s">
        <v>2106</v>
      </c>
      <c r="C1983" s="8" t="s">
        <v>47</v>
      </c>
      <c r="D1983" s="25">
        <f t="shared" si="534"/>
        <v>2</v>
      </c>
      <c r="E1983" s="54"/>
      <c r="F1983" s="9"/>
      <c r="G1983" s="9">
        <v>0</v>
      </c>
      <c r="H1983" s="9">
        <v>1</v>
      </c>
      <c r="I1983" s="9">
        <v>0</v>
      </c>
      <c r="J1983" s="9">
        <v>0</v>
      </c>
      <c r="K1983" s="9">
        <v>0</v>
      </c>
      <c r="L1983" s="9">
        <v>0</v>
      </c>
      <c r="M1983" s="9">
        <v>0</v>
      </c>
      <c r="N1983" s="9">
        <v>0</v>
      </c>
      <c r="O1983" s="9">
        <v>0</v>
      </c>
      <c r="P1983" s="9">
        <v>0</v>
      </c>
      <c r="Q1983" s="9">
        <v>0</v>
      </c>
      <c r="R1983" s="9">
        <v>1</v>
      </c>
      <c r="S1983" s="9">
        <v>0</v>
      </c>
      <c r="T1983" s="9">
        <v>0</v>
      </c>
      <c r="U1983" s="9">
        <v>0</v>
      </c>
      <c r="V1983" s="9">
        <v>0</v>
      </c>
      <c r="W1983" s="9">
        <v>0</v>
      </c>
      <c r="X1983" s="9">
        <v>0</v>
      </c>
      <c r="Y1983" s="9">
        <v>0</v>
      </c>
      <c r="Z1983" s="9">
        <v>0</v>
      </c>
      <c r="AA1983" s="9">
        <v>0</v>
      </c>
      <c r="AB1983" s="9">
        <v>0</v>
      </c>
      <c r="AC1983" s="9">
        <v>0</v>
      </c>
      <c r="AD1983" s="53" t="e">
        <f>#REF!*D1983</f>
        <v>#REF!</v>
      </c>
      <c r="AE1983" s="53" t="e">
        <f>AD1983-#REF!</f>
        <v>#REF!</v>
      </c>
      <c r="AF1983" s="9"/>
      <c r="AG1983" s="33" t="e">
        <f>#REF!-D1983</f>
        <v>#REF!</v>
      </c>
      <c r="AH1983" s="9"/>
      <c r="AI1983" s="9"/>
    </row>
    <row r="1984" spans="1:35" s="17" customFormat="1" ht="10.199999999999999" outlineLevel="1" x14ac:dyDescent="0.2">
      <c r="A1984" s="61" t="s">
        <v>2080</v>
      </c>
      <c r="B1984" s="11" t="s">
        <v>2102</v>
      </c>
      <c r="C1984" s="8" t="s">
        <v>47</v>
      </c>
      <c r="D1984" s="25">
        <f t="shared" si="534"/>
        <v>1</v>
      </c>
      <c r="E1984" s="54"/>
      <c r="F1984" s="9"/>
      <c r="G1984" s="9">
        <v>0</v>
      </c>
      <c r="H1984" s="9">
        <v>1</v>
      </c>
      <c r="I1984" s="9">
        <v>0</v>
      </c>
      <c r="J1984" s="9">
        <v>0</v>
      </c>
      <c r="K1984" s="9">
        <v>0</v>
      </c>
      <c r="L1984" s="9">
        <v>0</v>
      </c>
      <c r="M1984" s="9">
        <v>0</v>
      </c>
      <c r="N1984" s="9">
        <v>0</v>
      </c>
      <c r="O1984" s="9">
        <v>0</v>
      </c>
      <c r="P1984" s="9">
        <v>0</v>
      </c>
      <c r="Q1984" s="9">
        <v>0</v>
      </c>
      <c r="R1984" s="9">
        <v>0</v>
      </c>
      <c r="S1984" s="9">
        <v>0</v>
      </c>
      <c r="T1984" s="9">
        <v>0</v>
      </c>
      <c r="U1984" s="9">
        <v>0</v>
      </c>
      <c r="V1984" s="9">
        <v>0</v>
      </c>
      <c r="W1984" s="9">
        <v>0</v>
      </c>
      <c r="X1984" s="9">
        <v>0</v>
      </c>
      <c r="Y1984" s="9">
        <v>0</v>
      </c>
      <c r="Z1984" s="9">
        <v>0</v>
      </c>
      <c r="AA1984" s="9">
        <v>0</v>
      </c>
      <c r="AB1984" s="9">
        <v>0</v>
      </c>
      <c r="AC1984" s="9">
        <v>0</v>
      </c>
      <c r="AD1984" s="53" t="e">
        <f>#REF!*D1984</f>
        <v>#REF!</v>
      </c>
      <c r="AE1984" s="53" t="e">
        <f>AD1984-#REF!</f>
        <v>#REF!</v>
      </c>
      <c r="AF1984" s="8"/>
      <c r="AG1984" s="33" t="e">
        <f>#REF!-D1984</f>
        <v>#REF!</v>
      </c>
      <c r="AH1984" s="8"/>
      <c r="AI1984" s="8"/>
    </row>
    <row r="1985" spans="1:35" s="17" customFormat="1" ht="10.199999999999999" outlineLevel="1" x14ac:dyDescent="0.2">
      <c r="A1985" s="61" t="s">
        <v>2081</v>
      </c>
      <c r="B1985" s="11" t="s">
        <v>2103</v>
      </c>
      <c r="C1985" s="8" t="s">
        <v>47</v>
      </c>
      <c r="D1985" s="25">
        <f t="shared" si="534"/>
        <v>11</v>
      </c>
      <c r="E1985" s="54"/>
      <c r="F1985" s="9"/>
      <c r="G1985" s="9">
        <v>0</v>
      </c>
      <c r="H1985" s="9">
        <v>10</v>
      </c>
      <c r="I1985" s="9">
        <v>0</v>
      </c>
      <c r="J1985" s="9">
        <v>0</v>
      </c>
      <c r="K1985" s="9">
        <v>0</v>
      </c>
      <c r="L1985" s="9">
        <v>0</v>
      </c>
      <c r="M1985" s="9">
        <v>0</v>
      </c>
      <c r="N1985" s="9">
        <v>0</v>
      </c>
      <c r="O1985" s="9">
        <v>0</v>
      </c>
      <c r="P1985" s="9">
        <v>0</v>
      </c>
      <c r="Q1985" s="9">
        <v>0</v>
      </c>
      <c r="R1985" s="9">
        <v>0</v>
      </c>
      <c r="S1985" s="9">
        <v>0</v>
      </c>
      <c r="T1985" s="9">
        <v>0</v>
      </c>
      <c r="U1985" s="9">
        <v>0</v>
      </c>
      <c r="V1985" s="9">
        <v>1</v>
      </c>
      <c r="W1985" s="9">
        <v>0</v>
      </c>
      <c r="X1985" s="9">
        <v>0</v>
      </c>
      <c r="Y1985" s="9">
        <v>0</v>
      </c>
      <c r="Z1985" s="9">
        <v>0</v>
      </c>
      <c r="AA1985" s="9">
        <v>0</v>
      </c>
      <c r="AB1985" s="9">
        <v>0</v>
      </c>
      <c r="AC1985" s="9">
        <v>0</v>
      </c>
      <c r="AD1985" s="53" t="e">
        <f>#REF!*D1985</f>
        <v>#REF!</v>
      </c>
      <c r="AE1985" s="53" t="e">
        <f>AD1985-#REF!</f>
        <v>#REF!</v>
      </c>
      <c r="AF1985" s="8"/>
      <c r="AG1985" s="33" t="e">
        <f>#REF!-D1985</f>
        <v>#REF!</v>
      </c>
      <c r="AH1985" s="8"/>
      <c r="AI1985" s="8"/>
    </row>
    <row r="1986" spans="1:35" s="17" customFormat="1" ht="10.199999999999999" outlineLevel="1" x14ac:dyDescent="0.2">
      <c r="A1986" s="61" t="s">
        <v>2082</v>
      </c>
      <c r="B1986" s="11" t="s">
        <v>2104</v>
      </c>
      <c r="C1986" s="8" t="s">
        <v>47</v>
      </c>
      <c r="D1986" s="25">
        <f t="shared" si="534"/>
        <v>24</v>
      </c>
      <c r="E1986" s="54"/>
      <c r="F1986" s="9"/>
      <c r="G1986" s="9">
        <v>0</v>
      </c>
      <c r="H1986" s="9">
        <v>22</v>
      </c>
      <c r="I1986" s="9">
        <v>0</v>
      </c>
      <c r="J1986" s="9">
        <v>0</v>
      </c>
      <c r="K1986" s="9">
        <v>0</v>
      </c>
      <c r="L1986" s="9">
        <v>0</v>
      </c>
      <c r="M1986" s="9">
        <v>0</v>
      </c>
      <c r="N1986" s="9">
        <v>0</v>
      </c>
      <c r="O1986" s="9">
        <v>0</v>
      </c>
      <c r="P1986" s="9">
        <v>0</v>
      </c>
      <c r="Q1986" s="9">
        <v>0</v>
      </c>
      <c r="R1986" s="9">
        <v>0</v>
      </c>
      <c r="S1986" s="9">
        <v>0</v>
      </c>
      <c r="T1986" s="9">
        <v>0</v>
      </c>
      <c r="U1986" s="9">
        <v>0</v>
      </c>
      <c r="V1986" s="9">
        <v>2</v>
      </c>
      <c r="W1986" s="9">
        <v>0</v>
      </c>
      <c r="X1986" s="9">
        <v>0</v>
      </c>
      <c r="Y1986" s="9">
        <v>0</v>
      </c>
      <c r="Z1986" s="9">
        <v>0</v>
      </c>
      <c r="AA1986" s="9">
        <v>0</v>
      </c>
      <c r="AB1986" s="9">
        <v>0</v>
      </c>
      <c r="AC1986" s="9">
        <v>0</v>
      </c>
      <c r="AD1986" s="53" t="e">
        <f>#REF!*D1986</f>
        <v>#REF!</v>
      </c>
      <c r="AE1986" s="53" t="e">
        <f>AD1986-#REF!</f>
        <v>#REF!</v>
      </c>
      <c r="AF1986" s="8"/>
      <c r="AG1986" s="33" t="e">
        <f>#REF!-D1986</f>
        <v>#REF!</v>
      </c>
      <c r="AH1986" s="8"/>
      <c r="AI1986" s="8"/>
    </row>
    <row r="1987" spans="1:35" s="17" customFormat="1" ht="20.399999999999999" outlineLevel="1" x14ac:dyDescent="0.2">
      <c r="A1987" s="61" t="s">
        <v>2083</v>
      </c>
      <c r="B1987" s="80" t="s">
        <v>2116</v>
      </c>
      <c r="C1987" s="8" t="s">
        <v>47</v>
      </c>
      <c r="D1987" s="25">
        <f t="shared" si="534"/>
        <v>3</v>
      </c>
      <c r="E1987" s="54"/>
      <c r="F1987" s="9"/>
      <c r="G1987" s="9">
        <v>0</v>
      </c>
      <c r="H1987" s="9">
        <v>3</v>
      </c>
      <c r="I1987" s="9">
        <v>0</v>
      </c>
      <c r="J1987" s="9">
        <v>0</v>
      </c>
      <c r="K1987" s="9">
        <v>0</v>
      </c>
      <c r="L1987" s="9">
        <v>0</v>
      </c>
      <c r="M1987" s="9">
        <v>0</v>
      </c>
      <c r="N1987" s="9">
        <v>0</v>
      </c>
      <c r="O1987" s="9">
        <v>0</v>
      </c>
      <c r="P1987" s="9">
        <v>0</v>
      </c>
      <c r="Q1987" s="9">
        <v>0</v>
      </c>
      <c r="R1987" s="9">
        <v>0</v>
      </c>
      <c r="S1987" s="9">
        <v>0</v>
      </c>
      <c r="T1987" s="9">
        <v>0</v>
      </c>
      <c r="U1987" s="9">
        <v>0</v>
      </c>
      <c r="V1987" s="9">
        <v>0</v>
      </c>
      <c r="W1987" s="9">
        <v>0</v>
      </c>
      <c r="X1987" s="9">
        <v>0</v>
      </c>
      <c r="Y1987" s="9">
        <v>0</v>
      </c>
      <c r="Z1987" s="9">
        <v>0</v>
      </c>
      <c r="AA1987" s="9">
        <v>0</v>
      </c>
      <c r="AB1987" s="9">
        <v>0</v>
      </c>
      <c r="AC1987" s="9">
        <v>0</v>
      </c>
      <c r="AD1987" s="53" t="e">
        <f>#REF!*D1987</f>
        <v>#REF!</v>
      </c>
      <c r="AE1987" s="53" t="e">
        <f>AD1987-#REF!</f>
        <v>#REF!</v>
      </c>
      <c r="AF1987" s="8"/>
      <c r="AG1987" s="33" t="e">
        <f>#REF!-D1987</f>
        <v>#REF!</v>
      </c>
      <c r="AH1987" s="8"/>
      <c r="AI1987" s="8"/>
    </row>
    <row r="1988" spans="1:35" s="17" customFormat="1" ht="20.399999999999999" outlineLevel="1" x14ac:dyDescent="0.2">
      <c r="A1988" s="61" t="s">
        <v>2084</v>
      </c>
      <c r="B1988" s="80" t="s">
        <v>1974</v>
      </c>
      <c r="C1988" s="8" t="s">
        <v>47</v>
      </c>
      <c r="D1988" s="25">
        <f t="shared" si="534"/>
        <v>14</v>
      </c>
      <c r="E1988" s="54"/>
      <c r="F1988" s="9"/>
      <c r="G1988" s="9">
        <v>0</v>
      </c>
      <c r="H1988" s="9">
        <v>11</v>
      </c>
      <c r="I1988" s="9">
        <v>0</v>
      </c>
      <c r="J1988" s="9">
        <v>0</v>
      </c>
      <c r="K1988" s="9">
        <v>0</v>
      </c>
      <c r="L1988" s="9">
        <v>0</v>
      </c>
      <c r="M1988" s="9">
        <v>1</v>
      </c>
      <c r="N1988" s="9">
        <v>0</v>
      </c>
      <c r="O1988" s="9">
        <v>0</v>
      </c>
      <c r="P1988" s="9">
        <v>0</v>
      </c>
      <c r="Q1988" s="9">
        <v>0</v>
      </c>
      <c r="R1988" s="9">
        <v>0</v>
      </c>
      <c r="S1988" s="9">
        <v>0</v>
      </c>
      <c r="T1988" s="9">
        <v>1</v>
      </c>
      <c r="U1988" s="9">
        <v>0</v>
      </c>
      <c r="V1988" s="9">
        <v>1</v>
      </c>
      <c r="W1988" s="9">
        <v>0</v>
      </c>
      <c r="X1988" s="9">
        <v>0</v>
      </c>
      <c r="Y1988" s="9">
        <v>0</v>
      </c>
      <c r="Z1988" s="9">
        <v>0</v>
      </c>
      <c r="AA1988" s="9">
        <v>0</v>
      </c>
      <c r="AB1988" s="9">
        <v>0</v>
      </c>
      <c r="AC1988" s="9">
        <v>0</v>
      </c>
      <c r="AD1988" s="53" t="e">
        <f>#REF!*D1988</f>
        <v>#REF!</v>
      </c>
      <c r="AE1988" s="53" t="e">
        <f>AD1988-#REF!</f>
        <v>#REF!</v>
      </c>
      <c r="AF1988" s="8"/>
      <c r="AG1988" s="33" t="e">
        <f>#REF!-D1988</f>
        <v>#REF!</v>
      </c>
      <c r="AH1988" s="8"/>
      <c r="AI1988" s="8"/>
    </row>
    <row r="1989" spans="1:35" s="17" customFormat="1" ht="21.6" outlineLevel="1" x14ac:dyDescent="0.2">
      <c r="A1989" s="61" t="s">
        <v>2085</v>
      </c>
      <c r="B1989" s="80" t="s">
        <v>2107</v>
      </c>
      <c r="C1989" s="8" t="s">
        <v>47</v>
      </c>
      <c r="D1989" s="25">
        <f t="shared" si="534"/>
        <v>12</v>
      </c>
      <c r="E1989" s="54"/>
      <c r="F1989" s="9"/>
      <c r="G1989" s="9">
        <v>0</v>
      </c>
      <c r="H1989" s="49">
        <f>H1978</f>
        <v>10</v>
      </c>
      <c r="I1989" s="9">
        <v>0</v>
      </c>
      <c r="J1989" s="9">
        <v>0</v>
      </c>
      <c r="K1989" s="9">
        <v>0</v>
      </c>
      <c r="L1989" s="9">
        <v>0</v>
      </c>
      <c r="M1989" s="9">
        <v>0</v>
      </c>
      <c r="N1989" s="9">
        <v>0</v>
      </c>
      <c r="O1989" s="9">
        <v>0</v>
      </c>
      <c r="P1989" s="9">
        <v>0</v>
      </c>
      <c r="Q1989" s="9">
        <v>0</v>
      </c>
      <c r="R1989" s="9">
        <v>0</v>
      </c>
      <c r="S1989" s="9">
        <v>0</v>
      </c>
      <c r="T1989" s="9">
        <v>0</v>
      </c>
      <c r="U1989" s="49">
        <f>U1978</f>
        <v>0</v>
      </c>
      <c r="V1989" s="9">
        <v>2</v>
      </c>
      <c r="W1989" s="9">
        <v>0</v>
      </c>
      <c r="X1989" s="9">
        <v>0</v>
      </c>
      <c r="Y1989" s="9">
        <v>0</v>
      </c>
      <c r="Z1989" s="9">
        <v>0</v>
      </c>
      <c r="AA1989" s="9">
        <v>0</v>
      </c>
      <c r="AB1989" s="9">
        <v>0</v>
      </c>
      <c r="AC1989" s="9">
        <v>0</v>
      </c>
      <c r="AD1989" s="53" t="e">
        <f>#REF!*D1989</f>
        <v>#REF!</v>
      </c>
      <c r="AE1989" s="53" t="e">
        <f>AD1989-#REF!</f>
        <v>#REF!</v>
      </c>
      <c r="AF1989" s="8"/>
      <c r="AG1989" s="33" t="e">
        <f>#REF!-D1989</f>
        <v>#REF!</v>
      </c>
      <c r="AH1989" s="8"/>
      <c r="AI1989" s="8"/>
    </row>
    <row r="1990" spans="1:35" s="17" customFormat="1" ht="12" customHeight="1" outlineLevel="1" x14ac:dyDescent="0.2">
      <c r="A1990" s="61" t="s">
        <v>2086</v>
      </c>
      <c r="B1990" s="11" t="s">
        <v>2108</v>
      </c>
      <c r="C1990" s="8" t="s">
        <v>47</v>
      </c>
      <c r="D1990" s="25">
        <f t="shared" si="534"/>
        <v>11</v>
      </c>
      <c r="E1990" s="54"/>
      <c r="F1990" s="9"/>
      <c r="G1990" s="9">
        <v>0</v>
      </c>
      <c r="H1990" s="9">
        <f>H1989</f>
        <v>10</v>
      </c>
      <c r="I1990" s="9">
        <v>0</v>
      </c>
      <c r="J1990" s="9">
        <v>0</v>
      </c>
      <c r="K1990" s="9">
        <v>0</v>
      </c>
      <c r="L1990" s="9">
        <v>0</v>
      </c>
      <c r="M1990" s="9">
        <v>0</v>
      </c>
      <c r="N1990" s="9">
        <v>0</v>
      </c>
      <c r="O1990" s="9">
        <v>0</v>
      </c>
      <c r="P1990" s="9">
        <v>0</v>
      </c>
      <c r="Q1990" s="9">
        <v>0</v>
      </c>
      <c r="R1990" s="9">
        <v>0</v>
      </c>
      <c r="S1990" s="9">
        <v>0</v>
      </c>
      <c r="T1990" s="9">
        <v>0</v>
      </c>
      <c r="U1990" s="9">
        <f>U1989</f>
        <v>0</v>
      </c>
      <c r="V1990" s="9">
        <v>1</v>
      </c>
      <c r="W1990" s="9">
        <v>0</v>
      </c>
      <c r="X1990" s="9">
        <v>0</v>
      </c>
      <c r="Y1990" s="9">
        <v>0</v>
      </c>
      <c r="Z1990" s="9">
        <v>0</v>
      </c>
      <c r="AA1990" s="9">
        <v>0</v>
      </c>
      <c r="AB1990" s="9">
        <v>0</v>
      </c>
      <c r="AC1990" s="9">
        <v>0</v>
      </c>
      <c r="AD1990" s="53" t="e">
        <f>#REF!*D1990</f>
        <v>#REF!</v>
      </c>
      <c r="AE1990" s="53" t="e">
        <f>AD1990-#REF!</f>
        <v>#REF!</v>
      </c>
      <c r="AF1990" s="8"/>
      <c r="AG1990" s="33" t="e">
        <f>#REF!-D1990</f>
        <v>#REF!</v>
      </c>
      <c r="AH1990" s="8"/>
      <c r="AI1990" s="8"/>
    </row>
    <row r="1991" spans="1:35" s="17" customFormat="1" ht="12" customHeight="1" outlineLevel="1" x14ac:dyDescent="0.2">
      <c r="A1991" s="61" t="s">
        <v>2087</v>
      </c>
      <c r="B1991" s="11" t="s">
        <v>2109</v>
      </c>
      <c r="C1991" s="8" t="s">
        <v>47</v>
      </c>
      <c r="D1991" s="25">
        <f t="shared" si="534"/>
        <v>11</v>
      </c>
      <c r="E1991" s="54"/>
      <c r="F1991" s="9"/>
      <c r="G1991" s="9">
        <v>0</v>
      </c>
      <c r="H1991" s="9">
        <v>10</v>
      </c>
      <c r="I1991" s="9">
        <v>0</v>
      </c>
      <c r="J1991" s="9">
        <v>0</v>
      </c>
      <c r="K1991" s="9">
        <v>0</v>
      </c>
      <c r="L1991" s="9">
        <v>0</v>
      </c>
      <c r="M1991" s="9">
        <v>0</v>
      </c>
      <c r="N1991" s="9">
        <v>0</v>
      </c>
      <c r="O1991" s="9">
        <v>0</v>
      </c>
      <c r="P1991" s="9">
        <v>0</v>
      </c>
      <c r="Q1991" s="9">
        <v>0</v>
      </c>
      <c r="R1991" s="9">
        <v>0</v>
      </c>
      <c r="S1991" s="9">
        <v>0</v>
      </c>
      <c r="T1991" s="9">
        <v>0</v>
      </c>
      <c r="U1991" s="9">
        <v>0</v>
      </c>
      <c r="V1991" s="9">
        <v>1</v>
      </c>
      <c r="W1991" s="9">
        <v>0</v>
      </c>
      <c r="X1991" s="9">
        <v>0</v>
      </c>
      <c r="Y1991" s="9">
        <v>0</v>
      </c>
      <c r="Z1991" s="9">
        <v>0</v>
      </c>
      <c r="AA1991" s="9">
        <v>0</v>
      </c>
      <c r="AB1991" s="9">
        <v>0</v>
      </c>
      <c r="AC1991" s="9">
        <v>0</v>
      </c>
      <c r="AD1991" s="53" t="e">
        <f>#REF!*D1991</f>
        <v>#REF!</v>
      </c>
      <c r="AE1991" s="53" t="e">
        <f>AD1991-#REF!</f>
        <v>#REF!</v>
      </c>
      <c r="AF1991" s="8"/>
      <c r="AG1991" s="33" t="e">
        <f>#REF!-D1991</f>
        <v>#REF!</v>
      </c>
      <c r="AH1991" s="8"/>
      <c r="AI1991" s="8"/>
    </row>
    <row r="1992" spans="1:35" s="17" customFormat="1" ht="20.399999999999999" outlineLevel="1" x14ac:dyDescent="0.2">
      <c r="A1992" s="61" t="s">
        <v>2088</v>
      </c>
      <c r="B1992" s="80" t="s">
        <v>2797</v>
      </c>
      <c r="C1992" s="8" t="s">
        <v>47</v>
      </c>
      <c r="D1992" s="25">
        <f t="shared" si="534"/>
        <v>4</v>
      </c>
      <c r="E1992" s="54"/>
      <c r="F1992" s="9"/>
      <c r="G1992" s="9">
        <v>0</v>
      </c>
      <c r="H1992" s="9">
        <v>1</v>
      </c>
      <c r="I1992" s="9">
        <v>0</v>
      </c>
      <c r="J1992" s="9">
        <v>0</v>
      </c>
      <c r="K1992" s="9">
        <v>0</v>
      </c>
      <c r="L1992" s="9">
        <v>0</v>
      </c>
      <c r="M1992" s="9">
        <v>1</v>
      </c>
      <c r="N1992" s="9">
        <v>0</v>
      </c>
      <c r="O1992" s="9">
        <v>0</v>
      </c>
      <c r="P1992" s="9">
        <v>0</v>
      </c>
      <c r="Q1992" s="9">
        <v>0</v>
      </c>
      <c r="R1992" s="9">
        <v>0</v>
      </c>
      <c r="S1992" s="9">
        <v>0</v>
      </c>
      <c r="T1992" s="9">
        <v>1</v>
      </c>
      <c r="U1992" s="9">
        <v>0</v>
      </c>
      <c r="V1992" s="9">
        <v>1</v>
      </c>
      <c r="W1992" s="9">
        <v>0</v>
      </c>
      <c r="X1992" s="9">
        <v>0</v>
      </c>
      <c r="Y1992" s="9">
        <v>0</v>
      </c>
      <c r="Z1992" s="9">
        <v>0</v>
      </c>
      <c r="AA1992" s="9">
        <v>0</v>
      </c>
      <c r="AB1992" s="9">
        <v>0</v>
      </c>
      <c r="AC1992" s="9">
        <v>0</v>
      </c>
      <c r="AD1992" s="53" t="e">
        <f>#REF!*D1992</f>
        <v>#REF!</v>
      </c>
      <c r="AE1992" s="53" t="e">
        <f>AD1992-#REF!</f>
        <v>#REF!</v>
      </c>
      <c r="AF1992" s="8"/>
      <c r="AG1992" s="33" t="e">
        <f>#REF!-D1992</f>
        <v>#REF!</v>
      </c>
      <c r="AH1992" s="8"/>
      <c r="AI1992" s="8"/>
    </row>
    <row r="1993" spans="1:35" s="17" customFormat="1" ht="10.199999999999999" outlineLevel="1" x14ac:dyDescent="0.2">
      <c r="A1993" s="61" t="s">
        <v>2089</v>
      </c>
      <c r="B1993" s="11" t="s">
        <v>2110</v>
      </c>
      <c r="C1993" s="8" t="s">
        <v>47</v>
      </c>
      <c r="D1993" s="25">
        <f t="shared" si="534"/>
        <v>11</v>
      </c>
      <c r="E1993" s="54"/>
      <c r="F1993" s="9"/>
      <c r="G1993" s="9">
        <v>0</v>
      </c>
      <c r="H1993" s="9">
        <v>10</v>
      </c>
      <c r="I1993" s="9">
        <v>0</v>
      </c>
      <c r="J1993" s="9">
        <v>0</v>
      </c>
      <c r="K1993" s="9">
        <v>0</v>
      </c>
      <c r="L1993" s="9">
        <v>0</v>
      </c>
      <c r="M1993" s="9">
        <v>0</v>
      </c>
      <c r="N1993" s="9">
        <v>0</v>
      </c>
      <c r="O1993" s="9">
        <v>0</v>
      </c>
      <c r="P1993" s="9">
        <v>0</v>
      </c>
      <c r="Q1993" s="9">
        <v>0</v>
      </c>
      <c r="R1993" s="9">
        <v>0</v>
      </c>
      <c r="S1993" s="9">
        <v>0</v>
      </c>
      <c r="T1993" s="9">
        <v>0</v>
      </c>
      <c r="U1993" s="9">
        <v>0</v>
      </c>
      <c r="V1993" s="9">
        <v>1</v>
      </c>
      <c r="W1993" s="9">
        <v>0</v>
      </c>
      <c r="X1993" s="9">
        <v>0</v>
      </c>
      <c r="Y1993" s="9">
        <v>0</v>
      </c>
      <c r="Z1993" s="9">
        <v>0</v>
      </c>
      <c r="AA1993" s="9">
        <v>0</v>
      </c>
      <c r="AB1993" s="9">
        <v>0</v>
      </c>
      <c r="AC1993" s="9">
        <v>0</v>
      </c>
      <c r="AD1993" s="53" t="e">
        <f>#REF!*D1993</f>
        <v>#REF!</v>
      </c>
      <c r="AE1993" s="53" t="e">
        <f>AD1993-#REF!</f>
        <v>#REF!</v>
      </c>
      <c r="AF1993" s="8"/>
      <c r="AG1993" s="33" t="e">
        <f>#REF!-D1993</f>
        <v>#REF!</v>
      </c>
      <c r="AH1993" s="8"/>
      <c r="AI1993" s="8"/>
    </row>
    <row r="1994" spans="1:35" s="17" customFormat="1" ht="20.399999999999999" outlineLevel="1" x14ac:dyDescent="0.2">
      <c r="A1994" s="61" t="s">
        <v>2090</v>
      </c>
      <c r="B1994" s="80" t="s">
        <v>2111</v>
      </c>
      <c r="C1994" s="9" t="s">
        <v>47</v>
      </c>
      <c r="D1994" s="25">
        <f t="shared" si="534"/>
        <v>5</v>
      </c>
      <c r="E1994" s="54"/>
      <c r="F1994" s="9"/>
      <c r="G1994" s="9">
        <v>1</v>
      </c>
      <c r="H1994" s="9">
        <v>1</v>
      </c>
      <c r="I1994" s="9">
        <v>0</v>
      </c>
      <c r="J1994" s="9">
        <v>0</v>
      </c>
      <c r="K1994" s="9">
        <v>0</v>
      </c>
      <c r="L1994" s="9">
        <v>0</v>
      </c>
      <c r="M1994" s="9">
        <v>1</v>
      </c>
      <c r="N1994" s="9">
        <v>0</v>
      </c>
      <c r="O1994" s="9">
        <v>0</v>
      </c>
      <c r="P1994" s="9">
        <v>0</v>
      </c>
      <c r="Q1994" s="9">
        <v>0</v>
      </c>
      <c r="R1994" s="9">
        <v>0</v>
      </c>
      <c r="S1994" s="9">
        <v>0</v>
      </c>
      <c r="T1994" s="9">
        <v>1</v>
      </c>
      <c r="U1994" s="9">
        <v>0</v>
      </c>
      <c r="V1994" s="9">
        <v>1</v>
      </c>
      <c r="W1994" s="9">
        <v>0</v>
      </c>
      <c r="X1994" s="9">
        <v>0</v>
      </c>
      <c r="Y1994" s="9">
        <v>0</v>
      </c>
      <c r="Z1994" s="9">
        <v>0</v>
      </c>
      <c r="AA1994" s="9">
        <v>0</v>
      </c>
      <c r="AB1994" s="9">
        <v>0</v>
      </c>
      <c r="AC1994" s="9">
        <v>0</v>
      </c>
      <c r="AD1994" s="53" t="e">
        <f>#REF!*D1994</f>
        <v>#REF!</v>
      </c>
      <c r="AE1994" s="53" t="e">
        <f>AD1994-#REF!</f>
        <v>#REF!</v>
      </c>
      <c r="AF1994" s="8"/>
      <c r="AG1994" s="33" t="e">
        <f>#REF!-D1994</f>
        <v>#REF!</v>
      </c>
      <c r="AH1994" s="8"/>
      <c r="AI1994" s="8"/>
    </row>
    <row r="1995" spans="1:35" s="17" customFormat="1" ht="10.199999999999999" outlineLevel="1" x14ac:dyDescent="0.2">
      <c r="A1995" s="61" t="s">
        <v>2091</v>
      </c>
      <c r="B1995" s="11" t="s">
        <v>142</v>
      </c>
      <c r="C1995" s="8" t="s">
        <v>55</v>
      </c>
      <c r="D1995" s="25">
        <f t="shared" si="534"/>
        <v>20</v>
      </c>
      <c r="E1995" s="54"/>
      <c r="F1995" s="9"/>
      <c r="G1995" s="9">
        <v>19</v>
      </c>
      <c r="H1995" s="9">
        <v>0</v>
      </c>
      <c r="I1995" s="9">
        <v>0</v>
      </c>
      <c r="J1995" s="9">
        <v>0</v>
      </c>
      <c r="K1995" s="9">
        <v>0</v>
      </c>
      <c r="L1995" s="9">
        <v>0</v>
      </c>
      <c r="M1995" s="9">
        <v>0</v>
      </c>
      <c r="N1995" s="9">
        <v>0</v>
      </c>
      <c r="O1995" s="9">
        <v>0</v>
      </c>
      <c r="P1995" s="9">
        <v>0</v>
      </c>
      <c r="Q1995" s="9">
        <v>0</v>
      </c>
      <c r="R1995" s="9">
        <v>0</v>
      </c>
      <c r="S1995" s="9">
        <v>0</v>
      </c>
      <c r="T1995" s="9">
        <v>0</v>
      </c>
      <c r="U1995" s="9">
        <v>0</v>
      </c>
      <c r="V1995" s="9">
        <v>1</v>
      </c>
      <c r="W1995" s="9">
        <v>0</v>
      </c>
      <c r="X1995" s="9">
        <v>0</v>
      </c>
      <c r="Y1995" s="9">
        <v>0</v>
      </c>
      <c r="Z1995" s="9">
        <v>0</v>
      </c>
      <c r="AA1995" s="9">
        <v>0</v>
      </c>
      <c r="AB1995" s="9">
        <v>0</v>
      </c>
      <c r="AC1995" s="9">
        <v>0</v>
      </c>
      <c r="AD1995" s="53" t="e">
        <f>#REF!*D1995</f>
        <v>#REF!</v>
      </c>
      <c r="AE1995" s="53" t="e">
        <f>AD1995-#REF!</f>
        <v>#REF!</v>
      </c>
      <c r="AF1995" s="8"/>
      <c r="AG1995" s="33" t="e">
        <f>#REF!-D1995</f>
        <v>#REF!</v>
      </c>
      <c r="AH1995" s="8"/>
      <c r="AI1995" s="8"/>
    </row>
    <row r="1996" spans="1:35" x14ac:dyDescent="0.25">
      <c r="AD1996" s="53" t="e">
        <f>#REF!*D1996</f>
        <v>#REF!</v>
      </c>
      <c r="AG1996" s="33" t="e">
        <f>#REF!-D1996</f>
        <v>#REF!</v>
      </c>
    </row>
    <row r="1997" spans="1:35" x14ac:dyDescent="0.25">
      <c r="A1997" s="64">
        <v>14</v>
      </c>
      <c r="B1997" s="65" t="s">
        <v>53</v>
      </c>
      <c r="C1997" s="64"/>
      <c r="D1997" s="86"/>
      <c r="AD1997" s="75" t="e">
        <f>SUM(AD7:AD1996)</f>
        <v>#REF!</v>
      </c>
      <c r="AE1997" s="71"/>
    </row>
    <row r="1998" spans="1:35" x14ac:dyDescent="0.25">
      <c r="AD1998" s="82" t="e">
        <f>AD1997-#REF!</f>
        <v>#REF!</v>
      </c>
      <c r="AE1998" s="82"/>
    </row>
    <row r="1999" spans="1:35" x14ac:dyDescent="0.25">
      <c r="A1999" s="118"/>
      <c r="B1999" s="119"/>
      <c r="C1999" s="120"/>
      <c r="D1999" s="119"/>
      <c r="P1999" s="69"/>
      <c r="AD1999" s="1"/>
      <c r="AE1999" s="1"/>
    </row>
    <row r="2000" spans="1:35" x14ac:dyDescent="0.25">
      <c r="A2000" s="121"/>
      <c r="B2000"/>
      <c r="D2000" s="122"/>
      <c r="P2000" s="69"/>
      <c r="AD2000" s="1"/>
      <c r="AE2000" s="1"/>
    </row>
    <row r="2001" spans="1:31" x14ac:dyDescent="0.25">
      <c r="A2001" s="121"/>
      <c r="P2001" s="69"/>
      <c r="AD2001" s="1"/>
      <c r="AE2001" s="1"/>
    </row>
    <row r="2002" spans="1:31" ht="9" customHeight="1" x14ac:dyDescent="0.25">
      <c r="A2002" s="123"/>
      <c r="B2002" s="124"/>
      <c r="C2002" s="125"/>
      <c r="D2002" s="124"/>
      <c r="P2002" s="69"/>
      <c r="AD2002" s="1"/>
      <c r="AE2002" s="1"/>
    </row>
    <row r="2004" spans="1:31" ht="27.75" customHeight="1" x14ac:dyDescent="0.25">
      <c r="A2004" s="199" t="s">
        <v>1103</v>
      </c>
      <c r="B2004" s="242" t="s">
        <v>2804</v>
      </c>
      <c r="C2004" s="242"/>
      <c r="D2004" s="242"/>
    </row>
    <row r="2005" spans="1:31" ht="22.5" customHeight="1" x14ac:dyDescent="0.25">
      <c r="A2005" s="170" t="s">
        <v>3549</v>
      </c>
      <c r="B2005" s="242" t="s">
        <v>3526</v>
      </c>
      <c r="C2005" s="242"/>
      <c r="D2005" s="242"/>
    </row>
    <row r="2006" spans="1:31" x14ac:dyDescent="0.25">
      <c r="A2006" s="1" t="s">
        <v>3550</v>
      </c>
      <c r="B2006" s="242" t="s">
        <v>3568</v>
      </c>
      <c r="C2006" s="242"/>
      <c r="D2006" s="242"/>
    </row>
    <row r="2007" spans="1:31" ht="12.75" customHeight="1" x14ac:dyDescent="0.25">
      <c r="A2007" s="1" t="s">
        <v>3550</v>
      </c>
      <c r="B2007" s="242" t="s">
        <v>3569</v>
      </c>
      <c r="C2007" s="242"/>
      <c r="D2007" s="242"/>
    </row>
    <row r="2008" spans="1:31" x14ac:dyDescent="0.25">
      <c r="A2008" s="1" t="s">
        <v>3550</v>
      </c>
      <c r="B2008" s="242" t="s">
        <v>3544</v>
      </c>
      <c r="C2008" s="242"/>
      <c r="D2008" s="242"/>
    </row>
    <row r="2009" spans="1:31" x14ac:dyDescent="0.25">
      <c r="A2009" s="1" t="s">
        <v>3550</v>
      </c>
      <c r="B2009" s="242" t="s">
        <v>3570</v>
      </c>
      <c r="C2009" s="242"/>
      <c r="D2009" s="242"/>
    </row>
    <row r="2010" spans="1:31" x14ac:dyDescent="0.25">
      <c r="A2010" s="1" t="s">
        <v>3550</v>
      </c>
      <c r="B2010" s="242" t="s">
        <v>3547</v>
      </c>
      <c r="C2010" s="242"/>
      <c r="D2010" s="242"/>
    </row>
    <row r="2011" spans="1:31" x14ac:dyDescent="0.25">
      <c r="A2011" s="1" t="s">
        <v>3572</v>
      </c>
      <c r="B2011" s="242" t="s">
        <v>3573</v>
      </c>
      <c r="C2011" s="242"/>
      <c r="D2011" s="242"/>
    </row>
    <row r="2012" spans="1:31" x14ac:dyDescent="0.25">
      <c r="A2012" s="1" t="s">
        <v>3585</v>
      </c>
      <c r="B2012" s="243" t="s">
        <v>3587</v>
      </c>
      <c r="C2012" s="243"/>
      <c r="D2012" s="243"/>
    </row>
    <row r="2013" spans="1:31" x14ac:dyDescent="0.25">
      <c r="A2013" s="1" t="s">
        <v>3585</v>
      </c>
      <c r="B2013" s="243" t="s">
        <v>3720</v>
      </c>
      <c r="C2013" s="243"/>
      <c r="D2013" s="243"/>
    </row>
    <row r="2014" spans="1:31" x14ac:dyDescent="0.25">
      <c r="A2014" s="1" t="s">
        <v>3585</v>
      </c>
      <c r="B2014" s="243" t="s">
        <v>3721</v>
      </c>
      <c r="C2014" s="243"/>
      <c r="D2014" s="243"/>
    </row>
    <row r="2015" spans="1:31" x14ac:dyDescent="0.25">
      <c r="B2015" s="14"/>
    </row>
    <row r="2016" spans="1:31" x14ac:dyDescent="0.25">
      <c r="B2016" s="14"/>
    </row>
    <row r="2017" spans="2:2" x14ac:dyDescent="0.25">
      <c r="B2017" s="14"/>
    </row>
    <row r="2018" spans="2:2" x14ac:dyDescent="0.25">
      <c r="B2018" s="14"/>
    </row>
    <row r="2019" spans="2:2" x14ac:dyDescent="0.25">
      <c r="B2019" s="14"/>
    </row>
    <row r="2020" spans="2:2" x14ac:dyDescent="0.25">
      <c r="B2020" s="14"/>
    </row>
    <row r="2021" spans="2:2" x14ac:dyDescent="0.25">
      <c r="B2021" s="14"/>
    </row>
    <row r="2022" spans="2:2" x14ac:dyDescent="0.25">
      <c r="B2022" s="14"/>
    </row>
  </sheetData>
  <autoFilter ref="A6:AL2020" xr:uid="{00000000-0009-0000-0000-000000000000}"/>
  <mergeCells count="15">
    <mergeCell ref="B2012:D2012"/>
    <mergeCell ref="B2013:D2013"/>
    <mergeCell ref="B2014:D2014"/>
    <mergeCell ref="U3:AC3"/>
    <mergeCell ref="B2004:D2004"/>
    <mergeCell ref="B2008:D2008"/>
    <mergeCell ref="B2009:D2009"/>
    <mergeCell ref="B2011:D2011"/>
    <mergeCell ref="B2010:D2010"/>
    <mergeCell ref="A1:B1"/>
    <mergeCell ref="C1:D1"/>
    <mergeCell ref="H3:T3"/>
    <mergeCell ref="B2007:D2007"/>
    <mergeCell ref="B2005:D2005"/>
    <mergeCell ref="B2006:D2006"/>
  </mergeCells>
  <printOptions horizontalCentered="1"/>
  <pageMargins left="0.39370078740157483" right="0.39370078740157483" top="0.59055118110236227" bottom="0.39370078740157483" header="0.51181102362204722" footer="0.11811023622047245"/>
  <pageSetup paperSize="9"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64"/>
  <sheetViews>
    <sheetView topLeftCell="A46" workbookViewId="0">
      <selection activeCell="A65" sqref="A65"/>
    </sheetView>
  </sheetViews>
  <sheetFormatPr defaultRowHeight="12.6" x14ac:dyDescent="0.25"/>
  <cols>
    <col min="1" max="1" width="124.6640625" customWidth="1"/>
  </cols>
  <sheetData>
    <row r="1" spans="1:2" ht="15" x14ac:dyDescent="0.25">
      <c r="A1" s="213"/>
    </row>
    <row r="2" spans="1:2" ht="15" x14ac:dyDescent="0.25">
      <c r="A2" s="213" t="s">
        <v>2951</v>
      </c>
    </row>
    <row r="3" spans="1:2" ht="15" x14ac:dyDescent="0.25">
      <c r="A3" s="213" t="s">
        <v>2939</v>
      </c>
    </row>
    <row r="4" spans="1:2" ht="30" x14ac:dyDescent="0.25">
      <c r="A4" s="220" t="s">
        <v>2940</v>
      </c>
      <c r="B4" s="217" t="s">
        <v>177</v>
      </c>
    </row>
    <row r="5" spans="1:2" ht="15" x14ac:dyDescent="0.25">
      <c r="A5" s="220" t="s">
        <v>2941</v>
      </c>
      <c r="B5" s="217" t="s">
        <v>58</v>
      </c>
    </row>
    <row r="6" spans="1:2" ht="15" x14ac:dyDescent="0.25">
      <c r="A6" s="220" t="s">
        <v>2991</v>
      </c>
      <c r="B6" s="217" t="s">
        <v>148</v>
      </c>
    </row>
    <row r="7" spans="1:2" ht="15" x14ac:dyDescent="0.25">
      <c r="A7" s="220" t="s">
        <v>2942</v>
      </c>
      <c r="B7" s="218" t="s">
        <v>52</v>
      </c>
    </row>
    <row r="8" spans="1:2" ht="15" x14ac:dyDescent="0.25">
      <c r="A8" s="220" t="s">
        <v>2943</v>
      </c>
      <c r="B8" s="219" t="s">
        <v>52</v>
      </c>
    </row>
    <row r="9" spans="1:2" ht="15" x14ac:dyDescent="0.25">
      <c r="A9" s="220" t="s">
        <v>2944</v>
      </c>
      <c r="B9" s="217" t="s">
        <v>149</v>
      </c>
    </row>
    <row r="11" spans="1:2" ht="15" x14ac:dyDescent="0.25">
      <c r="A11" s="213" t="s">
        <v>2950</v>
      </c>
    </row>
    <row r="12" spans="1:2" ht="15" x14ac:dyDescent="0.25">
      <c r="A12" s="215" t="s">
        <v>2946</v>
      </c>
    </row>
    <row r="13" spans="1:2" ht="15" x14ac:dyDescent="0.25">
      <c r="A13" s="213" t="s">
        <v>2947</v>
      </c>
    </row>
    <row r="14" spans="1:2" ht="15" x14ac:dyDescent="0.25">
      <c r="A14" s="213" t="s">
        <v>2948</v>
      </c>
    </row>
    <row r="15" spans="1:2" ht="30" x14ac:dyDescent="0.25">
      <c r="A15" s="213" t="s">
        <v>2949</v>
      </c>
    </row>
    <row r="17" spans="1:1" ht="15" x14ac:dyDescent="0.25">
      <c r="A17" s="216" t="s">
        <v>2972</v>
      </c>
    </row>
    <row r="18" spans="1:1" ht="15" x14ac:dyDescent="0.25">
      <c r="A18" s="216" t="s">
        <v>2957</v>
      </c>
    </row>
    <row r="19" spans="1:1" ht="15" x14ac:dyDescent="0.25">
      <c r="A19" s="216" t="s">
        <v>2958</v>
      </c>
    </row>
    <row r="20" spans="1:1" ht="15" x14ac:dyDescent="0.25">
      <c r="A20" s="216" t="s">
        <v>2959</v>
      </c>
    </row>
    <row r="21" spans="1:1" ht="15" x14ac:dyDescent="0.25">
      <c r="A21" s="216" t="s">
        <v>2960</v>
      </c>
    </row>
    <row r="23" spans="1:1" ht="15" x14ac:dyDescent="0.25">
      <c r="A23" s="216" t="s">
        <v>2961</v>
      </c>
    </row>
    <row r="24" spans="1:1" ht="15" x14ac:dyDescent="0.25">
      <c r="A24" s="216" t="s">
        <v>2962</v>
      </c>
    </row>
    <row r="25" spans="1:1" ht="15" x14ac:dyDescent="0.25">
      <c r="A25" s="216" t="s">
        <v>2963</v>
      </c>
    </row>
    <row r="26" spans="1:1" ht="15" x14ac:dyDescent="0.25">
      <c r="A26" s="216" t="s">
        <v>2964</v>
      </c>
    </row>
    <row r="27" spans="1:1" ht="15" x14ac:dyDescent="0.25">
      <c r="A27" s="216" t="s">
        <v>2965</v>
      </c>
    </row>
    <row r="29" spans="1:1" ht="15" x14ac:dyDescent="0.25">
      <c r="A29" s="216" t="s">
        <v>2966</v>
      </c>
    </row>
    <row r="30" spans="1:1" ht="15" x14ac:dyDescent="0.25">
      <c r="A30" s="216" t="s">
        <v>2967</v>
      </c>
    </row>
    <row r="31" spans="1:1" ht="15" x14ac:dyDescent="0.25">
      <c r="A31" s="216" t="s">
        <v>2968</v>
      </c>
    </row>
    <row r="32" spans="1:1" s="216" customFormat="1" ht="15" x14ac:dyDescent="0.25">
      <c r="A32" s="216" t="s">
        <v>2969</v>
      </c>
    </row>
    <row r="33" spans="1:4" s="216" customFormat="1" ht="15" x14ac:dyDescent="0.25">
      <c r="A33" s="216" t="s">
        <v>2970</v>
      </c>
    </row>
    <row r="34" spans="1:4" s="216" customFormat="1" ht="15" x14ac:dyDescent="0.25">
      <c r="A34" s="216" t="s">
        <v>2971</v>
      </c>
    </row>
    <row r="36" spans="1:4" ht="15" x14ac:dyDescent="0.25">
      <c r="A36" s="216" t="s">
        <v>3056</v>
      </c>
    </row>
    <row r="37" spans="1:4" ht="15" x14ac:dyDescent="0.25">
      <c r="A37" s="216" t="s">
        <v>3057</v>
      </c>
      <c r="B37" s="1" t="s">
        <v>3059</v>
      </c>
      <c r="C37" s="1" t="s">
        <v>3058</v>
      </c>
      <c r="D37" s="2"/>
    </row>
    <row r="38" spans="1:4" ht="15" x14ac:dyDescent="0.25">
      <c r="A38" s="216" t="s">
        <v>3060</v>
      </c>
      <c r="B38" s="1">
        <f>214.58</f>
        <v>214.58</v>
      </c>
      <c r="C38" s="1">
        <v>79.38</v>
      </c>
      <c r="D38" s="2">
        <f>B38/C38</f>
        <v>2.7031997984378942</v>
      </c>
    </row>
    <row r="39" spans="1:4" ht="15" x14ac:dyDescent="0.25">
      <c r="A39" s="216" t="s">
        <v>3061</v>
      </c>
      <c r="B39" s="2"/>
      <c r="C39" s="2">
        <f>421/D38</f>
        <v>155.74135520551772</v>
      </c>
      <c r="D39" s="2"/>
    </row>
    <row r="40" spans="1:4" ht="15" x14ac:dyDescent="0.25">
      <c r="A40" s="216" t="s">
        <v>3063</v>
      </c>
    </row>
    <row r="41" spans="1:4" ht="15" x14ac:dyDescent="0.25">
      <c r="A41" s="216" t="s">
        <v>3062</v>
      </c>
    </row>
    <row r="43" spans="1:4" ht="15" x14ac:dyDescent="0.25">
      <c r="A43" s="216" t="s">
        <v>3064</v>
      </c>
    </row>
    <row r="44" spans="1:4" ht="15" x14ac:dyDescent="0.25">
      <c r="A44" s="216" t="s">
        <v>3065</v>
      </c>
      <c r="B44" s="222" t="s">
        <v>3161</v>
      </c>
    </row>
    <row r="45" spans="1:4" ht="15" x14ac:dyDescent="0.25">
      <c r="A45" s="216" t="s">
        <v>3066</v>
      </c>
      <c r="B45" s="222" t="s">
        <v>3161</v>
      </c>
    </row>
    <row r="46" spans="1:4" ht="15" x14ac:dyDescent="0.25">
      <c r="A46" s="216" t="s">
        <v>3067</v>
      </c>
      <c r="B46" s="222" t="s">
        <v>3161</v>
      </c>
    </row>
    <row r="48" spans="1:4" ht="15" x14ac:dyDescent="0.25">
      <c r="A48" s="213" t="s">
        <v>3195</v>
      </c>
    </row>
    <row r="49" spans="1:1" ht="30" x14ac:dyDescent="0.25">
      <c r="A49" s="213" t="s">
        <v>3186</v>
      </c>
    </row>
    <row r="51" spans="1:1" ht="15" x14ac:dyDescent="0.25">
      <c r="A51" s="213" t="s">
        <v>3187</v>
      </c>
    </row>
    <row r="52" spans="1:1" ht="15" x14ac:dyDescent="0.25">
      <c r="A52" s="213" t="s">
        <v>3188</v>
      </c>
    </row>
    <row r="53" spans="1:1" ht="15" x14ac:dyDescent="0.25">
      <c r="A53" s="213" t="s">
        <v>3189</v>
      </c>
    </row>
    <row r="54" spans="1:1" ht="15" x14ac:dyDescent="0.25">
      <c r="A54" s="213" t="s">
        <v>3190</v>
      </c>
    </row>
    <row r="55" spans="1:1" ht="15" x14ac:dyDescent="0.25">
      <c r="A55" s="213" t="s">
        <v>3191</v>
      </c>
    </row>
    <row r="56" spans="1:1" ht="15" x14ac:dyDescent="0.25">
      <c r="A56" s="225" t="s">
        <v>3192</v>
      </c>
    </row>
    <row r="57" spans="1:1" ht="15" x14ac:dyDescent="0.25">
      <c r="A57" s="225" t="s">
        <v>3193</v>
      </c>
    </row>
    <row r="59" spans="1:1" ht="30" customHeight="1" x14ac:dyDescent="0.25">
      <c r="A59" s="225" t="s">
        <v>3194</v>
      </c>
    </row>
    <row r="61" spans="1:1" ht="15" x14ac:dyDescent="0.25">
      <c r="A61" s="213" t="s">
        <v>3532</v>
      </c>
    </row>
    <row r="62" spans="1:1" ht="15" x14ac:dyDescent="0.25">
      <c r="A62" s="213" t="s">
        <v>3529</v>
      </c>
    </row>
    <row r="63" spans="1:1" ht="30" x14ac:dyDescent="0.25">
      <c r="A63" s="213" t="s">
        <v>3530</v>
      </c>
    </row>
    <row r="64" spans="1:1" ht="30" x14ac:dyDescent="0.25">
      <c r="A64" s="213" t="s">
        <v>3531</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P54"/>
  <sheetViews>
    <sheetView topLeftCell="A22" zoomScaleNormal="100" workbookViewId="0">
      <selection activeCell="B26" sqref="B26"/>
    </sheetView>
  </sheetViews>
  <sheetFormatPr defaultColWidth="9.109375" defaultRowHeight="15" outlineLevelRow="1" x14ac:dyDescent="0.25"/>
  <cols>
    <col min="1" max="1" width="5.33203125" style="1" customWidth="1"/>
    <col min="2" max="2" width="43" style="2" customWidth="1"/>
    <col min="3" max="3" width="3.88671875" style="2" customWidth="1"/>
    <col min="4" max="4" width="10.33203125" style="2" customWidth="1"/>
    <col min="5" max="5" width="11.33203125" style="2" customWidth="1"/>
    <col min="6" max="6" width="11.5546875" style="2" customWidth="1"/>
    <col min="7" max="7" width="5.44140625" style="2" customWidth="1"/>
    <col min="8" max="8" width="65.5546875" style="38" customWidth="1"/>
    <col min="9" max="9" width="4.88671875" style="2" customWidth="1"/>
    <col min="10" max="10" width="5.109375" style="2" customWidth="1"/>
    <col min="11" max="11" width="6.44140625" style="2" bestFit="1" customWidth="1"/>
    <col min="12" max="12" width="6.33203125" style="2" customWidth="1"/>
    <col min="13" max="13" width="5.109375" style="2" customWidth="1"/>
    <col min="14" max="14" width="4.6640625" style="39" customWidth="1"/>
    <col min="15" max="15" width="4.88671875" style="2" customWidth="1"/>
    <col min="16" max="16" width="5.88671875" style="2" customWidth="1"/>
    <col min="17" max="16384" width="9.109375" style="2"/>
  </cols>
  <sheetData>
    <row r="1" spans="1:16" ht="15.6" thickBot="1" x14ac:dyDescent="0.3">
      <c r="A1" s="238" t="s">
        <v>390</v>
      </c>
      <c r="B1" s="238"/>
      <c r="C1" s="238"/>
      <c r="D1" s="46">
        <v>45475</v>
      </c>
      <c r="E1" s="245" t="s">
        <v>40</v>
      </c>
      <c r="F1" s="245"/>
    </row>
    <row r="2" spans="1:16" ht="9" customHeight="1" x14ac:dyDescent="0.25">
      <c r="B2" s="1"/>
      <c r="C2" s="1"/>
    </row>
    <row r="3" spans="1:16" ht="6" customHeight="1" x14ac:dyDescent="0.25"/>
    <row r="4" spans="1:16" x14ac:dyDescent="0.25">
      <c r="A4" s="3" t="s">
        <v>19</v>
      </c>
      <c r="B4" s="4" t="s">
        <v>15</v>
      </c>
      <c r="C4" s="4" t="s">
        <v>16</v>
      </c>
      <c r="D4" s="3" t="s">
        <v>17</v>
      </c>
      <c r="E4" s="3" t="s">
        <v>18</v>
      </c>
      <c r="F4" s="3" t="s">
        <v>37</v>
      </c>
    </row>
    <row r="6" spans="1:16" s="6" customFormat="1" ht="12.75" customHeight="1" x14ac:dyDescent="0.3">
      <c r="A6" s="64">
        <v>1</v>
      </c>
      <c r="B6" s="65" t="s">
        <v>214</v>
      </c>
      <c r="C6" s="64"/>
      <c r="D6" s="66"/>
      <c r="E6" s="67"/>
      <c r="F6" s="68"/>
      <c r="H6" s="40"/>
      <c r="N6" s="41"/>
      <c r="O6" s="42"/>
      <c r="P6" s="42"/>
    </row>
    <row r="7" spans="1:16" s="12" customFormat="1" ht="24.75" customHeight="1" outlineLevel="1" x14ac:dyDescent="0.2">
      <c r="A7" s="77" t="s">
        <v>6</v>
      </c>
      <c r="B7" s="80" t="s">
        <v>3099</v>
      </c>
      <c r="C7" s="9" t="s">
        <v>47</v>
      </c>
      <c r="D7" s="28">
        <v>10</v>
      </c>
      <c r="E7" s="28">
        <v>0</v>
      </c>
      <c r="F7" s="28">
        <f>ROUND(D7*E7,2)</f>
        <v>0</v>
      </c>
      <c r="N7" s="45"/>
    </row>
    <row r="8" spans="1:16" s="12" customFormat="1" ht="20.399999999999999" outlineLevel="1" x14ac:dyDescent="0.2">
      <c r="A8" s="77" t="s">
        <v>7</v>
      </c>
      <c r="B8" s="36" t="s">
        <v>1236</v>
      </c>
      <c r="C8" s="9" t="s">
        <v>47</v>
      </c>
      <c r="D8" s="28">
        <v>2</v>
      </c>
      <c r="E8" s="28">
        <v>0</v>
      </c>
      <c r="F8" s="28">
        <f>ROUND(J8*E8,2)</f>
        <v>0</v>
      </c>
      <c r="J8" s="28"/>
      <c r="N8" s="45"/>
    </row>
    <row r="9" spans="1:16" s="12" customFormat="1" ht="24.75" customHeight="1" outlineLevel="1" x14ac:dyDescent="0.2">
      <c r="A9" s="77" t="s">
        <v>8</v>
      </c>
      <c r="B9" s="80" t="s">
        <v>1990</v>
      </c>
      <c r="C9" s="9" t="s">
        <v>47</v>
      </c>
      <c r="D9" s="28">
        <v>13</v>
      </c>
      <c r="E9" s="28">
        <v>0</v>
      </c>
      <c r="F9" s="28">
        <f>ROUND(D9*E9,2)</f>
        <v>0</v>
      </c>
      <c r="N9" s="45"/>
    </row>
    <row r="10" spans="1:16" s="12" customFormat="1" ht="24.75" customHeight="1" outlineLevel="1" x14ac:dyDescent="0.2">
      <c r="A10" s="77" t="s">
        <v>9</v>
      </c>
      <c r="B10" s="36" t="s">
        <v>1992</v>
      </c>
      <c r="C10" s="9" t="s">
        <v>47</v>
      </c>
      <c r="D10" s="28">
        <v>125</v>
      </c>
      <c r="E10" s="28">
        <v>0</v>
      </c>
      <c r="F10" s="28">
        <f>ROUND(D10*E10,2)</f>
        <v>0</v>
      </c>
      <c r="N10" s="45"/>
    </row>
    <row r="11" spans="1:16" s="12" customFormat="1" ht="24.75" customHeight="1" outlineLevel="1" x14ac:dyDescent="0.2">
      <c r="A11" s="77" t="s">
        <v>10</v>
      </c>
      <c r="B11" s="36" t="s">
        <v>212</v>
      </c>
      <c r="C11" s="9" t="s">
        <v>47</v>
      </c>
      <c r="D11" s="28">
        <f>4+47+5+12</f>
        <v>68</v>
      </c>
      <c r="E11" s="28">
        <v>0</v>
      </c>
      <c r="F11" s="28">
        <f>ROUND(D11*E11,2)</f>
        <v>0</v>
      </c>
      <c r="N11" s="45"/>
    </row>
    <row r="12" spans="1:16" s="12" customFormat="1" ht="24.75" customHeight="1" outlineLevel="1" x14ac:dyDescent="0.2">
      <c r="A12" s="77" t="s">
        <v>11</v>
      </c>
      <c r="B12" s="36" t="s">
        <v>1991</v>
      </c>
      <c r="C12" s="9" t="s">
        <v>47</v>
      </c>
      <c r="D12" s="28">
        <f>3+8</f>
        <v>11</v>
      </c>
      <c r="E12" s="28">
        <v>0</v>
      </c>
      <c r="F12" s="28">
        <f>ROUND(D12*E12,2)</f>
        <v>0</v>
      </c>
      <c r="N12" s="45"/>
    </row>
    <row r="13" spans="1:16" s="12" customFormat="1" ht="10.199999999999999" outlineLevel="1" x14ac:dyDescent="0.2">
      <c r="A13" s="77" t="s">
        <v>46</v>
      </c>
      <c r="B13" s="36" t="s">
        <v>45</v>
      </c>
      <c r="C13" s="9" t="s">
        <v>20</v>
      </c>
      <c r="D13" s="28">
        <v>1</v>
      </c>
      <c r="E13" s="28">
        <v>0</v>
      </c>
      <c r="F13" s="28">
        <f>ROUND(J13*E13,2)</f>
        <v>0</v>
      </c>
      <c r="J13" s="28"/>
      <c r="N13" s="45"/>
    </row>
    <row r="14" spans="1:16" s="12" customFormat="1" ht="20.399999999999999" outlineLevel="1" x14ac:dyDescent="0.2">
      <c r="A14" s="77" t="s">
        <v>25</v>
      </c>
      <c r="B14" s="36" t="s">
        <v>213</v>
      </c>
      <c r="C14" s="9" t="s">
        <v>22</v>
      </c>
      <c r="D14" s="28">
        <v>1</v>
      </c>
      <c r="E14" s="28">
        <v>0</v>
      </c>
      <c r="F14" s="28">
        <f>ROUND(J14*E14,2)</f>
        <v>0</v>
      </c>
      <c r="J14" s="28"/>
      <c r="N14" s="45"/>
    </row>
    <row r="15" spans="1:16" s="12" customFormat="1" ht="20.399999999999999" outlineLevel="1" x14ac:dyDescent="0.2">
      <c r="A15" s="77" t="s">
        <v>26</v>
      </c>
      <c r="B15" s="36" t="s">
        <v>147</v>
      </c>
      <c r="C15" s="9" t="s">
        <v>22</v>
      </c>
      <c r="D15" s="28">
        <v>1</v>
      </c>
      <c r="E15" s="28">
        <v>0</v>
      </c>
      <c r="F15" s="28">
        <f>ROUND(J15*E15,2)</f>
        <v>0</v>
      </c>
      <c r="J15" s="28"/>
      <c r="N15" s="45"/>
    </row>
    <row r="16" spans="1:16" s="12" customFormat="1" ht="10.199999999999999" outlineLevel="1" x14ac:dyDescent="0.2">
      <c r="A16" s="77" t="s">
        <v>27</v>
      </c>
      <c r="B16" s="36" t="s">
        <v>1067</v>
      </c>
      <c r="C16" s="9" t="s">
        <v>22</v>
      </c>
      <c r="D16" s="28">
        <v>1</v>
      </c>
      <c r="E16" s="28">
        <v>0</v>
      </c>
      <c r="F16" s="28">
        <f>ROUND(J16*E16,2)</f>
        <v>0</v>
      </c>
      <c r="J16" s="28"/>
      <c r="N16" s="45"/>
    </row>
    <row r="17" spans="1:16" s="12" customFormat="1" ht="10.199999999999999" outlineLevel="1" x14ac:dyDescent="0.2">
      <c r="A17" s="77" t="s">
        <v>28</v>
      </c>
      <c r="B17" s="36" t="s">
        <v>150</v>
      </c>
      <c r="C17" s="9" t="s">
        <v>22</v>
      </c>
      <c r="D17" s="28">
        <v>1</v>
      </c>
      <c r="E17" s="28">
        <v>0</v>
      </c>
      <c r="F17" s="28">
        <f>ROUND(J17*E17,2)</f>
        <v>0</v>
      </c>
      <c r="J17" s="28"/>
      <c r="N17" s="45"/>
    </row>
    <row r="18" spans="1:16" s="17" customFormat="1" ht="12" customHeight="1" x14ac:dyDescent="0.2">
      <c r="A18" s="8"/>
      <c r="B18" s="11"/>
      <c r="C18" s="8"/>
      <c r="E18" s="31"/>
      <c r="F18" s="43"/>
      <c r="H18" s="23"/>
      <c r="J18" s="30"/>
      <c r="N18" s="44"/>
    </row>
    <row r="19" spans="1:16" s="6" customFormat="1" ht="12.75" customHeight="1" x14ac:dyDescent="0.3">
      <c r="A19" s="64">
        <v>2</v>
      </c>
      <c r="B19" s="65" t="s">
        <v>21</v>
      </c>
      <c r="C19" s="64"/>
      <c r="D19" s="66"/>
      <c r="E19" s="67"/>
      <c r="F19" s="68"/>
      <c r="H19" s="40"/>
      <c r="N19" s="41"/>
      <c r="O19" s="42"/>
      <c r="P19" s="42"/>
    </row>
    <row r="20" spans="1:16" s="17" customFormat="1" ht="20.399999999999999" outlineLevel="1" x14ac:dyDescent="0.2">
      <c r="A20" s="34" t="s">
        <v>12</v>
      </c>
      <c r="B20" s="36" t="s">
        <v>1973</v>
      </c>
      <c r="C20" s="8" t="s">
        <v>47</v>
      </c>
      <c r="D20" s="28">
        <v>1</v>
      </c>
      <c r="E20" s="31">
        <v>0</v>
      </c>
      <c r="F20" s="31">
        <f>ROUND(J20*E20,2)</f>
        <v>0</v>
      </c>
      <c r="H20" s="23"/>
      <c r="J20" s="30"/>
      <c r="N20" s="44"/>
    </row>
    <row r="21" spans="1:16" s="17" customFormat="1" ht="20.399999999999999" outlineLevel="1" x14ac:dyDescent="0.2">
      <c r="A21" s="34" t="s">
        <v>13</v>
      </c>
      <c r="B21" s="36" t="s">
        <v>152</v>
      </c>
      <c r="C21" s="8" t="s">
        <v>47</v>
      </c>
      <c r="D21" s="28">
        <f>29+10</f>
        <v>39</v>
      </c>
      <c r="E21" s="31">
        <v>0</v>
      </c>
      <c r="F21" s="31">
        <f>ROUND(J21*E21,2)</f>
        <v>0</v>
      </c>
      <c r="H21" s="23"/>
      <c r="J21" s="30"/>
      <c r="N21" s="44"/>
    </row>
    <row r="22" spans="1:16" s="17" customFormat="1" ht="30.6" outlineLevel="1" x14ac:dyDescent="0.2">
      <c r="A22" s="34" t="s">
        <v>24</v>
      </c>
      <c r="B22" s="36" t="s">
        <v>1982</v>
      </c>
      <c r="C22" s="8" t="s">
        <v>47</v>
      </c>
      <c r="D22" s="28">
        <f>62-39</f>
        <v>23</v>
      </c>
      <c r="E22" s="31">
        <v>0</v>
      </c>
      <c r="F22" s="31">
        <f>ROUND(J22*E22,2)</f>
        <v>0</v>
      </c>
      <c r="H22" s="23"/>
      <c r="J22" s="30"/>
      <c r="N22" s="44"/>
    </row>
    <row r="23" spans="1:16" s="17" customFormat="1" ht="39" customHeight="1" outlineLevel="1" x14ac:dyDescent="0.2">
      <c r="A23" s="34" t="s">
        <v>42</v>
      </c>
      <c r="B23" s="80" t="s">
        <v>1983</v>
      </c>
      <c r="C23" s="8" t="s">
        <v>47</v>
      </c>
      <c r="D23" s="28">
        <v>1</v>
      </c>
      <c r="E23" s="31">
        <v>0</v>
      </c>
      <c r="F23" s="31">
        <f t="shared" ref="F23:F31" si="0">ROUND(J23*E23,2)</f>
        <v>0</v>
      </c>
      <c r="H23" s="23"/>
      <c r="J23" s="30"/>
      <c r="N23" s="44"/>
    </row>
    <row r="24" spans="1:16" s="17" customFormat="1" ht="37.5" customHeight="1" outlineLevel="1" x14ac:dyDescent="0.2">
      <c r="A24" s="34" t="s">
        <v>43</v>
      </c>
      <c r="B24" s="80" t="s">
        <v>1984</v>
      </c>
      <c r="C24" s="8" t="s">
        <v>47</v>
      </c>
      <c r="D24" s="28">
        <v>1</v>
      </c>
      <c r="E24" s="31">
        <v>0</v>
      </c>
      <c r="F24" s="31">
        <f>ROUND(J24*E24,2)</f>
        <v>0</v>
      </c>
      <c r="H24" s="23"/>
      <c r="J24" s="30"/>
      <c r="N24" s="44"/>
    </row>
    <row r="25" spans="1:16" s="17" customFormat="1" ht="39" customHeight="1" outlineLevel="1" x14ac:dyDescent="0.2">
      <c r="A25" s="34" t="s">
        <v>31</v>
      </c>
      <c r="B25" s="80" t="s">
        <v>1988</v>
      </c>
      <c r="C25" s="8" t="s">
        <v>47</v>
      </c>
      <c r="D25" s="28">
        <v>1</v>
      </c>
      <c r="E25" s="31">
        <v>0</v>
      </c>
      <c r="F25" s="31">
        <f>ROUND(J25*E25,2)</f>
        <v>0</v>
      </c>
      <c r="H25" s="23"/>
      <c r="J25" s="30"/>
      <c r="N25" s="44"/>
    </row>
    <row r="26" spans="1:16" s="17" customFormat="1" ht="47.25" customHeight="1" outlineLevel="1" x14ac:dyDescent="0.2">
      <c r="A26" s="34" t="s">
        <v>32</v>
      </c>
      <c r="B26" s="80" t="s">
        <v>1987</v>
      </c>
      <c r="C26" s="8" t="s">
        <v>47</v>
      </c>
      <c r="D26" s="28">
        <v>1</v>
      </c>
      <c r="E26" s="31">
        <v>0</v>
      </c>
      <c r="F26" s="31">
        <f>ROUND(J26*E26,2)</f>
        <v>0</v>
      </c>
      <c r="H26" s="23"/>
      <c r="J26" s="30"/>
      <c r="N26" s="44"/>
    </row>
    <row r="27" spans="1:16" s="17" customFormat="1" ht="20.399999999999999" outlineLevel="1" x14ac:dyDescent="0.2">
      <c r="A27" s="34" t="s">
        <v>33</v>
      </c>
      <c r="B27" s="36" t="s">
        <v>153</v>
      </c>
      <c r="C27" s="9" t="s">
        <v>47</v>
      </c>
      <c r="D27" s="28">
        <f>6+2</f>
        <v>8</v>
      </c>
      <c r="E27" s="31">
        <v>0</v>
      </c>
      <c r="F27" s="31">
        <f>ROUND(J27*E27,2)</f>
        <v>0</v>
      </c>
      <c r="H27" s="23"/>
      <c r="J27" s="30"/>
      <c r="N27" s="44"/>
    </row>
    <row r="28" spans="1:16" s="17" customFormat="1" ht="10.199999999999999" outlineLevel="1" x14ac:dyDescent="0.2">
      <c r="A28" s="34" t="s">
        <v>34</v>
      </c>
      <c r="B28" s="36" t="s">
        <v>1989</v>
      </c>
      <c r="C28" s="9" t="s">
        <v>47</v>
      </c>
      <c r="D28" s="28">
        <v>2</v>
      </c>
      <c r="E28" s="31">
        <v>0</v>
      </c>
      <c r="F28" s="31">
        <f>ROUND(J28*E28,2)</f>
        <v>0</v>
      </c>
      <c r="H28" s="23"/>
      <c r="J28" s="30"/>
      <c r="N28" s="44"/>
    </row>
    <row r="29" spans="1:16" s="12" customFormat="1" ht="20.399999999999999" outlineLevel="1" x14ac:dyDescent="0.2">
      <c r="A29" s="34" t="s">
        <v>35</v>
      </c>
      <c r="B29" s="36" t="s">
        <v>38</v>
      </c>
      <c r="C29" s="9" t="s">
        <v>22</v>
      </c>
      <c r="D29" s="28">
        <v>1</v>
      </c>
      <c r="E29" s="28">
        <v>0</v>
      </c>
      <c r="F29" s="28">
        <f t="shared" si="0"/>
        <v>0</v>
      </c>
      <c r="J29" s="28"/>
      <c r="N29" s="45"/>
    </row>
    <row r="30" spans="1:16" s="12" customFormat="1" ht="12" customHeight="1" outlineLevel="1" x14ac:dyDescent="0.2">
      <c r="A30" s="34" t="s">
        <v>51</v>
      </c>
      <c r="B30" s="13" t="s">
        <v>54</v>
      </c>
      <c r="C30" s="9" t="s">
        <v>47</v>
      </c>
      <c r="D30" s="28">
        <v>1</v>
      </c>
      <c r="E30" s="28">
        <v>0</v>
      </c>
      <c r="F30" s="28">
        <f t="shared" si="0"/>
        <v>0</v>
      </c>
      <c r="J30" s="28"/>
      <c r="N30" s="45"/>
    </row>
    <row r="31" spans="1:16" s="12" customFormat="1" ht="12" customHeight="1" outlineLevel="1" x14ac:dyDescent="0.2">
      <c r="A31" s="34" t="s">
        <v>155</v>
      </c>
      <c r="B31" s="13" t="s">
        <v>154</v>
      </c>
      <c r="C31" s="9" t="s">
        <v>47</v>
      </c>
      <c r="D31" s="28">
        <v>85</v>
      </c>
      <c r="E31" s="28">
        <v>0</v>
      </c>
      <c r="F31" s="28">
        <f t="shared" si="0"/>
        <v>0</v>
      </c>
      <c r="J31" s="28"/>
      <c r="N31" s="45"/>
    </row>
    <row r="32" spans="1:16" s="12" customFormat="1" ht="10.199999999999999" outlineLevel="1" x14ac:dyDescent="0.2">
      <c r="A32" s="34" t="s">
        <v>156</v>
      </c>
      <c r="B32" s="80" t="s">
        <v>197</v>
      </c>
      <c r="C32" s="9" t="s">
        <v>22</v>
      </c>
      <c r="D32" s="28">
        <v>1</v>
      </c>
      <c r="E32" s="28"/>
      <c r="F32" s="28"/>
      <c r="J32" s="28"/>
      <c r="N32" s="45"/>
    </row>
    <row r="33" spans="1:16" s="12" customFormat="1" ht="10.199999999999999" outlineLevel="1" x14ac:dyDescent="0.2">
      <c r="A33" s="34"/>
      <c r="B33" s="84"/>
      <c r="C33" s="9"/>
      <c r="D33" s="28"/>
      <c r="E33" s="28"/>
      <c r="F33" s="28"/>
      <c r="J33" s="28"/>
      <c r="N33" s="45"/>
    </row>
    <row r="34" spans="1:16" s="6" customFormat="1" ht="12.75" customHeight="1" x14ac:dyDescent="0.3">
      <c r="A34" s="64">
        <v>3</v>
      </c>
      <c r="B34" s="65" t="s">
        <v>39</v>
      </c>
      <c r="C34" s="64"/>
      <c r="D34" s="66"/>
      <c r="E34" s="67"/>
      <c r="F34" s="68"/>
      <c r="H34" s="40"/>
      <c r="N34" s="41"/>
      <c r="O34" s="42"/>
      <c r="P34" s="42"/>
    </row>
    <row r="35" spans="1:16" s="12" customFormat="1" ht="20.399999999999999" outlineLevel="1" x14ac:dyDescent="0.2">
      <c r="A35" s="77" t="s">
        <v>14</v>
      </c>
      <c r="B35" s="36" t="s">
        <v>2248</v>
      </c>
      <c r="C35" s="9" t="s">
        <v>22</v>
      </c>
      <c r="D35" s="28">
        <v>1</v>
      </c>
      <c r="E35" s="28">
        <v>0</v>
      </c>
      <c r="F35" s="28">
        <f>ROUND(J35*E35,2)</f>
        <v>0</v>
      </c>
      <c r="J35" s="28"/>
      <c r="N35" s="45"/>
    </row>
    <row r="36" spans="1:16" x14ac:dyDescent="0.25">
      <c r="C36" s="1"/>
      <c r="D36" s="37"/>
    </row>
    <row r="37" spans="1:16" x14ac:dyDescent="0.25">
      <c r="D37" s="37"/>
    </row>
    <row r="38" spans="1:16" x14ac:dyDescent="0.25">
      <c r="D38" s="37"/>
    </row>
    <row r="39" spans="1:16" ht="13.2" x14ac:dyDescent="0.25">
      <c r="A39" s="2"/>
      <c r="D39" s="37"/>
      <c r="H39" s="2"/>
      <c r="N39" s="2"/>
    </row>
    <row r="40" spans="1:16" ht="13.2" x14ac:dyDescent="0.25">
      <c r="A40" s="2"/>
      <c r="D40" s="37"/>
      <c r="H40" s="2"/>
      <c r="N40" s="2"/>
    </row>
    <row r="41" spans="1:16" ht="13.2" x14ac:dyDescent="0.25">
      <c r="A41" s="2"/>
      <c r="D41" s="37"/>
      <c r="H41" s="2"/>
      <c r="N41" s="2"/>
    </row>
    <row r="42" spans="1:16" ht="13.2" x14ac:dyDescent="0.25">
      <c r="A42" s="2"/>
      <c r="D42" s="37"/>
      <c r="H42" s="2"/>
      <c r="N42" s="2"/>
    </row>
    <row r="43" spans="1:16" ht="13.2" x14ac:dyDescent="0.25">
      <c r="A43" s="2"/>
      <c r="D43" s="37"/>
      <c r="H43" s="2"/>
      <c r="N43" s="2"/>
    </row>
    <row r="44" spans="1:16" ht="13.2" x14ac:dyDescent="0.25">
      <c r="A44" s="2"/>
      <c r="D44" s="37"/>
      <c r="H44" s="2"/>
      <c r="N44" s="2"/>
    </row>
    <row r="45" spans="1:16" ht="13.2" x14ac:dyDescent="0.25">
      <c r="A45" s="2"/>
      <c r="D45" s="37"/>
      <c r="H45" s="2"/>
      <c r="N45" s="2"/>
    </row>
    <row r="54" spans="7:7" s="2" customFormat="1" ht="13.2" x14ac:dyDescent="0.25">
      <c r="G54" s="27"/>
    </row>
  </sheetData>
  <mergeCells count="2">
    <mergeCell ref="A1:C1"/>
    <mergeCell ref="E1:F1"/>
  </mergeCells>
  <phoneticPr fontId="3"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B18"/>
  <sheetViews>
    <sheetView workbookViewId="0">
      <selection activeCell="B22" sqref="B22"/>
    </sheetView>
  </sheetViews>
  <sheetFormatPr defaultRowHeight="12.6" x14ac:dyDescent="0.25"/>
  <cols>
    <col min="1" max="1" width="25" customWidth="1"/>
    <col min="2" max="2" width="23.44140625" customWidth="1"/>
  </cols>
  <sheetData>
    <row r="1" spans="1:2" s="92" customFormat="1" ht="18" thickBot="1" x14ac:dyDescent="0.5">
      <c r="A1" s="107" t="s">
        <v>1905</v>
      </c>
      <c r="B1" s="108"/>
    </row>
    <row r="2" spans="1:2" s="90" customFormat="1" ht="13.8" x14ac:dyDescent="0.3">
      <c r="A2" s="109" t="s">
        <v>1906</v>
      </c>
      <c r="B2" s="110">
        <v>5577.6</v>
      </c>
    </row>
    <row r="3" spans="1:2" s="90" customFormat="1" ht="13.8" x14ac:dyDescent="0.3">
      <c r="A3" s="111" t="s">
        <v>1907</v>
      </c>
      <c r="B3" s="112">
        <v>3880.75</v>
      </c>
    </row>
    <row r="4" spans="1:2" s="90" customFormat="1" ht="13.8" x14ac:dyDescent="0.3">
      <c r="A4" s="111" t="s">
        <v>1908</v>
      </c>
      <c r="B4" s="112">
        <v>2801.32</v>
      </c>
    </row>
    <row r="5" spans="1:2" s="90" customFormat="1" ht="13.8" x14ac:dyDescent="0.3">
      <c r="A5" s="111" t="s">
        <v>1909</v>
      </c>
      <c r="B5" s="114">
        <v>2488.23</v>
      </c>
    </row>
    <row r="6" spans="1:2" s="90" customFormat="1" ht="13.8" x14ac:dyDescent="0.3">
      <c r="A6" s="111" t="s">
        <v>1910</v>
      </c>
      <c r="B6" s="114">
        <v>2488.23</v>
      </c>
    </row>
    <row r="7" spans="1:2" s="90" customFormat="1" ht="13.8" x14ac:dyDescent="0.3">
      <c r="A7" s="111" t="s">
        <v>1911</v>
      </c>
      <c r="B7" s="114">
        <v>2488.23</v>
      </c>
    </row>
    <row r="8" spans="1:2" s="90" customFormat="1" ht="13.8" x14ac:dyDescent="0.3">
      <c r="A8" s="111" t="s">
        <v>1912</v>
      </c>
      <c r="B8" s="115">
        <v>2317.0700000000002</v>
      </c>
    </row>
    <row r="9" spans="1:2" x14ac:dyDescent="0.25">
      <c r="A9" s="111" t="s">
        <v>1913</v>
      </c>
      <c r="B9" s="115">
        <v>2317.0700000000002</v>
      </c>
    </row>
    <row r="10" spans="1:2" x14ac:dyDescent="0.25">
      <c r="A10" s="111" t="s">
        <v>1914</v>
      </c>
      <c r="B10" s="115">
        <v>2317.0700000000002</v>
      </c>
    </row>
    <row r="11" spans="1:2" x14ac:dyDescent="0.25">
      <c r="A11" s="111" t="s">
        <v>1915</v>
      </c>
      <c r="B11" s="112">
        <v>2364.7199999999998</v>
      </c>
    </row>
    <row r="12" spans="1:2" x14ac:dyDescent="0.25">
      <c r="A12" s="111" t="s">
        <v>1916</v>
      </c>
      <c r="B12" s="115">
        <v>2317.0700000000002</v>
      </c>
    </row>
    <row r="13" spans="1:2" x14ac:dyDescent="0.25">
      <c r="A13" s="111" t="s">
        <v>1917</v>
      </c>
      <c r="B13" s="116">
        <v>0</v>
      </c>
    </row>
    <row r="14" spans="1:2" x14ac:dyDescent="0.25">
      <c r="A14" s="111" t="s">
        <v>1918</v>
      </c>
      <c r="B14" s="116">
        <v>0</v>
      </c>
    </row>
    <row r="15" spans="1:2" x14ac:dyDescent="0.25">
      <c r="A15" s="111" t="s">
        <v>1919</v>
      </c>
      <c r="B15" s="116">
        <v>0</v>
      </c>
    </row>
    <row r="16" spans="1:2" x14ac:dyDescent="0.25">
      <c r="A16" s="111" t="s">
        <v>1920</v>
      </c>
      <c r="B16" s="116">
        <v>0</v>
      </c>
    </row>
    <row r="17" spans="1:2" x14ac:dyDescent="0.25">
      <c r="A17" s="111" t="s">
        <v>1921</v>
      </c>
      <c r="B17" s="116">
        <v>0</v>
      </c>
    </row>
    <row r="18" spans="1:2" ht="14.4" x14ac:dyDescent="0.3">
      <c r="A18" s="111"/>
      <c r="B18" s="113">
        <f>SUM(B2:B17)</f>
        <v>31357.360000000001</v>
      </c>
    </row>
  </sheetData>
  <pageMargins left="0.511811024" right="0.511811024" top="0.78740157499999996" bottom="0.78740157499999996" header="0.31496062000000002" footer="0.31496062000000002"/>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IV40"/>
  <sheetViews>
    <sheetView workbookViewId="0">
      <selection activeCell="H29" sqref="H29"/>
    </sheetView>
  </sheetViews>
  <sheetFormatPr defaultRowHeight="13.2" x14ac:dyDescent="0.25"/>
  <cols>
    <col min="1" max="1" width="22.5546875" style="2" customWidth="1"/>
    <col min="2" max="2" width="6.109375" style="170" customWidth="1"/>
    <col min="3" max="3" width="10.33203125" style="2" bestFit="1" customWidth="1"/>
    <col min="4" max="4" width="5.6640625" style="1" customWidth="1"/>
    <col min="5" max="5" width="12.88671875" style="1" bestFit="1" customWidth="1"/>
    <col min="6" max="6" width="8.33203125" style="2" customWidth="1"/>
    <col min="7" max="7" width="12.88671875" style="2" bestFit="1" customWidth="1"/>
    <col min="8" max="8" width="13.33203125" style="2" customWidth="1"/>
    <col min="9" max="9" width="12.88671875" style="2" bestFit="1" customWidth="1"/>
    <col min="10" max="10" width="9.33203125" style="2" customWidth="1"/>
    <col min="11" max="256" width="9.109375" style="2"/>
    <col min="257" max="257" width="22.5546875" style="2" customWidth="1"/>
    <col min="258" max="258" width="6.109375" style="2" customWidth="1"/>
    <col min="259" max="259" width="10.33203125" style="2" bestFit="1" customWidth="1"/>
    <col min="260" max="260" width="5.6640625" style="2" customWidth="1"/>
    <col min="261" max="261" width="12.88671875" style="2" bestFit="1" customWidth="1"/>
    <col min="262" max="262" width="8.33203125" style="2" customWidth="1"/>
    <col min="263" max="263" width="12.88671875" style="2" bestFit="1" customWidth="1"/>
    <col min="264" max="264" width="13.33203125" style="2" customWidth="1"/>
    <col min="265" max="265" width="12.88671875" style="2" bestFit="1" customWidth="1"/>
    <col min="266" max="266" width="9.33203125" style="2" customWidth="1"/>
    <col min="267" max="512" width="9.109375" style="2"/>
    <col min="513" max="513" width="22.5546875" style="2" customWidth="1"/>
    <col min="514" max="514" width="6.109375" style="2" customWidth="1"/>
    <col min="515" max="515" width="10.33203125" style="2" bestFit="1" customWidth="1"/>
    <col min="516" max="516" width="5.6640625" style="2" customWidth="1"/>
    <col min="517" max="517" width="12.88671875" style="2" bestFit="1" customWidth="1"/>
    <col min="518" max="518" width="8.33203125" style="2" customWidth="1"/>
    <col min="519" max="519" width="12.88671875" style="2" bestFit="1" customWidth="1"/>
    <col min="520" max="520" width="13.33203125" style="2" customWidth="1"/>
    <col min="521" max="521" width="12.88671875" style="2" bestFit="1" customWidth="1"/>
    <col min="522" max="522" width="9.33203125" style="2" customWidth="1"/>
    <col min="523" max="768" width="9.109375" style="2"/>
    <col min="769" max="769" width="22.5546875" style="2" customWidth="1"/>
    <col min="770" max="770" width="6.109375" style="2" customWidth="1"/>
    <col min="771" max="771" width="10.33203125" style="2" bestFit="1" customWidth="1"/>
    <col min="772" max="772" width="5.6640625" style="2" customWidth="1"/>
    <col min="773" max="773" width="12.88671875" style="2" bestFit="1" customWidth="1"/>
    <col min="774" max="774" width="8.33203125" style="2" customWidth="1"/>
    <col min="775" max="775" width="12.88671875" style="2" bestFit="1" customWidth="1"/>
    <col min="776" max="776" width="13.33203125" style="2" customWidth="1"/>
    <col min="777" max="777" width="12.88671875" style="2" bestFit="1" customWidth="1"/>
    <col min="778" max="778" width="9.33203125" style="2" customWidth="1"/>
    <col min="779" max="1024" width="9.109375" style="2"/>
    <col min="1025" max="1025" width="22.5546875" style="2" customWidth="1"/>
    <col min="1026" max="1026" width="6.109375" style="2" customWidth="1"/>
    <col min="1027" max="1027" width="10.33203125" style="2" bestFit="1" customWidth="1"/>
    <col min="1028" max="1028" width="5.6640625" style="2" customWidth="1"/>
    <col min="1029" max="1029" width="12.88671875" style="2" bestFit="1" customWidth="1"/>
    <col min="1030" max="1030" width="8.33203125" style="2" customWidth="1"/>
    <col min="1031" max="1031" width="12.88671875" style="2" bestFit="1" customWidth="1"/>
    <col min="1032" max="1032" width="13.33203125" style="2" customWidth="1"/>
    <col min="1033" max="1033" width="12.88671875" style="2" bestFit="1" customWidth="1"/>
    <col min="1034" max="1034" width="9.33203125" style="2" customWidth="1"/>
    <col min="1035" max="1280" width="9.109375" style="2"/>
    <col min="1281" max="1281" width="22.5546875" style="2" customWidth="1"/>
    <col min="1282" max="1282" width="6.109375" style="2" customWidth="1"/>
    <col min="1283" max="1283" width="10.33203125" style="2" bestFit="1" customWidth="1"/>
    <col min="1284" max="1284" width="5.6640625" style="2" customWidth="1"/>
    <col min="1285" max="1285" width="12.88671875" style="2" bestFit="1" customWidth="1"/>
    <col min="1286" max="1286" width="8.33203125" style="2" customWidth="1"/>
    <col min="1287" max="1287" width="12.88671875" style="2" bestFit="1" customWidth="1"/>
    <col min="1288" max="1288" width="13.33203125" style="2" customWidth="1"/>
    <col min="1289" max="1289" width="12.88671875" style="2" bestFit="1" customWidth="1"/>
    <col min="1290" max="1290" width="9.33203125" style="2" customWidth="1"/>
    <col min="1291" max="1536" width="9.109375" style="2"/>
    <col min="1537" max="1537" width="22.5546875" style="2" customWidth="1"/>
    <col min="1538" max="1538" width="6.109375" style="2" customWidth="1"/>
    <col min="1539" max="1539" width="10.33203125" style="2" bestFit="1" customWidth="1"/>
    <col min="1540" max="1540" width="5.6640625" style="2" customWidth="1"/>
    <col min="1541" max="1541" width="12.88671875" style="2" bestFit="1" customWidth="1"/>
    <col min="1542" max="1542" width="8.33203125" style="2" customWidth="1"/>
    <col min="1543" max="1543" width="12.88671875" style="2" bestFit="1" customWidth="1"/>
    <col min="1544" max="1544" width="13.33203125" style="2" customWidth="1"/>
    <col min="1545" max="1545" width="12.88671875" style="2" bestFit="1" customWidth="1"/>
    <col min="1546" max="1546" width="9.33203125" style="2" customWidth="1"/>
    <col min="1547" max="1792" width="9.109375" style="2"/>
    <col min="1793" max="1793" width="22.5546875" style="2" customWidth="1"/>
    <col min="1794" max="1794" width="6.109375" style="2" customWidth="1"/>
    <col min="1795" max="1795" width="10.33203125" style="2" bestFit="1" customWidth="1"/>
    <col min="1796" max="1796" width="5.6640625" style="2" customWidth="1"/>
    <col min="1797" max="1797" width="12.88671875" style="2" bestFit="1" customWidth="1"/>
    <col min="1798" max="1798" width="8.33203125" style="2" customWidth="1"/>
    <col min="1799" max="1799" width="12.88671875" style="2" bestFit="1" customWidth="1"/>
    <col min="1800" max="1800" width="13.33203125" style="2" customWidth="1"/>
    <col min="1801" max="1801" width="12.88671875" style="2" bestFit="1" customWidth="1"/>
    <col min="1802" max="1802" width="9.33203125" style="2" customWidth="1"/>
    <col min="1803" max="2048" width="9.109375" style="2"/>
    <col min="2049" max="2049" width="22.5546875" style="2" customWidth="1"/>
    <col min="2050" max="2050" width="6.109375" style="2" customWidth="1"/>
    <col min="2051" max="2051" width="10.33203125" style="2" bestFit="1" customWidth="1"/>
    <col min="2052" max="2052" width="5.6640625" style="2" customWidth="1"/>
    <col min="2053" max="2053" width="12.88671875" style="2" bestFit="1" customWidth="1"/>
    <col min="2054" max="2054" width="8.33203125" style="2" customWidth="1"/>
    <col min="2055" max="2055" width="12.88671875" style="2" bestFit="1" customWidth="1"/>
    <col min="2056" max="2056" width="13.33203125" style="2" customWidth="1"/>
    <col min="2057" max="2057" width="12.88671875" style="2" bestFit="1" customWidth="1"/>
    <col min="2058" max="2058" width="9.33203125" style="2" customWidth="1"/>
    <col min="2059" max="2304" width="9.109375" style="2"/>
    <col min="2305" max="2305" width="22.5546875" style="2" customWidth="1"/>
    <col min="2306" max="2306" width="6.109375" style="2" customWidth="1"/>
    <col min="2307" max="2307" width="10.33203125" style="2" bestFit="1" customWidth="1"/>
    <col min="2308" max="2308" width="5.6640625" style="2" customWidth="1"/>
    <col min="2309" max="2309" width="12.88671875" style="2" bestFit="1" customWidth="1"/>
    <col min="2310" max="2310" width="8.33203125" style="2" customWidth="1"/>
    <col min="2311" max="2311" width="12.88671875" style="2" bestFit="1" customWidth="1"/>
    <col min="2312" max="2312" width="13.33203125" style="2" customWidth="1"/>
    <col min="2313" max="2313" width="12.88671875" style="2" bestFit="1" customWidth="1"/>
    <col min="2314" max="2314" width="9.33203125" style="2" customWidth="1"/>
    <col min="2315" max="2560" width="9.109375" style="2"/>
    <col min="2561" max="2561" width="22.5546875" style="2" customWidth="1"/>
    <col min="2562" max="2562" width="6.109375" style="2" customWidth="1"/>
    <col min="2563" max="2563" width="10.33203125" style="2" bestFit="1" customWidth="1"/>
    <col min="2564" max="2564" width="5.6640625" style="2" customWidth="1"/>
    <col min="2565" max="2565" width="12.88671875" style="2" bestFit="1" customWidth="1"/>
    <col min="2566" max="2566" width="8.33203125" style="2" customWidth="1"/>
    <col min="2567" max="2567" width="12.88671875" style="2" bestFit="1" customWidth="1"/>
    <col min="2568" max="2568" width="13.33203125" style="2" customWidth="1"/>
    <col min="2569" max="2569" width="12.88671875" style="2" bestFit="1" customWidth="1"/>
    <col min="2570" max="2570" width="9.33203125" style="2" customWidth="1"/>
    <col min="2571" max="2816" width="9.109375" style="2"/>
    <col min="2817" max="2817" width="22.5546875" style="2" customWidth="1"/>
    <col min="2818" max="2818" width="6.109375" style="2" customWidth="1"/>
    <col min="2819" max="2819" width="10.33203125" style="2" bestFit="1" customWidth="1"/>
    <col min="2820" max="2820" width="5.6640625" style="2" customWidth="1"/>
    <col min="2821" max="2821" width="12.88671875" style="2" bestFit="1" customWidth="1"/>
    <col min="2822" max="2822" width="8.33203125" style="2" customWidth="1"/>
    <col min="2823" max="2823" width="12.88671875" style="2" bestFit="1" customWidth="1"/>
    <col min="2824" max="2824" width="13.33203125" style="2" customWidth="1"/>
    <col min="2825" max="2825" width="12.88671875" style="2" bestFit="1" customWidth="1"/>
    <col min="2826" max="2826" width="9.33203125" style="2" customWidth="1"/>
    <col min="2827" max="3072" width="9.109375" style="2"/>
    <col min="3073" max="3073" width="22.5546875" style="2" customWidth="1"/>
    <col min="3074" max="3074" width="6.109375" style="2" customWidth="1"/>
    <col min="3075" max="3075" width="10.33203125" style="2" bestFit="1" customWidth="1"/>
    <col min="3076" max="3076" width="5.6640625" style="2" customWidth="1"/>
    <col min="3077" max="3077" width="12.88671875" style="2" bestFit="1" customWidth="1"/>
    <col min="3078" max="3078" width="8.33203125" style="2" customWidth="1"/>
    <col min="3079" max="3079" width="12.88671875" style="2" bestFit="1" customWidth="1"/>
    <col min="3080" max="3080" width="13.33203125" style="2" customWidth="1"/>
    <col min="3081" max="3081" width="12.88671875" style="2" bestFit="1" customWidth="1"/>
    <col min="3082" max="3082" width="9.33203125" style="2" customWidth="1"/>
    <col min="3083" max="3328" width="9.109375" style="2"/>
    <col min="3329" max="3329" width="22.5546875" style="2" customWidth="1"/>
    <col min="3330" max="3330" width="6.109375" style="2" customWidth="1"/>
    <col min="3331" max="3331" width="10.33203125" style="2" bestFit="1" customWidth="1"/>
    <col min="3332" max="3332" width="5.6640625" style="2" customWidth="1"/>
    <col min="3333" max="3333" width="12.88671875" style="2" bestFit="1" customWidth="1"/>
    <col min="3334" max="3334" width="8.33203125" style="2" customWidth="1"/>
    <col min="3335" max="3335" width="12.88671875" style="2" bestFit="1" customWidth="1"/>
    <col min="3336" max="3336" width="13.33203125" style="2" customWidth="1"/>
    <col min="3337" max="3337" width="12.88671875" style="2" bestFit="1" customWidth="1"/>
    <col min="3338" max="3338" width="9.33203125" style="2" customWidth="1"/>
    <col min="3339" max="3584" width="9.109375" style="2"/>
    <col min="3585" max="3585" width="22.5546875" style="2" customWidth="1"/>
    <col min="3586" max="3586" width="6.109375" style="2" customWidth="1"/>
    <col min="3587" max="3587" width="10.33203125" style="2" bestFit="1" customWidth="1"/>
    <col min="3588" max="3588" width="5.6640625" style="2" customWidth="1"/>
    <col min="3589" max="3589" width="12.88671875" style="2" bestFit="1" customWidth="1"/>
    <col min="3590" max="3590" width="8.33203125" style="2" customWidth="1"/>
    <col min="3591" max="3591" width="12.88671875" style="2" bestFit="1" customWidth="1"/>
    <col min="3592" max="3592" width="13.33203125" style="2" customWidth="1"/>
    <col min="3593" max="3593" width="12.88671875" style="2" bestFit="1" customWidth="1"/>
    <col min="3594" max="3594" width="9.33203125" style="2" customWidth="1"/>
    <col min="3595" max="3840" width="9.109375" style="2"/>
    <col min="3841" max="3841" width="22.5546875" style="2" customWidth="1"/>
    <col min="3842" max="3842" width="6.109375" style="2" customWidth="1"/>
    <col min="3843" max="3843" width="10.33203125" style="2" bestFit="1" customWidth="1"/>
    <col min="3844" max="3844" width="5.6640625" style="2" customWidth="1"/>
    <col min="3845" max="3845" width="12.88671875" style="2" bestFit="1" customWidth="1"/>
    <col min="3846" max="3846" width="8.33203125" style="2" customWidth="1"/>
    <col min="3847" max="3847" width="12.88671875" style="2" bestFit="1" customWidth="1"/>
    <col min="3848" max="3848" width="13.33203125" style="2" customWidth="1"/>
    <col min="3849" max="3849" width="12.88671875" style="2" bestFit="1" customWidth="1"/>
    <col min="3850" max="3850" width="9.33203125" style="2" customWidth="1"/>
    <col min="3851" max="4096" width="9.109375" style="2"/>
    <col min="4097" max="4097" width="22.5546875" style="2" customWidth="1"/>
    <col min="4098" max="4098" width="6.109375" style="2" customWidth="1"/>
    <col min="4099" max="4099" width="10.33203125" style="2" bestFit="1" customWidth="1"/>
    <col min="4100" max="4100" width="5.6640625" style="2" customWidth="1"/>
    <col min="4101" max="4101" width="12.88671875" style="2" bestFit="1" customWidth="1"/>
    <col min="4102" max="4102" width="8.33203125" style="2" customWidth="1"/>
    <col min="4103" max="4103" width="12.88671875" style="2" bestFit="1" customWidth="1"/>
    <col min="4104" max="4104" width="13.33203125" style="2" customWidth="1"/>
    <col min="4105" max="4105" width="12.88671875" style="2" bestFit="1" customWidth="1"/>
    <col min="4106" max="4106" width="9.33203125" style="2" customWidth="1"/>
    <col min="4107" max="4352" width="9.109375" style="2"/>
    <col min="4353" max="4353" width="22.5546875" style="2" customWidth="1"/>
    <col min="4354" max="4354" width="6.109375" style="2" customWidth="1"/>
    <col min="4355" max="4355" width="10.33203125" style="2" bestFit="1" customWidth="1"/>
    <col min="4356" max="4356" width="5.6640625" style="2" customWidth="1"/>
    <col min="4357" max="4357" width="12.88671875" style="2" bestFit="1" customWidth="1"/>
    <col min="4358" max="4358" width="8.33203125" style="2" customWidth="1"/>
    <col min="4359" max="4359" width="12.88671875" style="2" bestFit="1" customWidth="1"/>
    <col min="4360" max="4360" width="13.33203125" style="2" customWidth="1"/>
    <col min="4361" max="4361" width="12.88671875" style="2" bestFit="1" customWidth="1"/>
    <col min="4362" max="4362" width="9.33203125" style="2" customWidth="1"/>
    <col min="4363" max="4608" width="9.109375" style="2"/>
    <col min="4609" max="4609" width="22.5546875" style="2" customWidth="1"/>
    <col min="4610" max="4610" width="6.109375" style="2" customWidth="1"/>
    <col min="4611" max="4611" width="10.33203125" style="2" bestFit="1" customWidth="1"/>
    <col min="4612" max="4612" width="5.6640625" style="2" customWidth="1"/>
    <col min="4613" max="4613" width="12.88671875" style="2" bestFit="1" customWidth="1"/>
    <col min="4614" max="4614" width="8.33203125" style="2" customWidth="1"/>
    <col min="4615" max="4615" width="12.88671875" style="2" bestFit="1" customWidth="1"/>
    <col min="4616" max="4616" width="13.33203125" style="2" customWidth="1"/>
    <col min="4617" max="4617" width="12.88671875" style="2" bestFit="1" customWidth="1"/>
    <col min="4618" max="4618" width="9.33203125" style="2" customWidth="1"/>
    <col min="4619" max="4864" width="9.109375" style="2"/>
    <col min="4865" max="4865" width="22.5546875" style="2" customWidth="1"/>
    <col min="4866" max="4866" width="6.109375" style="2" customWidth="1"/>
    <col min="4867" max="4867" width="10.33203125" style="2" bestFit="1" customWidth="1"/>
    <col min="4868" max="4868" width="5.6640625" style="2" customWidth="1"/>
    <col min="4869" max="4869" width="12.88671875" style="2" bestFit="1" customWidth="1"/>
    <col min="4870" max="4870" width="8.33203125" style="2" customWidth="1"/>
    <col min="4871" max="4871" width="12.88671875" style="2" bestFit="1" customWidth="1"/>
    <col min="4872" max="4872" width="13.33203125" style="2" customWidth="1"/>
    <col min="4873" max="4873" width="12.88671875" style="2" bestFit="1" customWidth="1"/>
    <col min="4874" max="4874" width="9.33203125" style="2" customWidth="1"/>
    <col min="4875" max="5120" width="9.109375" style="2"/>
    <col min="5121" max="5121" width="22.5546875" style="2" customWidth="1"/>
    <col min="5122" max="5122" width="6.109375" style="2" customWidth="1"/>
    <col min="5123" max="5123" width="10.33203125" style="2" bestFit="1" customWidth="1"/>
    <col min="5124" max="5124" width="5.6640625" style="2" customWidth="1"/>
    <col min="5125" max="5125" width="12.88671875" style="2" bestFit="1" customWidth="1"/>
    <col min="5126" max="5126" width="8.33203125" style="2" customWidth="1"/>
    <col min="5127" max="5127" width="12.88671875" style="2" bestFit="1" customWidth="1"/>
    <col min="5128" max="5128" width="13.33203125" style="2" customWidth="1"/>
    <col min="5129" max="5129" width="12.88671875" style="2" bestFit="1" customWidth="1"/>
    <col min="5130" max="5130" width="9.33203125" style="2" customWidth="1"/>
    <col min="5131" max="5376" width="9.109375" style="2"/>
    <col min="5377" max="5377" width="22.5546875" style="2" customWidth="1"/>
    <col min="5378" max="5378" width="6.109375" style="2" customWidth="1"/>
    <col min="5379" max="5379" width="10.33203125" style="2" bestFit="1" customWidth="1"/>
    <col min="5380" max="5380" width="5.6640625" style="2" customWidth="1"/>
    <col min="5381" max="5381" width="12.88671875" style="2" bestFit="1" customWidth="1"/>
    <col min="5382" max="5382" width="8.33203125" style="2" customWidth="1"/>
    <col min="5383" max="5383" width="12.88671875" style="2" bestFit="1" customWidth="1"/>
    <col min="5384" max="5384" width="13.33203125" style="2" customWidth="1"/>
    <col min="5385" max="5385" width="12.88671875" style="2" bestFit="1" customWidth="1"/>
    <col min="5386" max="5386" width="9.33203125" style="2" customWidth="1"/>
    <col min="5387" max="5632" width="9.109375" style="2"/>
    <col min="5633" max="5633" width="22.5546875" style="2" customWidth="1"/>
    <col min="5634" max="5634" width="6.109375" style="2" customWidth="1"/>
    <col min="5635" max="5635" width="10.33203125" style="2" bestFit="1" customWidth="1"/>
    <col min="5636" max="5636" width="5.6640625" style="2" customWidth="1"/>
    <col min="5637" max="5637" width="12.88671875" style="2" bestFit="1" customWidth="1"/>
    <col min="5638" max="5638" width="8.33203125" style="2" customWidth="1"/>
    <col min="5639" max="5639" width="12.88671875" style="2" bestFit="1" customWidth="1"/>
    <col min="5640" max="5640" width="13.33203125" style="2" customWidth="1"/>
    <col min="5641" max="5641" width="12.88671875" style="2" bestFit="1" customWidth="1"/>
    <col min="5642" max="5642" width="9.33203125" style="2" customWidth="1"/>
    <col min="5643" max="5888" width="9.109375" style="2"/>
    <col min="5889" max="5889" width="22.5546875" style="2" customWidth="1"/>
    <col min="5890" max="5890" width="6.109375" style="2" customWidth="1"/>
    <col min="5891" max="5891" width="10.33203125" style="2" bestFit="1" customWidth="1"/>
    <col min="5892" max="5892" width="5.6640625" style="2" customWidth="1"/>
    <col min="5893" max="5893" width="12.88671875" style="2" bestFit="1" customWidth="1"/>
    <col min="5894" max="5894" width="8.33203125" style="2" customWidth="1"/>
    <col min="5895" max="5895" width="12.88671875" style="2" bestFit="1" customWidth="1"/>
    <col min="5896" max="5896" width="13.33203125" style="2" customWidth="1"/>
    <col min="5897" max="5897" width="12.88671875" style="2" bestFit="1" customWidth="1"/>
    <col min="5898" max="5898" width="9.33203125" style="2" customWidth="1"/>
    <col min="5899" max="6144" width="9.109375" style="2"/>
    <col min="6145" max="6145" width="22.5546875" style="2" customWidth="1"/>
    <col min="6146" max="6146" width="6.109375" style="2" customWidth="1"/>
    <col min="6147" max="6147" width="10.33203125" style="2" bestFit="1" customWidth="1"/>
    <col min="6148" max="6148" width="5.6640625" style="2" customWidth="1"/>
    <col min="6149" max="6149" width="12.88671875" style="2" bestFit="1" customWidth="1"/>
    <col min="6150" max="6150" width="8.33203125" style="2" customWidth="1"/>
    <col min="6151" max="6151" width="12.88671875" style="2" bestFit="1" customWidth="1"/>
    <col min="6152" max="6152" width="13.33203125" style="2" customWidth="1"/>
    <col min="6153" max="6153" width="12.88671875" style="2" bestFit="1" customWidth="1"/>
    <col min="6154" max="6154" width="9.33203125" style="2" customWidth="1"/>
    <col min="6155" max="6400" width="9.109375" style="2"/>
    <col min="6401" max="6401" width="22.5546875" style="2" customWidth="1"/>
    <col min="6402" max="6402" width="6.109375" style="2" customWidth="1"/>
    <col min="6403" max="6403" width="10.33203125" style="2" bestFit="1" customWidth="1"/>
    <col min="6404" max="6404" width="5.6640625" style="2" customWidth="1"/>
    <col min="6405" max="6405" width="12.88671875" style="2" bestFit="1" customWidth="1"/>
    <col min="6406" max="6406" width="8.33203125" style="2" customWidth="1"/>
    <col min="6407" max="6407" width="12.88671875" style="2" bestFit="1" customWidth="1"/>
    <col min="6408" max="6408" width="13.33203125" style="2" customWidth="1"/>
    <col min="6409" max="6409" width="12.88671875" style="2" bestFit="1" customWidth="1"/>
    <col min="6410" max="6410" width="9.33203125" style="2" customWidth="1"/>
    <col min="6411" max="6656" width="9.109375" style="2"/>
    <col min="6657" max="6657" width="22.5546875" style="2" customWidth="1"/>
    <col min="6658" max="6658" width="6.109375" style="2" customWidth="1"/>
    <col min="6659" max="6659" width="10.33203125" style="2" bestFit="1" customWidth="1"/>
    <col min="6660" max="6660" width="5.6640625" style="2" customWidth="1"/>
    <col min="6661" max="6661" width="12.88671875" style="2" bestFit="1" customWidth="1"/>
    <col min="6662" max="6662" width="8.33203125" style="2" customWidth="1"/>
    <col min="6663" max="6663" width="12.88671875" style="2" bestFit="1" customWidth="1"/>
    <col min="6664" max="6664" width="13.33203125" style="2" customWidth="1"/>
    <col min="6665" max="6665" width="12.88671875" style="2" bestFit="1" customWidth="1"/>
    <col min="6666" max="6666" width="9.33203125" style="2" customWidth="1"/>
    <col min="6667" max="6912" width="9.109375" style="2"/>
    <col min="6913" max="6913" width="22.5546875" style="2" customWidth="1"/>
    <col min="6914" max="6914" width="6.109375" style="2" customWidth="1"/>
    <col min="6915" max="6915" width="10.33203125" style="2" bestFit="1" customWidth="1"/>
    <col min="6916" max="6916" width="5.6640625" style="2" customWidth="1"/>
    <col min="6917" max="6917" width="12.88671875" style="2" bestFit="1" customWidth="1"/>
    <col min="6918" max="6918" width="8.33203125" style="2" customWidth="1"/>
    <col min="6919" max="6919" width="12.88671875" style="2" bestFit="1" customWidth="1"/>
    <col min="6920" max="6920" width="13.33203125" style="2" customWidth="1"/>
    <col min="6921" max="6921" width="12.88671875" style="2" bestFit="1" customWidth="1"/>
    <col min="6922" max="6922" width="9.33203125" style="2" customWidth="1"/>
    <col min="6923" max="7168" width="9.109375" style="2"/>
    <col min="7169" max="7169" width="22.5546875" style="2" customWidth="1"/>
    <col min="7170" max="7170" width="6.109375" style="2" customWidth="1"/>
    <col min="7171" max="7171" width="10.33203125" style="2" bestFit="1" customWidth="1"/>
    <col min="7172" max="7172" width="5.6640625" style="2" customWidth="1"/>
    <col min="7173" max="7173" width="12.88671875" style="2" bestFit="1" customWidth="1"/>
    <col min="7174" max="7174" width="8.33203125" style="2" customWidth="1"/>
    <col min="7175" max="7175" width="12.88671875" style="2" bestFit="1" customWidth="1"/>
    <col min="7176" max="7176" width="13.33203125" style="2" customWidth="1"/>
    <col min="7177" max="7177" width="12.88671875" style="2" bestFit="1" customWidth="1"/>
    <col min="7178" max="7178" width="9.33203125" style="2" customWidth="1"/>
    <col min="7179" max="7424" width="9.109375" style="2"/>
    <col min="7425" max="7425" width="22.5546875" style="2" customWidth="1"/>
    <col min="7426" max="7426" width="6.109375" style="2" customWidth="1"/>
    <col min="7427" max="7427" width="10.33203125" style="2" bestFit="1" customWidth="1"/>
    <col min="7428" max="7428" width="5.6640625" style="2" customWidth="1"/>
    <col min="7429" max="7429" width="12.88671875" style="2" bestFit="1" customWidth="1"/>
    <col min="7430" max="7430" width="8.33203125" style="2" customWidth="1"/>
    <col min="7431" max="7431" width="12.88671875" style="2" bestFit="1" customWidth="1"/>
    <col min="7432" max="7432" width="13.33203125" style="2" customWidth="1"/>
    <col min="7433" max="7433" width="12.88671875" style="2" bestFit="1" customWidth="1"/>
    <col min="7434" max="7434" width="9.33203125" style="2" customWidth="1"/>
    <col min="7435" max="7680" width="9.109375" style="2"/>
    <col min="7681" max="7681" width="22.5546875" style="2" customWidth="1"/>
    <col min="7682" max="7682" width="6.109375" style="2" customWidth="1"/>
    <col min="7683" max="7683" width="10.33203125" style="2" bestFit="1" customWidth="1"/>
    <col min="7684" max="7684" width="5.6640625" style="2" customWidth="1"/>
    <col min="7685" max="7685" width="12.88671875" style="2" bestFit="1" customWidth="1"/>
    <col min="7686" max="7686" width="8.33203125" style="2" customWidth="1"/>
    <col min="7687" max="7687" width="12.88671875" style="2" bestFit="1" customWidth="1"/>
    <col min="7688" max="7688" width="13.33203125" style="2" customWidth="1"/>
    <col min="7689" max="7689" width="12.88671875" style="2" bestFit="1" customWidth="1"/>
    <col min="7690" max="7690" width="9.33203125" style="2" customWidth="1"/>
    <col min="7691" max="7936" width="9.109375" style="2"/>
    <col min="7937" max="7937" width="22.5546875" style="2" customWidth="1"/>
    <col min="7938" max="7938" width="6.109375" style="2" customWidth="1"/>
    <col min="7939" max="7939" width="10.33203125" style="2" bestFit="1" customWidth="1"/>
    <col min="7940" max="7940" width="5.6640625" style="2" customWidth="1"/>
    <col min="7941" max="7941" width="12.88671875" style="2" bestFit="1" customWidth="1"/>
    <col min="7942" max="7942" width="8.33203125" style="2" customWidth="1"/>
    <col min="7943" max="7943" width="12.88671875" style="2" bestFit="1" customWidth="1"/>
    <col min="7944" max="7944" width="13.33203125" style="2" customWidth="1"/>
    <col min="7945" max="7945" width="12.88671875" style="2" bestFit="1" customWidth="1"/>
    <col min="7946" max="7946" width="9.33203125" style="2" customWidth="1"/>
    <col min="7947" max="8192" width="9.109375" style="2"/>
    <col min="8193" max="8193" width="22.5546875" style="2" customWidth="1"/>
    <col min="8194" max="8194" width="6.109375" style="2" customWidth="1"/>
    <col min="8195" max="8195" width="10.33203125" style="2" bestFit="1" customWidth="1"/>
    <col min="8196" max="8196" width="5.6640625" style="2" customWidth="1"/>
    <col min="8197" max="8197" width="12.88671875" style="2" bestFit="1" customWidth="1"/>
    <col min="8198" max="8198" width="8.33203125" style="2" customWidth="1"/>
    <col min="8199" max="8199" width="12.88671875" style="2" bestFit="1" customWidth="1"/>
    <col min="8200" max="8200" width="13.33203125" style="2" customWidth="1"/>
    <col min="8201" max="8201" width="12.88671875" style="2" bestFit="1" customWidth="1"/>
    <col min="8202" max="8202" width="9.33203125" style="2" customWidth="1"/>
    <col min="8203" max="8448" width="9.109375" style="2"/>
    <col min="8449" max="8449" width="22.5546875" style="2" customWidth="1"/>
    <col min="8450" max="8450" width="6.109375" style="2" customWidth="1"/>
    <col min="8451" max="8451" width="10.33203125" style="2" bestFit="1" customWidth="1"/>
    <col min="8452" max="8452" width="5.6640625" style="2" customWidth="1"/>
    <col min="8453" max="8453" width="12.88671875" style="2" bestFit="1" customWidth="1"/>
    <col min="8454" max="8454" width="8.33203125" style="2" customWidth="1"/>
    <col min="8455" max="8455" width="12.88671875" style="2" bestFit="1" customWidth="1"/>
    <col min="8456" max="8456" width="13.33203125" style="2" customWidth="1"/>
    <col min="8457" max="8457" width="12.88671875" style="2" bestFit="1" customWidth="1"/>
    <col min="8458" max="8458" width="9.33203125" style="2" customWidth="1"/>
    <col min="8459" max="8704" width="9.109375" style="2"/>
    <col min="8705" max="8705" width="22.5546875" style="2" customWidth="1"/>
    <col min="8706" max="8706" width="6.109375" style="2" customWidth="1"/>
    <col min="8707" max="8707" width="10.33203125" style="2" bestFit="1" customWidth="1"/>
    <col min="8708" max="8708" width="5.6640625" style="2" customWidth="1"/>
    <col min="8709" max="8709" width="12.88671875" style="2" bestFit="1" customWidth="1"/>
    <col min="8710" max="8710" width="8.33203125" style="2" customWidth="1"/>
    <col min="8711" max="8711" width="12.88671875" style="2" bestFit="1" customWidth="1"/>
    <col min="8712" max="8712" width="13.33203125" style="2" customWidth="1"/>
    <col min="8713" max="8713" width="12.88671875" style="2" bestFit="1" customWidth="1"/>
    <col min="8714" max="8714" width="9.33203125" style="2" customWidth="1"/>
    <col min="8715" max="8960" width="9.109375" style="2"/>
    <col min="8961" max="8961" width="22.5546875" style="2" customWidth="1"/>
    <col min="8962" max="8962" width="6.109375" style="2" customWidth="1"/>
    <col min="8963" max="8963" width="10.33203125" style="2" bestFit="1" customWidth="1"/>
    <col min="8964" max="8964" width="5.6640625" style="2" customWidth="1"/>
    <col min="8965" max="8965" width="12.88671875" style="2" bestFit="1" customWidth="1"/>
    <col min="8966" max="8966" width="8.33203125" style="2" customWidth="1"/>
    <col min="8967" max="8967" width="12.88671875" style="2" bestFit="1" customWidth="1"/>
    <col min="8968" max="8968" width="13.33203125" style="2" customWidth="1"/>
    <col min="8969" max="8969" width="12.88671875" style="2" bestFit="1" customWidth="1"/>
    <col min="8970" max="8970" width="9.33203125" style="2" customWidth="1"/>
    <col min="8971" max="9216" width="9.109375" style="2"/>
    <col min="9217" max="9217" width="22.5546875" style="2" customWidth="1"/>
    <col min="9218" max="9218" width="6.109375" style="2" customWidth="1"/>
    <col min="9219" max="9219" width="10.33203125" style="2" bestFit="1" customWidth="1"/>
    <col min="9220" max="9220" width="5.6640625" style="2" customWidth="1"/>
    <col min="9221" max="9221" width="12.88671875" style="2" bestFit="1" customWidth="1"/>
    <col min="9222" max="9222" width="8.33203125" style="2" customWidth="1"/>
    <col min="9223" max="9223" width="12.88671875" style="2" bestFit="1" customWidth="1"/>
    <col min="9224" max="9224" width="13.33203125" style="2" customWidth="1"/>
    <col min="9225" max="9225" width="12.88671875" style="2" bestFit="1" customWidth="1"/>
    <col min="9226" max="9226" width="9.33203125" style="2" customWidth="1"/>
    <col min="9227" max="9472" width="9.109375" style="2"/>
    <col min="9473" max="9473" width="22.5546875" style="2" customWidth="1"/>
    <col min="9474" max="9474" width="6.109375" style="2" customWidth="1"/>
    <col min="9475" max="9475" width="10.33203125" style="2" bestFit="1" customWidth="1"/>
    <col min="9476" max="9476" width="5.6640625" style="2" customWidth="1"/>
    <col min="9477" max="9477" width="12.88671875" style="2" bestFit="1" customWidth="1"/>
    <col min="9478" max="9478" width="8.33203125" style="2" customWidth="1"/>
    <col min="9479" max="9479" width="12.88671875" style="2" bestFit="1" customWidth="1"/>
    <col min="9480" max="9480" width="13.33203125" style="2" customWidth="1"/>
    <col min="9481" max="9481" width="12.88671875" style="2" bestFit="1" customWidth="1"/>
    <col min="9482" max="9482" width="9.33203125" style="2" customWidth="1"/>
    <col min="9483" max="9728" width="9.109375" style="2"/>
    <col min="9729" max="9729" width="22.5546875" style="2" customWidth="1"/>
    <col min="9730" max="9730" width="6.109375" style="2" customWidth="1"/>
    <col min="9731" max="9731" width="10.33203125" style="2" bestFit="1" customWidth="1"/>
    <col min="9732" max="9732" width="5.6640625" style="2" customWidth="1"/>
    <col min="9733" max="9733" width="12.88671875" style="2" bestFit="1" customWidth="1"/>
    <col min="9734" max="9734" width="8.33203125" style="2" customWidth="1"/>
    <col min="9735" max="9735" width="12.88671875" style="2" bestFit="1" customWidth="1"/>
    <col min="9736" max="9736" width="13.33203125" style="2" customWidth="1"/>
    <col min="9737" max="9737" width="12.88671875" style="2" bestFit="1" customWidth="1"/>
    <col min="9738" max="9738" width="9.33203125" style="2" customWidth="1"/>
    <col min="9739" max="9984" width="9.109375" style="2"/>
    <col min="9985" max="9985" width="22.5546875" style="2" customWidth="1"/>
    <col min="9986" max="9986" width="6.109375" style="2" customWidth="1"/>
    <col min="9987" max="9987" width="10.33203125" style="2" bestFit="1" customWidth="1"/>
    <col min="9988" max="9988" width="5.6640625" style="2" customWidth="1"/>
    <col min="9989" max="9989" width="12.88671875" style="2" bestFit="1" customWidth="1"/>
    <col min="9990" max="9990" width="8.33203125" style="2" customWidth="1"/>
    <col min="9991" max="9991" width="12.88671875" style="2" bestFit="1" customWidth="1"/>
    <col min="9992" max="9992" width="13.33203125" style="2" customWidth="1"/>
    <col min="9993" max="9993" width="12.88671875" style="2" bestFit="1" customWidth="1"/>
    <col min="9994" max="9994" width="9.33203125" style="2" customWidth="1"/>
    <col min="9995" max="10240" width="9.109375" style="2"/>
    <col min="10241" max="10241" width="22.5546875" style="2" customWidth="1"/>
    <col min="10242" max="10242" width="6.109375" style="2" customWidth="1"/>
    <col min="10243" max="10243" width="10.33203125" style="2" bestFit="1" customWidth="1"/>
    <col min="10244" max="10244" width="5.6640625" style="2" customWidth="1"/>
    <col min="10245" max="10245" width="12.88671875" style="2" bestFit="1" customWidth="1"/>
    <col min="10246" max="10246" width="8.33203125" style="2" customWidth="1"/>
    <col min="10247" max="10247" width="12.88671875" style="2" bestFit="1" customWidth="1"/>
    <col min="10248" max="10248" width="13.33203125" style="2" customWidth="1"/>
    <col min="10249" max="10249" width="12.88671875" style="2" bestFit="1" customWidth="1"/>
    <col min="10250" max="10250" width="9.33203125" style="2" customWidth="1"/>
    <col min="10251" max="10496" width="9.109375" style="2"/>
    <col min="10497" max="10497" width="22.5546875" style="2" customWidth="1"/>
    <col min="10498" max="10498" width="6.109375" style="2" customWidth="1"/>
    <col min="10499" max="10499" width="10.33203125" style="2" bestFit="1" customWidth="1"/>
    <col min="10500" max="10500" width="5.6640625" style="2" customWidth="1"/>
    <col min="10501" max="10501" width="12.88671875" style="2" bestFit="1" customWidth="1"/>
    <col min="10502" max="10502" width="8.33203125" style="2" customWidth="1"/>
    <col min="10503" max="10503" width="12.88671875" style="2" bestFit="1" customWidth="1"/>
    <col min="10504" max="10504" width="13.33203125" style="2" customWidth="1"/>
    <col min="10505" max="10505" width="12.88671875" style="2" bestFit="1" customWidth="1"/>
    <col min="10506" max="10506" width="9.33203125" style="2" customWidth="1"/>
    <col min="10507" max="10752" width="9.109375" style="2"/>
    <col min="10753" max="10753" width="22.5546875" style="2" customWidth="1"/>
    <col min="10754" max="10754" width="6.109375" style="2" customWidth="1"/>
    <col min="10755" max="10755" width="10.33203125" style="2" bestFit="1" customWidth="1"/>
    <col min="10756" max="10756" width="5.6640625" style="2" customWidth="1"/>
    <col min="10757" max="10757" width="12.88671875" style="2" bestFit="1" customWidth="1"/>
    <col min="10758" max="10758" width="8.33203125" style="2" customWidth="1"/>
    <col min="10759" max="10759" width="12.88671875" style="2" bestFit="1" customWidth="1"/>
    <col min="10760" max="10760" width="13.33203125" style="2" customWidth="1"/>
    <col min="10761" max="10761" width="12.88671875" style="2" bestFit="1" customWidth="1"/>
    <col min="10762" max="10762" width="9.33203125" style="2" customWidth="1"/>
    <col min="10763" max="11008" width="9.109375" style="2"/>
    <col min="11009" max="11009" width="22.5546875" style="2" customWidth="1"/>
    <col min="11010" max="11010" width="6.109375" style="2" customWidth="1"/>
    <col min="11011" max="11011" width="10.33203125" style="2" bestFit="1" customWidth="1"/>
    <col min="11012" max="11012" width="5.6640625" style="2" customWidth="1"/>
    <col min="11013" max="11013" width="12.88671875" style="2" bestFit="1" customWidth="1"/>
    <col min="11014" max="11014" width="8.33203125" style="2" customWidth="1"/>
    <col min="11015" max="11015" width="12.88671875" style="2" bestFit="1" customWidth="1"/>
    <col min="11016" max="11016" width="13.33203125" style="2" customWidth="1"/>
    <col min="11017" max="11017" width="12.88671875" style="2" bestFit="1" customWidth="1"/>
    <col min="11018" max="11018" width="9.33203125" style="2" customWidth="1"/>
    <col min="11019" max="11264" width="9.109375" style="2"/>
    <col min="11265" max="11265" width="22.5546875" style="2" customWidth="1"/>
    <col min="11266" max="11266" width="6.109375" style="2" customWidth="1"/>
    <col min="11267" max="11267" width="10.33203125" style="2" bestFit="1" customWidth="1"/>
    <col min="11268" max="11268" width="5.6640625" style="2" customWidth="1"/>
    <col min="11269" max="11269" width="12.88671875" style="2" bestFit="1" customWidth="1"/>
    <col min="11270" max="11270" width="8.33203125" style="2" customWidth="1"/>
    <col min="11271" max="11271" width="12.88671875" style="2" bestFit="1" customWidth="1"/>
    <col min="11272" max="11272" width="13.33203125" style="2" customWidth="1"/>
    <col min="11273" max="11273" width="12.88671875" style="2" bestFit="1" customWidth="1"/>
    <col min="11274" max="11274" width="9.33203125" style="2" customWidth="1"/>
    <col min="11275" max="11520" width="9.109375" style="2"/>
    <col min="11521" max="11521" width="22.5546875" style="2" customWidth="1"/>
    <col min="11522" max="11522" width="6.109375" style="2" customWidth="1"/>
    <col min="11523" max="11523" width="10.33203125" style="2" bestFit="1" customWidth="1"/>
    <col min="11524" max="11524" width="5.6640625" style="2" customWidth="1"/>
    <col min="11525" max="11525" width="12.88671875" style="2" bestFit="1" customWidth="1"/>
    <col min="11526" max="11526" width="8.33203125" style="2" customWidth="1"/>
    <col min="11527" max="11527" width="12.88671875" style="2" bestFit="1" customWidth="1"/>
    <col min="11528" max="11528" width="13.33203125" style="2" customWidth="1"/>
    <col min="11529" max="11529" width="12.88671875" style="2" bestFit="1" customWidth="1"/>
    <col min="11530" max="11530" width="9.33203125" style="2" customWidth="1"/>
    <col min="11531" max="11776" width="9.109375" style="2"/>
    <col min="11777" max="11777" width="22.5546875" style="2" customWidth="1"/>
    <col min="11778" max="11778" width="6.109375" style="2" customWidth="1"/>
    <col min="11779" max="11779" width="10.33203125" style="2" bestFit="1" customWidth="1"/>
    <col min="11780" max="11780" width="5.6640625" style="2" customWidth="1"/>
    <col min="11781" max="11781" width="12.88671875" style="2" bestFit="1" customWidth="1"/>
    <col min="11782" max="11782" width="8.33203125" style="2" customWidth="1"/>
    <col min="11783" max="11783" width="12.88671875" style="2" bestFit="1" customWidth="1"/>
    <col min="11784" max="11784" width="13.33203125" style="2" customWidth="1"/>
    <col min="11785" max="11785" width="12.88671875" style="2" bestFit="1" customWidth="1"/>
    <col min="11786" max="11786" width="9.33203125" style="2" customWidth="1"/>
    <col min="11787" max="12032" width="9.109375" style="2"/>
    <col min="12033" max="12033" width="22.5546875" style="2" customWidth="1"/>
    <col min="12034" max="12034" width="6.109375" style="2" customWidth="1"/>
    <col min="12035" max="12035" width="10.33203125" style="2" bestFit="1" customWidth="1"/>
    <col min="12036" max="12036" width="5.6640625" style="2" customWidth="1"/>
    <col min="12037" max="12037" width="12.88671875" style="2" bestFit="1" customWidth="1"/>
    <col min="12038" max="12038" width="8.33203125" style="2" customWidth="1"/>
    <col min="12039" max="12039" width="12.88671875" style="2" bestFit="1" customWidth="1"/>
    <col min="12040" max="12040" width="13.33203125" style="2" customWidth="1"/>
    <col min="12041" max="12041" width="12.88671875" style="2" bestFit="1" customWidth="1"/>
    <col min="12042" max="12042" width="9.33203125" style="2" customWidth="1"/>
    <col min="12043" max="12288" width="9.109375" style="2"/>
    <col min="12289" max="12289" width="22.5546875" style="2" customWidth="1"/>
    <col min="12290" max="12290" width="6.109375" style="2" customWidth="1"/>
    <col min="12291" max="12291" width="10.33203125" style="2" bestFit="1" customWidth="1"/>
    <col min="12292" max="12292" width="5.6640625" style="2" customWidth="1"/>
    <col min="12293" max="12293" width="12.88671875" style="2" bestFit="1" customWidth="1"/>
    <col min="12294" max="12294" width="8.33203125" style="2" customWidth="1"/>
    <col min="12295" max="12295" width="12.88671875" style="2" bestFit="1" customWidth="1"/>
    <col min="12296" max="12296" width="13.33203125" style="2" customWidth="1"/>
    <col min="12297" max="12297" width="12.88671875" style="2" bestFit="1" customWidth="1"/>
    <col min="12298" max="12298" width="9.33203125" style="2" customWidth="1"/>
    <col min="12299" max="12544" width="9.109375" style="2"/>
    <col min="12545" max="12545" width="22.5546875" style="2" customWidth="1"/>
    <col min="12546" max="12546" width="6.109375" style="2" customWidth="1"/>
    <col min="12547" max="12547" width="10.33203125" style="2" bestFit="1" customWidth="1"/>
    <col min="12548" max="12548" width="5.6640625" style="2" customWidth="1"/>
    <col min="12549" max="12549" width="12.88671875" style="2" bestFit="1" customWidth="1"/>
    <col min="12550" max="12550" width="8.33203125" style="2" customWidth="1"/>
    <col min="12551" max="12551" width="12.88671875" style="2" bestFit="1" customWidth="1"/>
    <col min="12552" max="12552" width="13.33203125" style="2" customWidth="1"/>
    <col min="12553" max="12553" width="12.88671875" style="2" bestFit="1" customWidth="1"/>
    <col min="12554" max="12554" width="9.33203125" style="2" customWidth="1"/>
    <col min="12555" max="12800" width="9.109375" style="2"/>
    <col min="12801" max="12801" width="22.5546875" style="2" customWidth="1"/>
    <col min="12802" max="12802" width="6.109375" style="2" customWidth="1"/>
    <col min="12803" max="12803" width="10.33203125" style="2" bestFit="1" customWidth="1"/>
    <col min="12804" max="12804" width="5.6640625" style="2" customWidth="1"/>
    <col min="12805" max="12805" width="12.88671875" style="2" bestFit="1" customWidth="1"/>
    <col min="12806" max="12806" width="8.33203125" style="2" customWidth="1"/>
    <col min="12807" max="12807" width="12.88671875" style="2" bestFit="1" customWidth="1"/>
    <col min="12808" max="12808" width="13.33203125" style="2" customWidth="1"/>
    <col min="12809" max="12809" width="12.88671875" style="2" bestFit="1" customWidth="1"/>
    <col min="12810" max="12810" width="9.33203125" style="2" customWidth="1"/>
    <col min="12811" max="13056" width="9.109375" style="2"/>
    <col min="13057" max="13057" width="22.5546875" style="2" customWidth="1"/>
    <col min="13058" max="13058" width="6.109375" style="2" customWidth="1"/>
    <col min="13059" max="13059" width="10.33203125" style="2" bestFit="1" customWidth="1"/>
    <col min="13060" max="13060" width="5.6640625" style="2" customWidth="1"/>
    <col min="13061" max="13061" width="12.88671875" style="2" bestFit="1" customWidth="1"/>
    <col min="13062" max="13062" width="8.33203125" style="2" customWidth="1"/>
    <col min="13063" max="13063" width="12.88671875" style="2" bestFit="1" customWidth="1"/>
    <col min="13064" max="13064" width="13.33203125" style="2" customWidth="1"/>
    <col min="13065" max="13065" width="12.88671875" style="2" bestFit="1" customWidth="1"/>
    <col min="13066" max="13066" width="9.33203125" style="2" customWidth="1"/>
    <col min="13067" max="13312" width="9.109375" style="2"/>
    <col min="13313" max="13313" width="22.5546875" style="2" customWidth="1"/>
    <col min="13314" max="13314" width="6.109375" style="2" customWidth="1"/>
    <col min="13315" max="13315" width="10.33203125" style="2" bestFit="1" customWidth="1"/>
    <col min="13316" max="13316" width="5.6640625" style="2" customWidth="1"/>
    <col min="13317" max="13317" width="12.88671875" style="2" bestFit="1" customWidth="1"/>
    <col min="13318" max="13318" width="8.33203125" style="2" customWidth="1"/>
    <col min="13319" max="13319" width="12.88671875" style="2" bestFit="1" customWidth="1"/>
    <col min="13320" max="13320" width="13.33203125" style="2" customWidth="1"/>
    <col min="13321" max="13321" width="12.88671875" style="2" bestFit="1" customWidth="1"/>
    <col min="13322" max="13322" width="9.33203125" style="2" customWidth="1"/>
    <col min="13323" max="13568" width="9.109375" style="2"/>
    <col min="13569" max="13569" width="22.5546875" style="2" customWidth="1"/>
    <col min="13570" max="13570" width="6.109375" style="2" customWidth="1"/>
    <col min="13571" max="13571" width="10.33203125" style="2" bestFit="1" customWidth="1"/>
    <col min="13572" max="13572" width="5.6640625" style="2" customWidth="1"/>
    <col min="13573" max="13573" width="12.88671875" style="2" bestFit="1" customWidth="1"/>
    <col min="13574" max="13574" width="8.33203125" style="2" customWidth="1"/>
    <col min="13575" max="13575" width="12.88671875" style="2" bestFit="1" customWidth="1"/>
    <col min="13576" max="13576" width="13.33203125" style="2" customWidth="1"/>
    <col min="13577" max="13577" width="12.88671875" style="2" bestFit="1" customWidth="1"/>
    <col min="13578" max="13578" width="9.33203125" style="2" customWidth="1"/>
    <col min="13579" max="13824" width="9.109375" style="2"/>
    <col min="13825" max="13825" width="22.5546875" style="2" customWidth="1"/>
    <col min="13826" max="13826" width="6.109375" style="2" customWidth="1"/>
    <col min="13827" max="13827" width="10.33203125" style="2" bestFit="1" customWidth="1"/>
    <col min="13828" max="13828" width="5.6640625" style="2" customWidth="1"/>
    <col min="13829" max="13829" width="12.88671875" style="2" bestFit="1" customWidth="1"/>
    <col min="13830" max="13830" width="8.33203125" style="2" customWidth="1"/>
    <col min="13831" max="13831" width="12.88671875" style="2" bestFit="1" customWidth="1"/>
    <col min="13832" max="13832" width="13.33203125" style="2" customWidth="1"/>
    <col min="13833" max="13833" width="12.88671875" style="2" bestFit="1" customWidth="1"/>
    <col min="13834" max="13834" width="9.33203125" style="2" customWidth="1"/>
    <col min="13835" max="14080" width="9.109375" style="2"/>
    <col min="14081" max="14081" width="22.5546875" style="2" customWidth="1"/>
    <col min="14082" max="14082" width="6.109375" style="2" customWidth="1"/>
    <col min="14083" max="14083" width="10.33203125" style="2" bestFit="1" customWidth="1"/>
    <col min="14084" max="14084" width="5.6640625" style="2" customWidth="1"/>
    <col min="14085" max="14085" width="12.88671875" style="2" bestFit="1" customWidth="1"/>
    <col min="14086" max="14086" width="8.33203125" style="2" customWidth="1"/>
    <col min="14087" max="14087" width="12.88671875" style="2" bestFit="1" customWidth="1"/>
    <col min="14088" max="14088" width="13.33203125" style="2" customWidth="1"/>
    <col min="14089" max="14089" width="12.88671875" style="2" bestFit="1" customWidth="1"/>
    <col min="14090" max="14090" width="9.33203125" style="2" customWidth="1"/>
    <col min="14091" max="14336" width="9.109375" style="2"/>
    <col min="14337" max="14337" width="22.5546875" style="2" customWidth="1"/>
    <col min="14338" max="14338" width="6.109375" style="2" customWidth="1"/>
    <col min="14339" max="14339" width="10.33203125" style="2" bestFit="1" customWidth="1"/>
    <col min="14340" max="14340" width="5.6640625" style="2" customWidth="1"/>
    <col min="14341" max="14341" width="12.88671875" style="2" bestFit="1" customWidth="1"/>
    <col min="14342" max="14342" width="8.33203125" style="2" customWidth="1"/>
    <col min="14343" max="14343" width="12.88671875" style="2" bestFit="1" customWidth="1"/>
    <col min="14344" max="14344" width="13.33203125" style="2" customWidth="1"/>
    <col min="14345" max="14345" width="12.88671875" style="2" bestFit="1" customWidth="1"/>
    <col min="14346" max="14346" width="9.33203125" style="2" customWidth="1"/>
    <col min="14347" max="14592" width="9.109375" style="2"/>
    <col min="14593" max="14593" width="22.5546875" style="2" customWidth="1"/>
    <col min="14594" max="14594" width="6.109375" style="2" customWidth="1"/>
    <col min="14595" max="14595" width="10.33203125" style="2" bestFit="1" customWidth="1"/>
    <col min="14596" max="14596" width="5.6640625" style="2" customWidth="1"/>
    <col min="14597" max="14597" width="12.88671875" style="2" bestFit="1" customWidth="1"/>
    <col min="14598" max="14598" width="8.33203125" style="2" customWidth="1"/>
    <col min="14599" max="14599" width="12.88671875" style="2" bestFit="1" customWidth="1"/>
    <col min="14600" max="14600" width="13.33203125" style="2" customWidth="1"/>
    <col min="14601" max="14601" width="12.88671875" style="2" bestFit="1" customWidth="1"/>
    <col min="14602" max="14602" width="9.33203125" style="2" customWidth="1"/>
    <col min="14603" max="14848" width="9.109375" style="2"/>
    <col min="14849" max="14849" width="22.5546875" style="2" customWidth="1"/>
    <col min="14850" max="14850" width="6.109375" style="2" customWidth="1"/>
    <col min="14851" max="14851" width="10.33203125" style="2" bestFit="1" customWidth="1"/>
    <col min="14852" max="14852" width="5.6640625" style="2" customWidth="1"/>
    <col min="14853" max="14853" width="12.88671875" style="2" bestFit="1" customWidth="1"/>
    <col min="14854" max="14854" width="8.33203125" style="2" customWidth="1"/>
    <col min="14855" max="14855" width="12.88671875" style="2" bestFit="1" customWidth="1"/>
    <col min="14856" max="14856" width="13.33203125" style="2" customWidth="1"/>
    <col min="14857" max="14857" width="12.88671875" style="2" bestFit="1" customWidth="1"/>
    <col min="14858" max="14858" width="9.33203125" style="2" customWidth="1"/>
    <col min="14859" max="15104" width="9.109375" style="2"/>
    <col min="15105" max="15105" width="22.5546875" style="2" customWidth="1"/>
    <col min="15106" max="15106" width="6.109375" style="2" customWidth="1"/>
    <col min="15107" max="15107" width="10.33203125" style="2" bestFit="1" customWidth="1"/>
    <col min="15108" max="15108" width="5.6640625" style="2" customWidth="1"/>
    <col min="15109" max="15109" width="12.88671875" style="2" bestFit="1" customWidth="1"/>
    <col min="15110" max="15110" width="8.33203125" style="2" customWidth="1"/>
    <col min="15111" max="15111" width="12.88671875" style="2" bestFit="1" customWidth="1"/>
    <col min="15112" max="15112" width="13.33203125" style="2" customWidth="1"/>
    <col min="15113" max="15113" width="12.88671875" style="2" bestFit="1" customWidth="1"/>
    <col min="15114" max="15114" width="9.33203125" style="2" customWidth="1"/>
    <col min="15115" max="15360" width="9.109375" style="2"/>
    <col min="15361" max="15361" width="22.5546875" style="2" customWidth="1"/>
    <col min="15362" max="15362" width="6.109375" style="2" customWidth="1"/>
    <col min="15363" max="15363" width="10.33203125" style="2" bestFit="1" customWidth="1"/>
    <col min="15364" max="15364" width="5.6640625" style="2" customWidth="1"/>
    <col min="15365" max="15365" width="12.88671875" style="2" bestFit="1" customWidth="1"/>
    <col min="15366" max="15366" width="8.33203125" style="2" customWidth="1"/>
    <col min="15367" max="15367" width="12.88671875" style="2" bestFit="1" customWidth="1"/>
    <col min="15368" max="15368" width="13.33203125" style="2" customWidth="1"/>
    <col min="15369" max="15369" width="12.88671875" style="2" bestFit="1" customWidth="1"/>
    <col min="15370" max="15370" width="9.33203125" style="2" customWidth="1"/>
    <col min="15371" max="15616" width="9.109375" style="2"/>
    <col min="15617" max="15617" width="22.5546875" style="2" customWidth="1"/>
    <col min="15618" max="15618" width="6.109375" style="2" customWidth="1"/>
    <col min="15619" max="15619" width="10.33203125" style="2" bestFit="1" customWidth="1"/>
    <col min="15620" max="15620" width="5.6640625" style="2" customWidth="1"/>
    <col min="15621" max="15621" width="12.88671875" style="2" bestFit="1" customWidth="1"/>
    <col min="15622" max="15622" width="8.33203125" style="2" customWidth="1"/>
    <col min="15623" max="15623" width="12.88671875" style="2" bestFit="1" customWidth="1"/>
    <col min="15624" max="15624" width="13.33203125" style="2" customWidth="1"/>
    <col min="15625" max="15625" width="12.88671875" style="2" bestFit="1" customWidth="1"/>
    <col min="15626" max="15626" width="9.33203125" style="2" customWidth="1"/>
    <col min="15627" max="15872" width="9.109375" style="2"/>
    <col min="15873" max="15873" width="22.5546875" style="2" customWidth="1"/>
    <col min="15874" max="15874" width="6.109375" style="2" customWidth="1"/>
    <col min="15875" max="15875" width="10.33203125" style="2" bestFit="1" customWidth="1"/>
    <col min="15876" max="15876" width="5.6640625" style="2" customWidth="1"/>
    <col min="15877" max="15877" width="12.88671875" style="2" bestFit="1" customWidth="1"/>
    <col min="15878" max="15878" width="8.33203125" style="2" customWidth="1"/>
    <col min="15879" max="15879" width="12.88671875" style="2" bestFit="1" customWidth="1"/>
    <col min="15880" max="15880" width="13.33203125" style="2" customWidth="1"/>
    <col min="15881" max="15881" width="12.88671875" style="2" bestFit="1" customWidth="1"/>
    <col min="15882" max="15882" width="9.33203125" style="2" customWidth="1"/>
    <col min="15883" max="16128" width="9.109375" style="2"/>
    <col min="16129" max="16129" width="22.5546875" style="2" customWidth="1"/>
    <col min="16130" max="16130" width="6.109375" style="2" customWidth="1"/>
    <col min="16131" max="16131" width="10.33203125" style="2" bestFit="1" customWidth="1"/>
    <col min="16132" max="16132" width="5.6640625" style="2" customWidth="1"/>
    <col min="16133" max="16133" width="12.88671875" style="2" bestFit="1" customWidth="1"/>
    <col min="16134" max="16134" width="8.33203125" style="2" customWidth="1"/>
    <col min="16135" max="16135" width="12.88671875" style="2" bestFit="1" customWidth="1"/>
    <col min="16136" max="16136" width="13.33203125" style="2" customWidth="1"/>
    <col min="16137" max="16137" width="12.88671875" style="2" bestFit="1" customWidth="1"/>
    <col min="16138" max="16138" width="9.33203125" style="2" customWidth="1"/>
    <col min="16139" max="16384" width="9.109375" style="2"/>
  </cols>
  <sheetData>
    <row r="1" spans="1:256" ht="16.2" thickBot="1" x14ac:dyDescent="0.35">
      <c r="A1" s="246" t="s">
        <v>3163</v>
      </c>
      <c r="B1" s="247"/>
      <c r="C1" s="247"/>
      <c r="D1" s="247"/>
      <c r="E1" s="247"/>
      <c r="F1" s="247"/>
      <c r="G1" s="247"/>
      <c r="H1" s="248"/>
      <c r="I1" s="90"/>
      <c r="J1" s="89"/>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c r="HQ1" s="90"/>
      <c r="HR1" s="90"/>
      <c r="HS1" s="90"/>
      <c r="HT1" s="90"/>
      <c r="HU1" s="90"/>
      <c r="HV1" s="90"/>
      <c r="HW1" s="90"/>
      <c r="HX1" s="90"/>
      <c r="HY1" s="90"/>
      <c r="HZ1" s="90"/>
      <c r="IA1" s="90"/>
      <c r="IB1" s="90"/>
      <c r="IC1" s="90"/>
      <c r="ID1" s="90"/>
      <c r="IE1" s="90"/>
      <c r="IF1" s="90"/>
      <c r="IG1" s="90"/>
      <c r="IH1" s="90"/>
      <c r="II1" s="90"/>
      <c r="IJ1" s="90"/>
      <c r="IK1" s="90"/>
      <c r="IL1" s="90"/>
      <c r="IM1" s="90"/>
      <c r="IN1" s="90"/>
      <c r="IO1" s="90"/>
      <c r="IP1" s="90"/>
      <c r="IQ1" s="90"/>
      <c r="IR1" s="90"/>
      <c r="IS1" s="90"/>
      <c r="IT1" s="90"/>
      <c r="IU1" s="90"/>
      <c r="IV1" s="90"/>
    </row>
    <row r="2" spans="1:256" ht="13.8" x14ac:dyDescent="0.3">
      <c r="A2" s="90"/>
      <c r="B2" s="130"/>
      <c r="C2" s="90"/>
      <c r="D2" s="89"/>
      <c r="E2" s="89"/>
      <c r="F2" s="90"/>
      <c r="G2" s="90"/>
      <c r="H2" s="90"/>
      <c r="I2" s="90"/>
      <c r="J2" s="131"/>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row>
    <row r="3" spans="1:256" ht="14.4" thickBot="1" x14ac:dyDescent="0.35">
      <c r="A3" s="132" t="s">
        <v>2610</v>
      </c>
      <c r="B3" s="133" t="s">
        <v>2611</v>
      </c>
      <c r="C3" s="134" t="s">
        <v>2612</v>
      </c>
      <c r="D3" s="134" t="s">
        <v>2613</v>
      </c>
      <c r="E3" s="134" t="s">
        <v>2614</v>
      </c>
      <c r="F3" s="134" t="s">
        <v>2615</v>
      </c>
      <c r="G3" s="134" t="s">
        <v>2616</v>
      </c>
      <c r="H3" s="134" t="s">
        <v>2617</v>
      </c>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GL3" s="90"/>
      <c r="GM3" s="90"/>
      <c r="GN3" s="90"/>
      <c r="GO3" s="90"/>
      <c r="GP3" s="90"/>
      <c r="GQ3" s="90"/>
      <c r="GR3" s="90"/>
      <c r="GS3" s="90"/>
      <c r="GT3" s="90"/>
      <c r="GU3" s="90"/>
      <c r="GV3" s="90"/>
      <c r="GW3" s="90"/>
      <c r="GX3" s="90"/>
      <c r="GY3" s="90"/>
      <c r="GZ3" s="90"/>
      <c r="HA3" s="90"/>
      <c r="HB3" s="90"/>
      <c r="HC3" s="90"/>
      <c r="HD3" s="90"/>
      <c r="HE3" s="90"/>
      <c r="HF3" s="90"/>
      <c r="HG3" s="90"/>
      <c r="HH3" s="90"/>
      <c r="HI3" s="90"/>
      <c r="HJ3" s="90"/>
      <c r="HK3" s="90"/>
      <c r="HL3" s="90"/>
      <c r="HM3" s="90"/>
      <c r="HN3" s="90"/>
      <c r="HO3" s="90"/>
      <c r="HP3" s="90"/>
      <c r="HQ3" s="90"/>
      <c r="HR3" s="90"/>
      <c r="HS3" s="90"/>
      <c r="HT3" s="90"/>
      <c r="HU3" s="90"/>
      <c r="HV3" s="90"/>
      <c r="HW3" s="90"/>
      <c r="HX3" s="90"/>
      <c r="HY3" s="90"/>
      <c r="HZ3" s="90"/>
      <c r="IA3" s="90"/>
      <c r="IB3" s="90"/>
      <c r="IC3" s="90"/>
      <c r="ID3" s="90"/>
      <c r="IE3" s="90"/>
      <c r="IF3" s="90"/>
      <c r="IG3" s="90"/>
      <c r="IH3" s="90"/>
      <c r="II3" s="90"/>
      <c r="IJ3" s="90"/>
      <c r="IK3" s="90"/>
      <c r="IL3" s="90"/>
      <c r="IM3" s="90"/>
      <c r="IN3" s="90"/>
      <c r="IO3" s="90"/>
      <c r="IP3" s="90"/>
      <c r="IQ3" s="90"/>
      <c r="IR3" s="90"/>
      <c r="IS3" s="90"/>
      <c r="IT3" s="90"/>
      <c r="IU3" s="90"/>
      <c r="IV3" s="90"/>
    </row>
    <row r="4" spans="1:256" ht="13.8" x14ac:dyDescent="0.3">
      <c r="A4" s="90" t="s">
        <v>2618</v>
      </c>
      <c r="B4" s="135">
        <v>0.25</v>
      </c>
      <c r="C4" s="136">
        <v>10302</v>
      </c>
      <c r="D4" s="89">
        <v>20</v>
      </c>
      <c r="E4" s="136">
        <f t="shared" ref="E4:E14" si="0">D4*C4*B4</f>
        <v>51510</v>
      </c>
      <c r="F4" s="90">
        <v>1.9532</v>
      </c>
      <c r="G4" s="137">
        <f t="shared" ref="G4:G14" si="1">F4*E4</f>
        <v>100609.33200000001</v>
      </c>
      <c r="H4" s="137">
        <f t="shared" ref="H4:H14" si="2">G4</f>
        <v>100609.33200000001</v>
      </c>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c r="CK4" s="90"/>
      <c r="CL4" s="90"/>
      <c r="CM4" s="90"/>
      <c r="CN4" s="90"/>
      <c r="CO4" s="90"/>
      <c r="CP4" s="90"/>
      <c r="CQ4" s="90"/>
      <c r="CR4" s="90"/>
      <c r="CS4" s="90"/>
      <c r="CT4" s="90"/>
      <c r="CU4" s="90"/>
      <c r="CV4" s="90"/>
      <c r="CW4" s="90"/>
      <c r="CX4" s="90"/>
      <c r="CY4" s="90"/>
      <c r="CZ4" s="90"/>
      <c r="DA4" s="90"/>
      <c r="DB4" s="90"/>
      <c r="DC4" s="90"/>
      <c r="DD4" s="90"/>
      <c r="DE4" s="90"/>
      <c r="DF4" s="90"/>
      <c r="DG4" s="90"/>
      <c r="DH4" s="90"/>
      <c r="DI4" s="90"/>
      <c r="DJ4" s="90"/>
      <c r="DK4" s="90"/>
      <c r="DL4" s="90"/>
      <c r="DM4" s="90"/>
      <c r="DN4" s="90"/>
      <c r="DO4" s="90"/>
      <c r="DP4" s="90"/>
      <c r="DQ4" s="90"/>
      <c r="DR4" s="90"/>
      <c r="DS4" s="90"/>
      <c r="DT4" s="90"/>
      <c r="DU4" s="90"/>
      <c r="DV4" s="90"/>
      <c r="DW4" s="90"/>
      <c r="DX4" s="90"/>
      <c r="DY4" s="90"/>
      <c r="DZ4" s="90"/>
      <c r="EA4" s="90"/>
      <c r="EB4" s="90"/>
      <c r="EC4" s="90"/>
      <c r="ED4" s="90"/>
      <c r="EE4" s="90"/>
      <c r="EF4" s="90"/>
      <c r="EG4" s="90"/>
      <c r="EH4" s="90"/>
      <c r="EI4" s="90"/>
      <c r="EJ4" s="90"/>
      <c r="EK4" s="90"/>
      <c r="EL4" s="90"/>
      <c r="EM4" s="90"/>
      <c r="EN4" s="90"/>
      <c r="EO4" s="90"/>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GL4" s="90"/>
      <c r="GM4" s="90"/>
      <c r="GN4" s="90"/>
      <c r="GO4" s="90"/>
      <c r="GP4" s="90"/>
      <c r="GQ4" s="90"/>
      <c r="GR4" s="90"/>
      <c r="GS4" s="90"/>
      <c r="GT4" s="90"/>
      <c r="GU4" s="90"/>
      <c r="GV4" s="90"/>
      <c r="GW4" s="90"/>
      <c r="GX4" s="90"/>
      <c r="GY4" s="90"/>
      <c r="GZ4" s="90"/>
      <c r="HA4" s="90"/>
      <c r="HB4" s="90"/>
      <c r="HC4" s="90"/>
      <c r="HD4" s="90"/>
      <c r="HE4" s="90"/>
      <c r="HF4" s="90"/>
      <c r="HG4" s="90"/>
      <c r="HH4" s="90"/>
      <c r="HI4" s="90"/>
      <c r="HJ4" s="90"/>
      <c r="HK4" s="90"/>
      <c r="HL4" s="90"/>
      <c r="HM4" s="90"/>
      <c r="HN4" s="90"/>
      <c r="HO4" s="90"/>
      <c r="HP4" s="90"/>
      <c r="HQ4" s="90"/>
      <c r="HR4" s="90"/>
      <c r="HS4" s="90"/>
      <c r="HT4" s="90"/>
      <c r="HU4" s="90"/>
      <c r="HV4" s="90"/>
      <c r="HW4" s="90"/>
      <c r="HX4" s="90"/>
      <c r="HY4" s="90"/>
      <c r="HZ4" s="90"/>
      <c r="IA4" s="90"/>
      <c r="IB4" s="90"/>
      <c r="IC4" s="90"/>
      <c r="ID4" s="90"/>
      <c r="IE4" s="90"/>
      <c r="IF4" s="90"/>
      <c r="IG4" s="90"/>
      <c r="IH4" s="90"/>
      <c r="II4" s="90"/>
      <c r="IJ4" s="90"/>
      <c r="IK4" s="90"/>
      <c r="IL4" s="90"/>
      <c r="IM4" s="90"/>
      <c r="IN4" s="90"/>
      <c r="IO4" s="90"/>
      <c r="IP4" s="90"/>
      <c r="IQ4" s="90"/>
      <c r="IR4" s="90"/>
      <c r="IS4" s="90"/>
      <c r="IT4" s="90"/>
      <c r="IU4" s="90"/>
      <c r="IV4" s="90"/>
    </row>
    <row r="5" spans="1:256" ht="13.8" x14ac:dyDescent="0.3">
      <c r="A5" s="90" t="s">
        <v>2619</v>
      </c>
      <c r="B5" s="138">
        <v>1</v>
      </c>
      <c r="C5" s="136">
        <f>4*1212</f>
        <v>4848</v>
      </c>
      <c r="D5" s="89">
        <v>20</v>
      </c>
      <c r="E5" s="136">
        <f t="shared" si="0"/>
        <v>96960</v>
      </c>
      <c r="F5" s="90">
        <v>1.9532</v>
      </c>
      <c r="G5" s="137">
        <f t="shared" si="1"/>
        <v>189382.272</v>
      </c>
      <c r="H5" s="137">
        <f t="shared" si="2"/>
        <v>189382.272</v>
      </c>
      <c r="I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row>
    <row r="6" spans="1:256" ht="13.8" x14ac:dyDescent="0.3">
      <c r="A6" s="90" t="s">
        <v>2620</v>
      </c>
      <c r="B6" s="138">
        <v>1</v>
      </c>
      <c r="C6" s="136">
        <f>4*1212</f>
        <v>4848</v>
      </c>
      <c r="D6" s="89">
        <v>20</v>
      </c>
      <c r="E6" s="136">
        <f t="shared" si="0"/>
        <v>96960</v>
      </c>
      <c r="F6" s="90">
        <v>1.9532</v>
      </c>
      <c r="G6" s="137">
        <f t="shared" si="1"/>
        <v>189382.272</v>
      </c>
      <c r="H6" s="137">
        <f t="shared" si="2"/>
        <v>189382.272</v>
      </c>
      <c r="I6" s="90"/>
      <c r="J6" s="139" t="s">
        <v>2621</v>
      </c>
      <c r="K6" s="90" t="s">
        <v>3164</v>
      </c>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c r="FP6" s="90"/>
      <c r="FQ6" s="90"/>
      <c r="FR6" s="90"/>
      <c r="FS6" s="90"/>
      <c r="FT6" s="90"/>
      <c r="FU6" s="90"/>
      <c r="FV6" s="90"/>
      <c r="FW6" s="90"/>
      <c r="FX6" s="90"/>
      <c r="FY6" s="90"/>
      <c r="FZ6" s="90"/>
      <c r="GA6" s="90"/>
      <c r="GB6" s="90"/>
      <c r="GC6" s="90"/>
      <c r="GD6" s="90"/>
      <c r="GE6" s="90"/>
      <c r="GF6" s="90"/>
      <c r="GG6" s="90"/>
      <c r="GH6" s="90"/>
      <c r="GI6" s="90"/>
      <c r="GJ6" s="90"/>
      <c r="GK6" s="90"/>
      <c r="GL6" s="90"/>
      <c r="GM6" s="90"/>
      <c r="GN6" s="90"/>
      <c r="GO6" s="90"/>
      <c r="GP6" s="90"/>
      <c r="GQ6" s="90"/>
      <c r="GR6" s="90"/>
      <c r="GS6" s="90"/>
      <c r="GT6" s="90"/>
      <c r="GU6" s="90"/>
      <c r="GV6" s="90"/>
      <c r="GW6" s="90"/>
      <c r="GX6" s="90"/>
      <c r="GY6" s="90"/>
      <c r="GZ6" s="90"/>
      <c r="HA6" s="90"/>
      <c r="HB6" s="90"/>
      <c r="HC6" s="90"/>
      <c r="HD6" s="90"/>
      <c r="HE6" s="90"/>
      <c r="HF6" s="90"/>
      <c r="HG6" s="90"/>
      <c r="HH6" s="90"/>
      <c r="HI6" s="90"/>
      <c r="HJ6" s="90"/>
      <c r="HK6" s="90"/>
      <c r="HL6" s="90"/>
      <c r="HM6" s="90"/>
      <c r="HN6" s="90"/>
      <c r="HO6" s="90"/>
      <c r="HP6" s="90"/>
      <c r="HQ6" s="90"/>
      <c r="HR6" s="90"/>
      <c r="HS6" s="90"/>
      <c r="HT6" s="90"/>
      <c r="HU6" s="90"/>
      <c r="HV6" s="90"/>
      <c r="HW6" s="90"/>
      <c r="HX6" s="90"/>
      <c r="HY6" s="90"/>
      <c r="HZ6" s="90"/>
      <c r="IA6" s="90"/>
      <c r="IB6" s="90"/>
      <c r="IC6" s="90"/>
      <c r="ID6" s="90"/>
      <c r="IE6" s="90"/>
      <c r="IF6" s="90"/>
      <c r="IG6" s="90"/>
      <c r="IH6" s="90"/>
      <c r="II6" s="90"/>
      <c r="IJ6" s="90"/>
      <c r="IK6" s="90"/>
      <c r="IL6" s="90"/>
      <c r="IM6" s="90"/>
      <c r="IN6" s="90"/>
      <c r="IO6" s="90"/>
      <c r="IP6" s="90"/>
      <c r="IQ6" s="90"/>
      <c r="IR6" s="90"/>
      <c r="IS6" s="90"/>
      <c r="IT6" s="90"/>
      <c r="IU6" s="90"/>
      <c r="IV6" s="90"/>
    </row>
    <row r="7" spans="1:256" ht="13.8" x14ac:dyDescent="0.3">
      <c r="A7" s="90" t="s">
        <v>2622</v>
      </c>
      <c r="B7" s="138">
        <v>1</v>
      </c>
      <c r="C7" s="136">
        <f>J7*1.3</f>
        <v>2723.5</v>
      </c>
      <c r="D7" s="89">
        <v>20</v>
      </c>
      <c r="E7" s="136">
        <f>D7*C7*B7</f>
        <v>54470</v>
      </c>
      <c r="F7" s="90">
        <v>1.9532</v>
      </c>
      <c r="G7" s="137">
        <f t="shared" si="1"/>
        <v>106390.804</v>
      </c>
      <c r="H7" s="137">
        <f t="shared" si="2"/>
        <v>106390.804</v>
      </c>
      <c r="I7" s="90"/>
      <c r="J7" s="140">
        <v>2095</v>
      </c>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c r="EO7" s="90"/>
      <c r="EP7" s="90"/>
      <c r="EQ7" s="90"/>
      <c r="ER7" s="90"/>
      <c r="ES7" s="90"/>
      <c r="ET7" s="90"/>
      <c r="EU7" s="90"/>
      <c r="EV7" s="90"/>
      <c r="EW7" s="90"/>
      <c r="EX7" s="90"/>
      <c r="EY7" s="90"/>
      <c r="EZ7" s="90"/>
      <c r="FA7" s="90"/>
      <c r="FB7" s="90"/>
      <c r="FC7" s="90"/>
      <c r="FD7" s="90"/>
      <c r="FE7" s="90"/>
      <c r="FF7" s="90"/>
      <c r="FG7" s="90"/>
      <c r="FH7" s="90"/>
      <c r="FI7" s="90"/>
      <c r="FJ7" s="90"/>
      <c r="FK7" s="90"/>
      <c r="FL7" s="90"/>
      <c r="FM7" s="90"/>
      <c r="FN7" s="90"/>
      <c r="FO7" s="90"/>
      <c r="FP7" s="90"/>
      <c r="FQ7" s="90"/>
      <c r="FR7" s="90"/>
      <c r="FS7" s="90"/>
      <c r="FT7" s="90"/>
      <c r="FU7" s="90"/>
      <c r="FV7" s="90"/>
      <c r="FW7" s="90"/>
      <c r="FX7" s="90"/>
      <c r="FY7" s="90"/>
      <c r="FZ7" s="90"/>
      <c r="GA7" s="90"/>
      <c r="GB7" s="90"/>
      <c r="GC7" s="90"/>
      <c r="GD7" s="90"/>
      <c r="GE7" s="90"/>
      <c r="GF7" s="90"/>
      <c r="GG7" s="90"/>
      <c r="GH7" s="90"/>
      <c r="GI7" s="90"/>
      <c r="GJ7" s="90"/>
      <c r="GK7" s="90"/>
      <c r="GL7" s="90"/>
      <c r="GM7" s="90"/>
      <c r="GN7" s="90"/>
      <c r="GO7" s="90"/>
      <c r="GP7" s="90"/>
      <c r="GQ7" s="90"/>
      <c r="GR7" s="90"/>
      <c r="GS7" s="90"/>
      <c r="GT7" s="90"/>
      <c r="GU7" s="90"/>
      <c r="GV7" s="90"/>
      <c r="GW7" s="90"/>
      <c r="GX7" s="90"/>
      <c r="GY7" s="90"/>
      <c r="GZ7" s="90"/>
      <c r="HA7" s="90"/>
      <c r="HB7" s="90"/>
      <c r="HC7" s="90"/>
      <c r="HD7" s="90"/>
      <c r="HE7" s="90"/>
      <c r="HF7" s="90"/>
      <c r="HG7" s="90"/>
      <c r="HH7" s="90"/>
      <c r="HI7" s="90"/>
      <c r="HJ7" s="90"/>
      <c r="HK7" s="90"/>
      <c r="HL7" s="90"/>
      <c r="HM7" s="90"/>
      <c r="HN7" s="90"/>
      <c r="HO7" s="90"/>
      <c r="HP7" s="90"/>
      <c r="HQ7" s="90"/>
      <c r="HR7" s="90"/>
      <c r="HS7" s="90"/>
      <c r="HT7" s="90"/>
      <c r="HU7" s="90"/>
      <c r="HV7" s="90"/>
      <c r="HW7" s="90"/>
      <c r="HX7" s="90"/>
      <c r="HY7" s="90"/>
      <c r="HZ7" s="90"/>
      <c r="IA7" s="90"/>
      <c r="IB7" s="90"/>
      <c r="IC7" s="90"/>
      <c r="ID7" s="90"/>
      <c r="IE7" s="90"/>
      <c r="IF7" s="90"/>
      <c r="IG7" s="90"/>
      <c r="IH7" s="90"/>
      <c r="II7" s="90"/>
      <c r="IJ7" s="90"/>
      <c r="IK7" s="90"/>
      <c r="IL7" s="90"/>
      <c r="IM7" s="90"/>
      <c r="IN7" s="90"/>
      <c r="IO7" s="90"/>
      <c r="IP7" s="90"/>
      <c r="IQ7" s="90"/>
      <c r="IR7" s="90"/>
      <c r="IS7" s="90"/>
      <c r="IT7" s="90"/>
      <c r="IU7" s="90"/>
      <c r="IV7" s="90"/>
    </row>
    <row r="8" spans="1:256" ht="13.8" x14ac:dyDescent="0.3">
      <c r="A8" s="90" t="s">
        <v>2623</v>
      </c>
      <c r="B8" s="138">
        <v>2</v>
      </c>
      <c r="C8" s="136">
        <f>J8*1.35</f>
        <v>2106</v>
      </c>
      <c r="D8" s="89">
        <v>20</v>
      </c>
      <c r="E8" s="136">
        <f t="shared" si="0"/>
        <v>84240</v>
      </c>
      <c r="F8" s="90">
        <v>1.9532</v>
      </c>
      <c r="G8" s="137">
        <f t="shared" si="1"/>
        <v>164537.568</v>
      </c>
      <c r="H8" s="137">
        <f t="shared" si="2"/>
        <v>164537.568</v>
      </c>
      <c r="I8" s="90"/>
      <c r="J8" s="140">
        <v>1560</v>
      </c>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90"/>
      <c r="CP8" s="90"/>
      <c r="CQ8" s="90"/>
      <c r="CR8" s="90"/>
      <c r="CS8" s="90"/>
      <c r="CT8" s="90"/>
      <c r="CU8" s="90"/>
      <c r="CV8" s="90"/>
      <c r="CW8" s="90"/>
      <c r="CX8" s="90"/>
      <c r="CY8" s="90"/>
      <c r="CZ8" s="90"/>
      <c r="DA8" s="90"/>
      <c r="DB8" s="90"/>
      <c r="DC8" s="90"/>
      <c r="DD8" s="90"/>
      <c r="DE8" s="90"/>
      <c r="DF8" s="90"/>
      <c r="DG8" s="90"/>
      <c r="DH8" s="90"/>
      <c r="DI8" s="90"/>
      <c r="DJ8" s="90"/>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G8" s="90"/>
      <c r="GH8" s="90"/>
      <c r="GI8" s="90"/>
      <c r="GJ8" s="90"/>
      <c r="GK8" s="90"/>
      <c r="GL8" s="90"/>
      <c r="GM8" s="90"/>
      <c r="GN8" s="90"/>
      <c r="GO8" s="90"/>
      <c r="GP8" s="90"/>
      <c r="GQ8" s="90"/>
      <c r="GR8" s="90"/>
      <c r="GS8" s="90"/>
      <c r="GT8" s="90"/>
      <c r="GU8" s="90"/>
      <c r="GV8" s="90"/>
      <c r="GW8" s="90"/>
      <c r="GX8" s="90"/>
      <c r="GY8" s="90"/>
      <c r="GZ8" s="90"/>
      <c r="HA8" s="90"/>
      <c r="HB8" s="90"/>
      <c r="HC8" s="90"/>
      <c r="HD8" s="90"/>
      <c r="HE8" s="90"/>
      <c r="HF8" s="90"/>
      <c r="HG8" s="90"/>
      <c r="HH8" s="90"/>
      <c r="HI8" s="90"/>
      <c r="HJ8" s="90"/>
      <c r="HK8" s="90"/>
      <c r="HL8" s="90"/>
      <c r="HM8" s="90"/>
      <c r="HN8" s="90"/>
      <c r="HO8" s="90"/>
      <c r="HP8" s="90"/>
      <c r="HQ8" s="90"/>
      <c r="HR8" s="90"/>
      <c r="HS8" s="90"/>
      <c r="HT8" s="90"/>
      <c r="HU8" s="90"/>
      <c r="HV8" s="90"/>
      <c r="HW8" s="90"/>
      <c r="HX8" s="90"/>
      <c r="HY8" s="90"/>
      <c r="HZ8" s="90"/>
      <c r="IA8" s="90"/>
      <c r="IB8" s="90"/>
      <c r="IC8" s="90"/>
      <c r="ID8" s="90"/>
      <c r="IE8" s="90"/>
      <c r="IF8" s="90"/>
      <c r="IG8" s="90"/>
      <c r="IH8" s="90"/>
      <c r="II8" s="90"/>
      <c r="IJ8" s="90"/>
      <c r="IK8" s="90"/>
      <c r="IL8" s="90"/>
      <c r="IM8" s="90"/>
      <c r="IN8" s="90"/>
      <c r="IO8" s="90"/>
      <c r="IP8" s="90"/>
      <c r="IQ8" s="90"/>
      <c r="IR8" s="90"/>
      <c r="IS8" s="90"/>
      <c r="IT8" s="90"/>
      <c r="IU8" s="90"/>
      <c r="IV8" s="90"/>
    </row>
    <row r="9" spans="1:256" ht="13.8" x14ac:dyDescent="0.3">
      <c r="A9" s="90" t="s">
        <v>2624</v>
      </c>
      <c r="B9" s="138">
        <v>3</v>
      </c>
      <c r="C9" s="136">
        <f>C6*1.2</f>
        <v>5817.5999999999995</v>
      </c>
      <c r="D9" s="89">
        <v>20</v>
      </c>
      <c r="E9" s="136">
        <f t="shared" si="0"/>
        <v>349055.99999999994</v>
      </c>
      <c r="F9" s="90">
        <v>1.9532</v>
      </c>
      <c r="G9" s="137">
        <f t="shared" si="1"/>
        <v>681776.1791999999</v>
      </c>
      <c r="H9" s="137">
        <f t="shared" si="2"/>
        <v>681776.1791999999</v>
      </c>
      <c r="I9" s="90"/>
      <c r="J9" s="140">
        <v>2461</v>
      </c>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row>
    <row r="10" spans="1:256" ht="13.8" x14ac:dyDescent="0.3">
      <c r="A10" s="141" t="s">
        <v>2625</v>
      </c>
      <c r="B10" s="138">
        <v>9</v>
      </c>
      <c r="C10" s="136">
        <f>J10*1.35</f>
        <v>2828.25</v>
      </c>
      <c r="D10" s="89">
        <v>20</v>
      </c>
      <c r="E10" s="136">
        <f t="shared" si="0"/>
        <v>509085</v>
      </c>
      <c r="F10" s="90">
        <v>1.9532</v>
      </c>
      <c r="G10" s="137">
        <f t="shared" si="1"/>
        <v>994344.82200000004</v>
      </c>
      <c r="H10" s="137">
        <f t="shared" si="2"/>
        <v>994344.82200000004</v>
      </c>
      <c r="I10" s="90"/>
      <c r="J10" s="140">
        <v>2095</v>
      </c>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6" ht="13.8" x14ac:dyDescent="0.3">
      <c r="A11" s="141" t="s">
        <v>2626</v>
      </c>
      <c r="B11" s="138">
        <v>7</v>
      </c>
      <c r="C11" s="136">
        <f>J11*1.35</f>
        <v>2828.25</v>
      </c>
      <c r="D11" s="89">
        <v>20</v>
      </c>
      <c r="E11" s="136">
        <f t="shared" si="0"/>
        <v>395955</v>
      </c>
      <c r="F11" s="90">
        <v>1.9532</v>
      </c>
      <c r="G11" s="137">
        <f t="shared" si="1"/>
        <v>773379.30599999998</v>
      </c>
      <c r="H11" s="137">
        <f t="shared" si="2"/>
        <v>773379.30599999998</v>
      </c>
      <c r="I11" s="90"/>
      <c r="J11" s="140">
        <v>2095</v>
      </c>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ht="13.8" x14ac:dyDescent="0.3">
      <c r="A12" s="141" t="s">
        <v>2627</v>
      </c>
      <c r="B12" s="138">
        <v>3</v>
      </c>
      <c r="C12" s="136">
        <f>J12*1.35</f>
        <v>2828.25</v>
      </c>
      <c r="D12" s="89">
        <v>6</v>
      </c>
      <c r="E12" s="136">
        <f t="shared" si="0"/>
        <v>50908.5</v>
      </c>
      <c r="F12" s="90">
        <v>1.9532</v>
      </c>
      <c r="G12" s="137">
        <f t="shared" si="1"/>
        <v>99434.482199999999</v>
      </c>
      <c r="H12" s="137">
        <f t="shared" si="2"/>
        <v>99434.482199999999</v>
      </c>
      <c r="I12" s="90"/>
      <c r="J12" s="140">
        <v>2095</v>
      </c>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6" ht="13.8" x14ac:dyDescent="0.3">
      <c r="A13" s="90" t="s">
        <v>2628</v>
      </c>
      <c r="B13" s="138">
        <v>9</v>
      </c>
      <c r="C13" s="136">
        <f>J13*1.35</f>
        <v>2106</v>
      </c>
      <c r="D13" s="89">
        <v>20</v>
      </c>
      <c r="E13" s="136">
        <f t="shared" si="0"/>
        <v>379080</v>
      </c>
      <c r="F13" s="90">
        <v>1.9532</v>
      </c>
      <c r="G13" s="137">
        <f t="shared" si="1"/>
        <v>740419.05599999998</v>
      </c>
      <c r="H13" s="137">
        <f t="shared" si="2"/>
        <v>740419.05599999998</v>
      </c>
      <c r="I13" s="90"/>
      <c r="J13" s="140">
        <v>1560</v>
      </c>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row>
    <row r="14" spans="1:256" ht="13.8" x14ac:dyDescent="0.3">
      <c r="A14" s="90" t="s">
        <v>2629</v>
      </c>
      <c r="B14" s="138">
        <v>10</v>
      </c>
      <c r="C14" s="136">
        <f>J14*1.35</f>
        <v>2106</v>
      </c>
      <c r="D14" s="89">
        <v>20</v>
      </c>
      <c r="E14" s="136">
        <f t="shared" si="0"/>
        <v>421200</v>
      </c>
      <c r="F14" s="90">
        <v>1.9532</v>
      </c>
      <c r="G14" s="137">
        <f t="shared" si="1"/>
        <v>822687.84</v>
      </c>
      <c r="H14" s="137">
        <f t="shared" si="2"/>
        <v>822687.84</v>
      </c>
      <c r="I14" s="90"/>
      <c r="J14" s="142">
        <v>1560</v>
      </c>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c r="GS14" s="90"/>
      <c r="GT14" s="90"/>
      <c r="GU14" s="90"/>
      <c r="GV14" s="90"/>
      <c r="GW14" s="90"/>
      <c r="GX14" s="90"/>
      <c r="GY14" s="90"/>
      <c r="GZ14" s="90"/>
      <c r="HA14" s="90"/>
      <c r="HB14" s="90"/>
      <c r="HC14" s="90"/>
      <c r="HD14" s="90"/>
      <c r="HE14" s="90"/>
      <c r="HF14" s="90"/>
      <c r="HG14" s="90"/>
      <c r="HH14" s="90"/>
      <c r="HI14" s="90"/>
      <c r="HJ14" s="90"/>
      <c r="HK14" s="90"/>
      <c r="HL14" s="90"/>
      <c r="HM14" s="90"/>
      <c r="HN14" s="90"/>
      <c r="HO14" s="90"/>
      <c r="HP14" s="90"/>
      <c r="HQ14" s="90"/>
      <c r="HR14" s="90"/>
      <c r="HS14" s="90"/>
      <c r="HT14" s="90"/>
      <c r="HU14" s="90"/>
      <c r="HV14" s="90"/>
      <c r="HW14" s="90"/>
      <c r="HX14" s="90"/>
      <c r="HY14" s="90"/>
      <c r="HZ14" s="90"/>
      <c r="IA14" s="90"/>
      <c r="IB14" s="90"/>
      <c r="IC14" s="90"/>
      <c r="ID14" s="90"/>
      <c r="IE14" s="90"/>
      <c r="IF14" s="90"/>
      <c r="IG14" s="90"/>
      <c r="IH14" s="90"/>
      <c r="II14" s="90"/>
      <c r="IJ14" s="90"/>
      <c r="IK14" s="90"/>
      <c r="IL14" s="90"/>
      <c r="IM14" s="90"/>
      <c r="IN14" s="90"/>
      <c r="IO14" s="90"/>
      <c r="IP14" s="90"/>
      <c r="IQ14" s="90"/>
      <c r="IR14" s="90"/>
      <c r="IS14" s="90"/>
      <c r="IT14" s="90"/>
      <c r="IU14" s="90"/>
      <c r="IV14" s="90"/>
    </row>
    <row r="15" spans="1:256" ht="16.2" thickBot="1" x14ac:dyDescent="0.35">
      <c r="A15" s="143"/>
      <c r="B15" s="144">
        <f>SUM(B4:B14)-B4-B12</f>
        <v>43</v>
      </c>
      <c r="C15" s="145" t="s">
        <v>2630</v>
      </c>
      <c r="D15" s="146"/>
      <c r="E15" s="147">
        <f>SUM(E4:E14)</f>
        <v>2489424.5</v>
      </c>
      <c r="F15" s="143"/>
      <c r="G15" s="147">
        <f>SUM(G4:G14)</f>
        <v>4862343.9333999995</v>
      </c>
      <c r="H15" s="147">
        <f>SUM(H4:H14)</f>
        <v>4862343.9333999995</v>
      </c>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c r="GZ15" s="90"/>
      <c r="HA15" s="90"/>
      <c r="HB15" s="90"/>
      <c r="HC15" s="90"/>
      <c r="HD15" s="90"/>
      <c r="HE15" s="90"/>
      <c r="HF15" s="90"/>
      <c r="HG15" s="90"/>
      <c r="HH15" s="90"/>
      <c r="HI15" s="90"/>
      <c r="HJ15" s="90"/>
      <c r="HK15" s="90"/>
      <c r="HL15" s="90"/>
      <c r="HM15" s="90"/>
      <c r="HN15" s="90"/>
      <c r="HO15" s="90"/>
      <c r="HP15" s="90"/>
      <c r="HQ15" s="90"/>
      <c r="HR15" s="90"/>
      <c r="HS15" s="90"/>
      <c r="HT15" s="90"/>
      <c r="HU15" s="90"/>
      <c r="HV15" s="90"/>
      <c r="HW15" s="90"/>
      <c r="HX15" s="90"/>
      <c r="HY15" s="90"/>
      <c r="HZ15" s="90"/>
      <c r="IA15" s="90"/>
      <c r="IB15" s="90"/>
      <c r="IC15" s="90"/>
      <c r="ID15" s="90"/>
      <c r="IE15" s="90"/>
      <c r="IF15" s="90"/>
      <c r="IG15" s="90"/>
      <c r="IH15" s="90"/>
      <c r="II15" s="90"/>
      <c r="IJ15" s="90"/>
      <c r="IK15" s="90"/>
      <c r="IL15" s="90"/>
      <c r="IM15" s="90"/>
      <c r="IN15" s="90"/>
      <c r="IO15" s="90"/>
      <c r="IP15" s="90"/>
      <c r="IQ15" s="90"/>
      <c r="IR15" s="90"/>
      <c r="IS15" s="90"/>
      <c r="IT15" s="90"/>
      <c r="IU15" s="90"/>
      <c r="IV15" s="90"/>
    </row>
    <row r="16" spans="1:256" ht="13.8" x14ac:dyDescent="0.3">
      <c r="A16" s="90"/>
      <c r="B16" s="130"/>
      <c r="C16" s="90"/>
      <c r="D16" s="89"/>
      <c r="E16" s="89"/>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c r="GZ16" s="90"/>
      <c r="HA16" s="90"/>
      <c r="HB16" s="90"/>
      <c r="HC16" s="90"/>
      <c r="HD16" s="90"/>
      <c r="HE16" s="90"/>
      <c r="HF16" s="90"/>
      <c r="HG16" s="90"/>
      <c r="HH16" s="90"/>
      <c r="HI16" s="90"/>
      <c r="HJ16" s="90"/>
      <c r="HK16" s="90"/>
      <c r="HL16" s="90"/>
      <c r="HM16" s="90"/>
      <c r="HN16" s="90"/>
      <c r="HO16" s="90"/>
      <c r="HP16" s="90"/>
      <c r="HQ16" s="90"/>
      <c r="HR16" s="90"/>
      <c r="HS16" s="90"/>
      <c r="HT16" s="90"/>
      <c r="HU16" s="90"/>
      <c r="HV16" s="90"/>
      <c r="HW16" s="90"/>
      <c r="HX16" s="90"/>
      <c r="HY16" s="90"/>
      <c r="HZ16" s="90"/>
      <c r="IA16" s="90"/>
      <c r="IB16" s="90"/>
      <c r="IC16" s="90"/>
      <c r="ID16" s="90"/>
      <c r="IE16" s="90"/>
      <c r="IF16" s="90"/>
      <c r="IG16" s="90"/>
      <c r="IH16" s="90"/>
      <c r="II16" s="90"/>
      <c r="IJ16" s="90"/>
      <c r="IK16" s="90"/>
      <c r="IL16" s="90"/>
      <c r="IM16" s="90"/>
      <c r="IN16" s="90"/>
      <c r="IO16" s="90"/>
      <c r="IP16" s="90"/>
      <c r="IQ16" s="90"/>
      <c r="IR16" s="90"/>
      <c r="IS16" s="90"/>
      <c r="IT16" s="90"/>
      <c r="IU16" s="90"/>
      <c r="IV16" s="90"/>
    </row>
    <row r="17" spans="1:256" ht="13.8" x14ac:dyDescent="0.3">
      <c r="A17" s="249"/>
      <c r="B17" s="249"/>
      <c r="C17" s="249"/>
      <c r="D17" s="249"/>
      <c r="E17" s="249"/>
      <c r="F17" s="249"/>
      <c r="G17" s="148" t="s">
        <v>2631</v>
      </c>
      <c r="H17" s="149">
        <f>(43*25.5*22*20)</f>
        <v>482460</v>
      </c>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c r="GZ17" s="90"/>
      <c r="HA17" s="90"/>
      <c r="HB17" s="90"/>
      <c r="HC17" s="90"/>
      <c r="HD17" s="90"/>
      <c r="HE17" s="90"/>
      <c r="HF17" s="90"/>
      <c r="HG17" s="90"/>
      <c r="HH17" s="90"/>
      <c r="HI17" s="90"/>
      <c r="HJ17" s="90"/>
      <c r="HK17" s="90"/>
      <c r="HL17" s="90"/>
      <c r="HM17" s="90"/>
      <c r="HN17" s="90"/>
      <c r="HO17" s="90"/>
      <c r="HP17" s="90"/>
      <c r="HQ17" s="90"/>
      <c r="HR17" s="90"/>
      <c r="HS17" s="90"/>
      <c r="HT17" s="90"/>
      <c r="HU17" s="90"/>
      <c r="HV17" s="90"/>
      <c r="HW17" s="90"/>
      <c r="HX17" s="90"/>
      <c r="HY17" s="90"/>
      <c r="HZ17" s="90"/>
      <c r="IA17" s="90"/>
      <c r="IB17" s="90"/>
      <c r="IC17" s="90"/>
      <c r="ID17" s="90"/>
      <c r="IE17" s="90"/>
      <c r="IF17" s="90"/>
      <c r="IG17" s="90"/>
      <c r="IH17" s="90"/>
      <c r="II17" s="90"/>
      <c r="IJ17" s="90"/>
      <c r="IK17" s="90"/>
      <c r="IL17" s="90"/>
      <c r="IM17" s="90"/>
      <c r="IN17" s="90"/>
      <c r="IO17" s="90"/>
      <c r="IP17" s="90"/>
      <c r="IQ17" s="90"/>
      <c r="IR17" s="90"/>
      <c r="IS17" s="90"/>
      <c r="IT17" s="90"/>
      <c r="IU17" s="90"/>
      <c r="IV17" s="90"/>
    </row>
    <row r="18" spans="1:256" ht="13.8" x14ac:dyDescent="0.3">
      <c r="A18" s="150" t="s">
        <v>2632</v>
      </c>
      <c r="B18" s="150"/>
      <c r="C18" s="150"/>
      <c r="D18" s="150"/>
      <c r="E18" s="150"/>
      <c r="F18" s="90"/>
      <c r="G18" s="90"/>
      <c r="H18" s="92"/>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c r="GZ18" s="90"/>
      <c r="HA18" s="90"/>
      <c r="HB18" s="90"/>
      <c r="HC18" s="90"/>
      <c r="HD18" s="90"/>
      <c r="HE18" s="90"/>
      <c r="HF18" s="90"/>
      <c r="HG18" s="90"/>
      <c r="HH18" s="90"/>
      <c r="HI18" s="90"/>
      <c r="HJ18" s="90"/>
      <c r="HK18" s="90"/>
      <c r="HL18" s="90"/>
      <c r="HM18" s="90"/>
      <c r="HN18" s="90"/>
      <c r="HO18" s="90"/>
      <c r="HP18" s="90"/>
      <c r="HQ18" s="90"/>
      <c r="HR18" s="90"/>
      <c r="HS18" s="90"/>
      <c r="HT18" s="90"/>
      <c r="HU18" s="90"/>
      <c r="HV18" s="90"/>
      <c r="HW18" s="90"/>
      <c r="HX18" s="90"/>
      <c r="HY18" s="90"/>
      <c r="HZ18" s="90"/>
      <c r="IA18" s="90"/>
      <c r="IB18" s="90"/>
      <c r="IC18" s="90"/>
      <c r="ID18" s="90"/>
      <c r="IE18" s="90"/>
      <c r="IF18" s="90"/>
      <c r="IG18" s="90"/>
      <c r="IH18" s="90"/>
      <c r="II18" s="90"/>
      <c r="IJ18" s="90"/>
      <c r="IK18" s="90"/>
      <c r="IL18" s="90"/>
      <c r="IM18" s="90"/>
      <c r="IN18" s="90"/>
      <c r="IO18" s="90"/>
      <c r="IP18" s="90"/>
      <c r="IQ18" s="90"/>
      <c r="IR18" s="90"/>
      <c r="IS18" s="90"/>
      <c r="IT18" s="90"/>
      <c r="IU18" s="90"/>
      <c r="IV18" s="90"/>
    </row>
    <row r="19" spans="1:256" ht="13.8" x14ac:dyDescent="0.3">
      <c r="A19" s="151" t="s">
        <v>2633</v>
      </c>
      <c r="B19" s="152">
        <f>43*2</f>
        <v>86</v>
      </c>
      <c r="C19" s="153">
        <v>195.5</v>
      </c>
      <c r="D19" s="154"/>
      <c r="E19" s="155">
        <f>C19*B19</f>
        <v>16813</v>
      </c>
      <c r="F19" s="89"/>
      <c r="G19" s="156" t="s">
        <v>2634</v>
      </c>
      <c r="H19" s="149">
        <f>H15*0.08</f>
        <v>388987.51467199996</v>
      </c>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90"/>
      <c r="DC19" s="90"/>
      <c r="DD19" s="90"/>
      <c r="DE19" s="90"/>
      <c r="DF19" s="90"/>
      <c r="DG19" s="90"/>
      <c r="DH19" s="90"/>
      <c r="DI19" s="90"/>
      <c r="DJ19" s="90"/>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G19" s="90"/>
      <c r="GH19" s="90"/>
      <c r="GI19" s="90"/>
      <c r="GJ19" s="90"/>
      <c r="GK19" s="90"/>
      <c r="GL19" s="90"/>
      <c r="GM19" s="90"/>
      <c r="GN19" s="90"/>
      <c r="GO19" s="90"/>
      <c r="GP19" s="90"/>
      <c r="GQ19" s="90"/>
      <c r="GR19" s="90"/>
      <c r="GS19" s="90"/>
      <c r="GT19" s="90"/>
      <c r="GU19" s="90"/>
      <c r="GV19" s="90"/>
      <c r="GW19" s="90"/>
      <c r="GX19" s="90"/>
      <c r="GY19" s="90"/>
      <c r="GZ19" s="90"/>
      <c r="HA19" s="90"/>
      <c r="HB19" s="90"/>
      <c r="HC19" s="90"/>
      <c r="HD19" s="90"/>
      <c r="HE19" s="90"/>
      <c r="HF19" s="90"/>
      <c r="HG19" s="90"/>
      <c r="HH19" s="90"/>
      <c r="HI19" s="90"/>
      <c r="HJ19" s="90"/>
      <c r="HK19" s="90"/>
      <c r="HL19" s="90"/>
      <c r="HM19" s="90"/>
      <c r="HN19" s="90"/>
      <c r="HO19" s="90"/>
      <c r="HP19" s="90"/>
      <c r="HQ19" s="90"/>
      <c r="HR19" s="90"/>
      <c r="HS19" s="90"/>
      <c r="HT19" s="90"/>
      <c r="HU19" s="90"/>
      <c r="HV19" s="90"/>
      <c r="HW19" s="90"/>
      <c r="HX19" s="90"/>
      <c r="HY19" s="90"/>
      <c r="HZ19" s="90"/>
      <c r="IA19" s="90"/>
      <c r="IB19" s="90"/>
      <c r="IC19" s="90"/>
      <c r="ID19" s="90"/>
      <c r="IE19" s="90"/>
      <c r="IF19" s="90"/>
      <c r="IG19" s="90"/>
      <c r="IH19" s="90"/>
      <c r="II19" s="90"/>
      <c r="IJ19" s="90"/>
      <c r="IK19" s="90"/>
      <c r="IL19" s="90"/>
      <c r="IM19" s="90"/>
      <c r="IN19" s="90"/>
      <c r="IO19" s="90"/>
      <c r="IP19" s="90"/>
      <c r="IQ19" s="90"/>
      <c r="IR19" s="90"/>
      <c r="IS19" s="90"/>
      <c r="IT19" s="90"/>
      <c r="IU19" s="90"/>
      <c r="IV19" s="90"/>
    </row>
    <row r="20" spans="1:256" ht="13.8" x14ac:dyDescent="0.3">
      <c r="A20" s="151" t="s">
        <v>2635</v>
      </c>
      <c r="B20" s="152">
        <v>8</v>
      </c>
      <c r="C20" s="153">
        <v>720</v>
      </c>
      <c r="D20" s="154"/>
      <c r="E20" s="155">
        <f t="shared" ref="E20:E26" si="3">C20*B20</f>
        <v>5760</v>
      </c>
      <c r="F20" s="90"/>
      <c r="G20" s="90"/>
      <c r="H20" s="92"/>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c r="CN20" s="90"/>
      <c r="CO20" s="90"/>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G20" s="90"/>
      <c r="GH20" s="90"/>
      <c r="GI20" s="90"/>
      <c r="GJ20" s="90"/>
      <c r="GK20" s="90"/>
      <c r="GL20" s="90"/>
      <c r="GM20" s="90"/>
      <c r="GN20" s="90"/>
      <c r="GO20" s="90"/>
      <c r="GP20" s="90"/>
      <c r="GQ20" s="90"/>
      <c r="GR20" s="90"/>
      <c r="GS20" s="90"/>
      <c r="GT20" s="90"/>
      <c r="GU20" s="90"/>
      <c r="GV20" s="90"/>
      <c r="GW20" s="90"/>
      <c r="GX20" s="90"/>
      <c r="GY20" s="90"/>
      <c r="GZ20" s="90"/>
      <c r="HA20" s="90"/>
      <c r="HB20" s="90"/>
      <c r="HC20" s="90"/>
      <c r="HD20" s="90"/>
      <c r="HE20" s="90"/>
      <c r="HF20" s="90"/>
      <c r="HG20" s="90"/>
      <c r="HH20" s="90"/>
      <c r="HI20" s="90"/>
      <c r="HJ20" s="90"/>
      <c r="HK20" s="90"/>
      <c r="HL20" s="90"/>
      <c r="HM20" s="90"/>
      <c r="HN20" s="90"/>
      <c r="HO20" s="90"/>
      <c r="HP20" s="90"/>
      <c r="HQ20" s="90"/>
      <c r="HR20" s="90"/>
      <c r="HS20" s="90"/>
      <c r="HT20" s="90"/>
      <c r="HU20" s="90"/>
      <c r="HV20" s="90"/>
      <c r="HW20" s="90"/>
      <c r="HX20" s="90"/>
      <c r="HY20" s="90"/>
      <c r="HZ20" s="90"/>
      <c r="IA20" s="90"/>
      <c r="IB20" s="90"/>
      <c r="IC20" s="90"/>
      <c r="ID20" s="90"/>
      <c r="IE20" s="90"/>
      <c r="IF20" s="90"/>
      <c r="IG20" s="90"/>
      <c r="IH20" s="90"/>
      <c r="II20" s="90"/>
      <c r="IJ20" s="90"/>
      <c r="IK20" s="90"/>
      <c r="IL20" s="90"/>
      <c r="IM20" s="90"/>
      <c r="IN20" s="90"/>
      <c r="IO20" s="90"/>
      <c r="IP20" s="90"/>
      <c r="IQ20" s="90"/>
      <c r="IR20" s="90"/>
      <c r="IS20" s="90"/>
      <c r="IT20" s="90"/>
      <c r="IU20" s="90"/>
      <c r="IV20" s="90"/>
    </row>
    <row r="21" spans="1:256" ht="13.8" x14ac:dyDescent="0.3">
      <c r="A21" s="151" t="s">
        <v>2636</v>
      </c>
      <c r="B21" s="152">
        <v>6</v>
      </c>
      <c r="C21" s="153">
        <v>357</v>
      </c>
      <c r="D21" s="154"/>
      <c r="E21" s="155">
        <f t="shared" si="3"/>
        <v>2142</v>
      </c>
      <c r="F21" s="89"/>
      <c r="G21" s="148" t="s">
        <v>2637</v>
      </c>
      <c r="H21" s="149">
        <f>E28*1.15</f>
        <v>119212.45</v>
      </c>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90"/>
      <c r="DI21" s="90"/>
      <c r="DJ21" s="90"/>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row>
    <row r="22" spans="1:256" ht="13.8" x14ac:dyDescent="0.3">
      <c r="A22" s="151" t="s">
        <v>2643</v>
      </c>
      <c r="B22" s="152">
        <v>6</v>
      </c>
      <c r="C22" s="153">
        <v>6500</v>
      </c>
      <c r="D22" s="154"/>
      <c r="E22" s="155">
        <f t="shared" si="3"/>
        <v>39000</v>
      </c>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G22" s="90"/>
      <c r="GH22" s="90"/>
      <c r="GI22" s="90"/>
      <c r="GJ22" s="90"/>
      <c r="GK22" s="90"/>
      <c r="GL22" s="90"/>
      <c r="GM22" s="90"/>
      <c r="GN22" s="90"/>
      <c r="GO22" s="90"/>
      <c r="GP22" s="90"/>
      <c r="GQ22" s="90"/>
      <c r="GR22" s="90"/>
      <c r="GS22" s="90"/>
      <c r="GT22" s="90"/>
      <c r="GU22" s="90"/>
      <c r="GV22" s="90"/>
      <c r="GW22" s="90"/>
      <c r="GX22" s="90"/>
      <c r="GY22" s="90"/>
      <c r="GZ22" s="90"/>
      <c r="HA22" s="90"/>
      <c r="HB22" s="90"/>
      <c r="HC22" s="90"/>
      <c r="HD22" s="90"/>
      <c r="HE22" s="90"/>
      <c r="HF22" s="90"/>
      <c r="HG22" s="90"/>
      <c r="HH22" s="90"/>
      <c r="HI22" s="90"/>
      <c r="HJ22" s="90"/>
      <c r="HK22" s="90"/>
      <c r="HL22" s="90"/>
      <c r="HM22" s="90"/>
      <c r="HN22" s="90"/>
      <c r="HO22" s="90"/>
      <c r="HP22" s="90"/>
      <c r="HQ22" s="90"/>
      <c r="HR22" s="90"/>
      <c r="HS22" s="90"/>
      <c r="HT22" s="90"/>
      <c r="HU22" s="90"/>
      <c r="HV22" s="90"/>
      <c r="HW22" s="90"/>
      <c r="HX22" s="90"/>
      <c r="HY22" s="90"/>
      <c r="HZ22" s="90"/>
      <c r="IA22" s="90"/>
      <c r="IB22" s="90"/>
      <c r="IC22" s="90"/>
      <c r="ID22" s="90"/>
      <c r="IE22" s="90"/>
      <c r="IF22" s="90"/>
      <c r="IG22" s="90"/>
      <c r="IH22" s="90"/>
      <c r="II22" s="90"/>
      <c r="IJ22" s="90"/>
      <c r="IK22" s="90"/>
      <c r="IL22" s="90"/>
      <c r="IM22" s="90"/>
      <c r="IN22" s="90"/>
      <c r="IO22" s="90"/>
      <c r="IP22" s="90"/>
      <c r="IQ22" s="90"/>
      <c r="IR22" s="90"/>
      <c r="IS22" s="90"/>
      <c r="IT22" s="90"/>
      <c r="IU22" s="90"/>
      <c r="IV22" s="90"/>
    </row>
    <row r="23" spans="1:256" ht="13.8" x14ac:dyDescent="0.3">
      <c r="A23" s="151" t="s">
        <v>2646</v>
      </c>
      <c r="B23" s="152">
        <v>1</v>
      </c>
      <c r="C23" s="153">
        <v>1300</v>
      </c>
      <c r="D23" s="154"/>
      <c r="E23" s="159">
        <f t="shared" si="3"/>
        <v>1300</v>
      </c>
      <c r="F23" s="89"/>
      <c r="G23" s="148" t="s">
        <v>2647</v>
      </c>
      <c r="H23" s="149">
        <f>(426+77+274+249+291+956)*1000</f>
        <v>2273000</v>
      </c>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0"/>
      <c r="IV23" s="90"/>
    </row>
    <row r="24" spans="1:256" ht="13.8" x14ac:dyDescent="0.3">
      <c r="A24" s="151" t="s">
        <v>2640</v>
      </c>
      <c r="B24" s="152">
        <v>200</v>
      </c>
      <c r="C24" s="153">
        <v>10.5</v>
      </c>
      <c r="D24" s="154"/>
      <c r="E24" s="159">
        <f>C24*B24</f>
        <v>2100</v>
      </c>
      <c r="F24" s="89"/>
      <c r="G24" s="160"/>
      <c r="H24" s="161"/>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90"/>
      <c r="DI24" s="90"/>
      <c r="DJ24" s="90"/>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c r="GU24" s="90"/>
      <c r="GV24" s="90"/>
      <c r="GW24" s="90"/>
      <c r="GX24" s="90"/>
      <c r="GY24" s="90"/>
      <c r="GZ24" s="90"/>
      <c r="HA24" s="90"/>
      <c r="HB24" s="90"/>
      <c r="HC24" s="90"/>
      <c r="HD24" s="90"/>
      <c r="HE24" s="90"/>
      <c r="HF24" s="90"/>
      <c r="HG24" s="90"/>
      <c r="HH24" s="90"/>
      <c r="HI24" s="90"/>
      <c r="HJ24" s="90"/>
      <c r="HK24" s="90"/>
      <c r="HL24" s="90"/>
      <c r="HM24" s="90"/>
      <c r="HN24" s="90"/>
      <c r="HO24" s="90"/>
      <c r="HP24" s="90"/>
      <c r="HQ24" s="90"/>
      <c r="HR24" s="90"/>
      <c r="HS24" s="90"/>
      <c r="HT24" s="90"/>
      <c r="HU24" s="90"/>
      <c r="HV24" s="90"/>
      <c r="HW24" s="90"/>
      <c r="HX24" s="90"/>
      <c r="HY24" s="90"/>
      <c r="HZ24" s="90"/>
      <c r="IA24" s="90"/>
      <c r="IB24" s="90"/>
      <c r="IC24" s="90"/>
      <c r="ID24" s="90"/>
      <c r="IE24" s="90"/>
      <c r="IF24" s="90"/>
      <c r="IG24" s="90"/>
      <c r="IH24" s="90"/>
      <c r="II24" s="90"/>
      <c r="IJ24" s="90"/>
      <c r="IK24" s="90"/>
      <c r="IL24" s="90"/>
      <c r="IM24" s="90"/>
      <c r="IN24" s="90"/>
      <c r="IO24" s="90"/>
      <c r="IP24" s="90"/>
      <c r="IQ24" s="90"/>
      <c r="IR24" s="90"/>
      <c r="IS24" s="90"/>
      <c r="IT24" s="90"/>
      <c r="IU24" s="90"/>
      <c r="IV24" s="90"/>
    </row>
    <row r="25" spans="1:256" ht="14.4" thickBot="1" x14ac:dyDescent="0.35">
      <c r="A25" s="151" t="s">
        <v>2638</v>
      </c>
      <c r="B25" s="152">
        <v>70</v>
      </c>
      <c r="C25" s="153">
        <v>42</v>
      </c>
      <c r="D25" s="154"/>
      <c r="E25" s="155">
        <f t="shared" si="3"/>
        <v>2940</v>
      </c>
      <c r="F25" s="89"/>
      <c r="G25" s="157" t="s">
        <v>2639</v>
      </c>
      <c r="H25" s="158">
        <f>SUM(H15:H24)</f>
        <v>8126003.8980719997</v>
      </c>
      <c r="I25" s="90"/>
      <c r="J25" s="142"/>
      <c r="K25" s="142"/>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90"/>
      <c r="DI25" s="90"/>
      <c r="DJ25" s="90"/>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G25" s="90"/>
      <c r="GH25" s="90"/>
      <c r="GI25" s="90"/>
      <c r="GJ25" s="90"/>
      <c r="GK25" s="90"/>
      <c r="GL25" s="90"/>
      <c r="GM25" s="90"/>
      <c r="GN25" s="90"/>
      <c r="GO25" s="90"/>
      <c r="GP25" s="90"/>
      <c r="GQ25" s="90"/>
      <c r="GR25" s="90"/>
      <c r="GS25" s="90"/>
      <c r="GT25" s="90"/>
      <c r="GU25" s="90"/>
      <c r="GV25" s="90"/>
      <c r="GW25" s="90"/>
      <c r="GX25" s="90"/>
      <c r="GY25" s="90"/>
      <c r="GZ25" s="90"/>
      <c r="HA25" s="90"/>
      <c r="HB25" s="90"/>
      <c r="HC25" s="90"/>
      <c r="HD25" s="90"/>
      <c r="HE25" s="90"/>
      <c r="HF25" s="90"/>
      <c r="HG25" s="90"/>
      <c r="HH25" s="90"/>
      <c r="HI25" s="90"/>
      <c r="HJ25" s="90"/>
      <c r="HK25" s="90"/>
      <c r="HL25" s="90"/>
      <c r="HM25" s="90"/>
      <c r="HN25" s="90"/>
      <c r="HO25" s="90"/>
      <c r="HP25" s="90"/>
      <c r="HQ25" s="90"/>
      <c r="HR25" s="90"/>
      <c r="HS25" s="90"/>
      <c r="HT25" s="90"/>
      <c r="HU25" s="90"/>
      <c r="HV25" s="90"/>
      <c r="HW25" s="90"/>
      <c r="HX25" s="90"/>
      <c r="HY25" s="90"/>
      <c r="HZ25" s="90"/>
      <c r="IA25" s="90"/>
      <c r="IB25" s="90"/>
      <c r="IC25" s="90"/>
      <c r="ID25" s="90"/>
      <c r="IE25" s="90"/>
      <c r="IF25" s="90"/>
      <c r="IG25" s="90"/>
      <c r="IH25" s="90"/>
      <c r="II25" s="90"/>
      <c r="IJ25" s="90"/>
      <c r="IK25" s="90"/>
      <c r="IL25" s="90"/>
      <c r="IM25" s="90"/>
      <c r="IN25" s="90"/>
      <c r="IO25" s="90"/>
      <c r="IP25" s="90"/>
      <c r="IQ25" s="90"/>
      <c r="IR25" s="90"/>
      <c r="IS25" s="90"/>
      <c r="IT25" s="90"/>
      <c r="IU25" s="90"/>
      <c r="IV25" s="90"/>
    </row>
    <row r="26" spans="1:256" ht="13.8" x14ac:dyDescent="0.3">
      <c r="A26" s="151" t="s">
        <v>2644</v>
      </c>
      <c r="B26" s="152">
        <v>2</v>
      </c>
      <c r="C26" s="153">
        <v>15500</v>
      </c>
      <c r="D26" s="154"/>
      <c r="E26" s="159">
        <f t="shared" si="3"/>
        <v>31000</v>
      </c>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c r="DE26" s="90"/>
      <c r="DF26" s="90"/>
      <c r="DG26" s="90"/>
      <c r="DH26" s="90"/>
      <c r="DI26" s="90"/>
      <c r="DJ26" s="90"/>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G26" s="90"/>
      <c r="GH26" s="90"/>
      <c r="GI26" s="90"/>
      <c r="GJ26" s="90"/>
      <c r="GK26" s="90"/>
      <c r="GL26" s="90"/>
      <c r="GM26" s="90"/>
      <c r="GN26" s="90"/>
      <c r="GO26" s="90"/>
      <c r="GP26" s="90"/>
      <c r="GQ26" s="90"/>
      <c r="GR26" s="90"/>
      <c r="GS26" s="90"/>
      <c r="GT26" s="90"/>
      <c r="GU26" s="90"/>
      <c r="GV26" s="90"/>
      <c r="GW26" s="90"/>
      <c r="GX26" s="90"/>
      <c r="GY26" s="90"/>
      <c r="GZ26" s="90"/>
      <c r="HA26" s="90"/>
      <c r="HB26" s="90"/>
      <c r="HC26" s="90"/>
      <c r="HD26" s="90"/>
      <c r="HE26" s="90"/>
      <c r="HF26" s="90"/>
      <c r="HG26" s="90"/>
      <c r="HH26" s="90"/>
      <c r="HI26" s="90"/>
      <c r="HJ26" s="90"/>
      <c r="HK26" s="90"/>
      <c r="HL26" s="90"/>
      <c r="HM26" s="90"/>
      <c r="HN26" s="90"/>
      <c r="HO26" s="90"/>
      <c r="HP26" s="90"/>
      <c r="HQ26" s="90"/>
      <c r="HR26" s="90"/>
      <c r="HS26" s="90"/>
      <c r="HT26" s="90"/>
      <c r="HU26" s="90"/>
      <c r="HV26" s="90"/>
      <c r="HW26" s="90"/>
      <c r="HX26" s="90"/>
      <c r="HY26" s="90"/>
      <c r="HZ26" s="90"/>
      <c r="IA26" s="90"/>
      <c r="IB26" s="90"/>
      <c r="IC26" s="90"/>
      <c r="ID26" s="90"/>
      <c r="IE26" s="90"/>
      <c r="IF26" s="90"/>
      <c r="IG26" s="90"/>
      <c r="IH26" s="90"/>
      <c r="II26" s="90"/>
      <c r="IJ26" s="90"/>
      <c r="IK26" s="90"/>
      <c r="IL26" s="90"/>
      <c r="IM26" s="90"/>
      <c r="IN26" s="90"/>
      <c r="IO26" s="90"/>
      <c r="IP26" s="90"/>
      <c r="IQ26" s="90"/>
      <c r="IR26" s="90"/>
      <c r="IS26" s="90"/>
      <c r="IT26" s="90"/>
      <c r="IU26" s="90"/>
      <c r="IV26" s="90"/>
    </row>
    <row r="27" spans="1:256" ht="13.8" x14ac:dyDescent="0.3">
      <c r="A27" s="151" t="s">
        <v>2641</v>
      </c>
      <c r="B27" s="152">
        <v>8</v>
      </c>
      <c r="C27" s="153">
        <v>326</v>
      </c>
      <c r="D27" s="154"/>
      <c r="E27" s="159">
        <f>C27*B27</f>
        <v>2608</v>
      </c>
      <c r="F27" s="90"/>
      <c r="G27" s="90"/>
      <c r="H27" s="142"/>
      <c r="I27" s="137"/>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c r="CN27" s="90"/>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G27" s="90"/>
      <c r="GH27" s="90"/>
      <c r="GI27" s="90"/>
      <c r="GJ27" s="90"/>
      <c r="GK27" s="90"/>
      <c r="GL27" s="90"/>
      <c r="GM27" s="90"/>
      <c r="GN27" s="90"/>
      <c r="GO27" s="90"/>
      <c r="GP27" s="90"/>
      <c r="GQ27" s="90"/>
      <c r="GR27" s="90"/>
      <c r="GS27" s="90"/>
      <c r="GT27" s="90"/>
      <c r="GU27" s="90"/>
      <c r="GV27" s="90"/>
      <c r="GW27" s="90"/>
      <c r="GX27" s="90"/>
      <c r="GY27" s="90"/>
      <c r="GZ27" s="90"/>
      <c r="HA27" s="90"/>
      <c r="HB27" s="90"/>
      <c r="HC27" s="90"/>
      <c r="HD27" s="90"/>
      <c r="HE27" s="90"/>
      <c r="HF27" s="90"/>
      <c r="HG27" s="90"/>
      <c r="HH27" s="90"/>
      <c r="HI27" s="90"/>
      <c r="HJ27" s="90"/>
      <c r="HK27" s="90"/>
      <c r="HL27" s="90"/>
      <c r="HM27" s="90"/>
      <c r="HN27" s="90"/>
      <c r="HO27" s="90"/>
      <c r="HP27" s="90"/>
      <c r="HQ27" s="90"/>
      <c r="HR27" s="90"/>
      <c r="HS27" s="90"/>
      <c r="HT27" s="90"/>
      <c r="HU27" s="90"/>
      <c r="HV27" s="90"/>
      <c r="HW27" s="90"/>
      <c r="HX27" s="90"/>
      <c r="HY27" s="90"/>
      <c r="HZ27" s="90"/>
      <c r="IA27" s="90"/>
      <c r="IB27" s="90"/>
      <c r="IC27" s="90"/>
      <c r="ID27" s="90"/>
      <c r="IE27" s="90"/>
      <c r="IF27" s="90"/>
      <c r="IG27" s="90"/>
      <c r="IH27" s="90"/>
      <c r="II27" s="90"/>
      <c r="IJ27" s="90"/>
      <c r="IK27" s="90"/>
      <c r="IL27" s="90"/>
      <c r="IM27" s="90"/>
      <c r="IN27" s="90"/>
      <c r="IO27" s="90"/>
      <c r="IP27" s="90"/>
      <c r="IQ27" s="90"/>
      <c r="IR27" s="90"/>
      <c r="IS27" s="90"/>
      <c r="IT27" s="90"/>
      <c r="IU27" s="90"/>
      <c r="IV27" s="90"/>
    </row>
    <row r="28" spans="1:256" ht="13.8" x14ac:dyDescent="0.3">
      <c r="A28" s="151"/>
      <c r="B28" s="162"/>
      <c r="C28" s="153"/>
      <c r="D28" s="154"/>
      <c r="E28" s="163">
        <f>SUM(E19:E27)</f>
        <v>103663</v>
      </c>
      <c r="F28" s="90"/>
      <c r="G28" s="164" t="s">
        <v>2648</v>
      </c>
      <c r="H28" s="165" t="e">
        <f>H25/'2024 R0'!AD1997</f>
        <v>#REF!</v>
      </c>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G28" s="90"/>
      <c r="GH28" s="90"/>
      <c r="GI28" s="90"/>
      <c r="GJ28" s="90"/>
      <c r="GK28" s="90"/>
      <c r="GL28" s="90"/>
      <c r="GM28" s="90"/>
      <c r="GN28" s="90"/>
      <c r="GO28" s="90"/>
      <c r="GP28" s="90"/>
      <c r="GQ28" s="90"/>
      <c r="GR28" s="90"/>
      <c r="GS28" s="90"/>
      <c r="GT28" s="90"/>
      <c r="GU28" s="90"/>
      <c r="GV28" s="90"/>
      <c r="GW28" s="90"/>
      <c r="GX28" s="90"/>
      <c r="GY28" s="90"/>
      <c r="GZ28" s="90"/>
      <c r="HA28" s="90"/>
      <c r="HB28" s="90"/>
      <c r="HC28" s="90"/>
      <c r="HD28" s="90"/>
      <c r="HE28" s="90"/>
      <c r="HF28" s="90"/>
      <c r="HG28" s="90"/>
      <c r="HH28" s="90"/>
      <c r="HI28" s="90"/>
      <c r="HJ28" s="90"/>
      <c r="HK28" s="90"/>
      <c r="HL28" s="90"/>
      <c r="HM28" s="90"/>
      <c r="HN28" s="90"/>
      <c r="HO28" s="90"/>
      <c r="HP28" s="90"/>
      <c r="HQ28" s="90"/>
      <c r="HR28" s="90"/>
      <c r="HS28" s="90"/>
      <c r="HT28" s="90"/>
      <c r="HU28" s="90"/>
      <c r="HV28" s="90"/>
      <c r="HW28" s="90"/>
      <c r="HX28" s="90"/>
      <c r="HY28" s="90"/>
      <c r="HZ28" s="90"/>
      <c r="IA28" s="90"/>
      <c r="IB28" s="90"/>
      <c r="IC28" s="90"/>
      <c r="ID28" s="90"/>
      <c r="IE28" s="90"/>
      <c r="IF28" s="90"/>
      <c r="IG28" s="90"/>
      <c r="IH28" s="90"/>
      <c r="II28" s="90"/>
      <c r="IJ28" s="90"/>
      <c r="IK28" s="90"/>
      <c r="IL28" s="90"/>
      <c r="IM28" s="90"/>
      <c r="IN28" s="90"/>
      <c r="IO28" s="90"/>
      <c r="IP28" s="90"/>
      <c r="IQ28" s="90"/>
      <c r="IR28" s="90"/>
      <c r="IS28" s="90"/>
      <c r="IT28" s="90"/>
      <c r="IU28" s="90"/>
      <c r="IV28" s="90"/>
    </row>
    <row r="29" spans="1:256" ht="13.8" x14ac:dyDescent="0.3">
      <c r="A29" s="90"/>
      <c r="B29" s="130"/>
      <c r="C29" s="90"/>
      <c r="D29" s="89"/>
      <c r="E29" s="89"/>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G29" s="90"/>
      <c r="GH29" s="90"/>
      <c r="GI29" s="90"/>
      <c r="GJ29" s="90"/>
      <c r="GK29" s="90"/>
      <c r="GL29" s="90"/>
      <c r="GM29" s="90"/>
      <c r="GN29" s="90"/>
      <c r="GO29" s="90"/>
      <c r="GP29" s="90"/>
      <c r="GQ29" s="90"/>
      <c r="GR29" s="90"/>
      <c r="GS29" s="90"/>
      <c r="GT29" s="90"/>
      <c r="GU29" s="90"/>
      <c r="GV29" s="90"/>
      <c r="GW29" s="90"/>
      <c r="GX29" s="90"/>
      <c r="GY29" s="90"/>
      <c r="GZ29" s="90"/>
      <c r="HA29" s="90"/>
      <c r="HB29" s="90"/>
      <c r="HC29" s="90"/>
      <c r="HD29" s="90"/>
      <c r="HE29" s="90"/>
      <c r="HF29" s="90"/>
      <c r="HG29" s="90"/>
      <c r="HH29" s="90"/>
      <c r="HI29" s="90"/>
      <c r="HJ29" s="90"/>
      <c r="HK29" s="90"/>
      <c r="HL29" s="90"/>
      <c r="HM29" s="90"/>
      <c r="HN29" s="90"/>
      <c r="HO29" s="90"/>
      <c r="HP29" s="90"/>
      <c r="HQ29" s="90"/>
      <c r="HR29" s="90"/>
      <c r="HS29" s="90"/>
      <c r="HT29" s="90"/>
      <c r="HU29" s="90"/>
      <c r="HV29" s="90"/>
      <c r="HW29" s="90"/>
      <c r="HX29" s="90"/>
      <c r="HY29" s="90"/>
      <c r="HZ29" s="90"/>
      <c r="IA29" s="90"/>
      <c r="IB29" s="90"/>
      <c r="IC29" s="90"/>
      <c r="ID29" s="90"/>
      <c r="IE29" s="90"/>
      <c r="IF29" s="90"/>
      <c r="IG29" s="90"/>
      <c r="IH29" s="90"/>
      <c r="II29" s="90"/>
      <c r="IJ29" s="90"/>
      <c r="IK29" s="90"/>
      <c r="IL29" s="90"/>
      <c r="IM29" s="90"/>
      <c r="IN29" s="90"/>
      <c r="IO29" s="90"/>
      <c r="IP29" s="90"/>
      <c r="IQ29" s="90"/>
      <c r="IR29" s="90"/>
      <c r="IS29" s="90"/>
      <c r="IT29" s="90"/>
      <c r="IU29" s="90"/>
      <c r="IV29" s="90"/>
    </row>
    <row r="30" spans="1:256" ht="13.8" x14ac:dyDescent="0.3">
      <c r="A30" s="90" t="s">
        <v>2642</v>
      </c>
      <c r="B30" s="130"/>
      <c r="C30" s="90"/>
      <c r="D30" s="89"/>
      <c r="E30" s="89"/>
      <c r="F30" s="90"/>
      <c r="G30" s="90"/>
      <c r="H30" s="165"/>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G30" s="90"/>
      <c r="GH30" s="90"/>
      <c r="GI30" s="90"/>
      <c r="GJ30" s="90"/>
      <c r="GK30" s="90"/>
      <c r="GL30" s="90"/>
      <c r="GM30" s="90"/>
      <c r="GN30" s="90"/>
      <c r="GO30" s="90"/>
      <c r="GP30" s="90"/>
      <c r="GQ30" s="90"/>
      <c r="GR30" s="90"/>
      <c r="GS30" s="90"/>
      <c r="GT30" s="90"/>
      <c r="GU30" s="90"/>
      <c r="GV30" s="90"/>
      <c r="GW30" s="90"/>
      <c r="GX30" s="90"/>
      <c r="GY30" s="90"/>
      <c r="GZ30" s="90"/>
      <c r="HA30" s="90"/>
      <c r="HB30" s="90"/>
      <c r="HC30" s="90"/>
      <c r="HD30" s="90"/>
      <c r="HE30" s="90"/>
      <c r="HF30" s="90"/>
      <c r="HG30" s="90"/>
      <c r="HH30" s="90"/>
      <c r="HI30" s="90"/>
      <c r="HJ30" s="90"/>
      <c r="HK30" s="90"/>
      <c r="HL30" s="90"/>
      <c r="HM30" s="90"/>
      <c r="HN30" s="90"/>
      <c r="HO30" s="90"/>
      <c r="HP30" s="90"/>
      <c r="HQ30" s="90"/>
      <c r="HR30" s="90"/>
      <c r="HS30" s="90"/>
      <c r="HT30" s="90"/>
      <c r="HU30" s="90"/>
      <c r="HV30" s="90"/>
      <c r="HW30" s="90"/>
      <c r="HX30" s="90"/>
      <c r="HY30" s="90"/>
      <c r="HZ30" s="90"/>
      <c r="IA30" s="90"/>
      <c r="IB30" s="90"/>
      <c r="IC30" s="90"/>
      <c r="ID30" s="90"/>
      <c r="IE30" s="90"/>
      <c r="IF30" s="90"/>
      <c r="IG30" s="90"/>
      <c r="IH30" s="90"/>
      <c r="II30" s="90"/>
      <c r="IJ30" s="90"/>
      <c r="IK30" s="90"/>
      <c r="IL30" s="90"/>
      <c r="IM30" s="90"/>
      <c r="IN30" s="90"/>
      <c r="IO30" s="90"/>
      <c r="IP30" s="90"/>
      <c r="IQ30" s="90"/>
      <c r="IR30" s="90"/>
      <c r="IS30" s="90"/>
      <c r="IT30" s="90"/>
      <c r="IU30" s="90"/>
      <c r="IV30" s="90"/>
    </row>
    <row r="31" spans="1:256" ht="13.8" x14ac:dyDescent="0.3">
      <c r="A31" s="166" t="s">
        <v>2645</v>
      </c>
      <c r="B31" s="130"/>
      <c r="C31" s="90"/>
      <c r="D31" s="89"/>
      <c r="E31" s="89"/>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G31" s="90"/>
      <c r="GH31" s="90"/>
      <c r="GI31" s="90"/>
      <c r="GJ31" s="90"/>
      <c r="GK31" s="90"/>
      <c r="GL31" s="90"/>
      <c r="GM31" s="90"/>
      <c r="GN31" s="90"/>
      <c r="GO31" s="90"/>
      <c r="GP31" s="90"/>
      <c r="GQ31" s="90"/>
      <c r="GR31" s="90"/>
      <c r="GS31" s="90"/>
      <c r="GT31" s="90"/>
      <c r="GU31" s="90"/>
      <c r="GV31" s="90"/>
      <c r="GW31" s="90"/>
      <c r="GX31" s="90"/>
      <c r="GY31" s="90"/>
      <c r="GZ31" s="90"/>
      <c r="HA31" s="90"/>
      <c r="HB31" s="90"/>
      <c r="HC31" s="90"/>
      <c r="HD31" s="90"/>
      <c r="HE31" s="90"/>
      <c r="HF31" s="90"/>
      <c r="HG31" s="90"/>
      <c r="HH31" s="90"/>
      <c r="HI31" s="90"/>
      <c r="HJ31" s="90"/>
      <c r="HK31" s="90"/>
      <c r="HL31" s="90"/>
      <c r="HM31" s="90"/>
      <c r="HN31" s="90"/>
      <c r="HO31" s="90"/>
      <c r="HP31" s="90"/>
      <c r="HQ31" s="90"/>
      <c r="HR31" s="90"/>
      <c r="HS31" s="90"/>
      <c r="HT31" s="90"/>
      <c r="HU31" s="90"/>
      <c r="HV31" s="90"/>
      <c r="HW31" s="90"/>
      <c r="HX31" s="90"/>
      <c r="HY31" s="90"/>
      <c r="HZ31" s="90"/>
      <c r="IA31" s="90"/>
      <c r="IB31" s="90"/>
      <c r="IC31" s="90"/>
      <c r="ID31" s="90"/>
      <c r="IE31" s="90"/>
      <c r="IF31" s="90"/>
      <c r="IG31" s="90"/>
      <c r="IH31" s="90"/>
      <c r="II31" s="90"/>
      <c r="IJ31" s="90"/>
      <c r="IK31" s="90"/>
      <c r="IL31" s="90"/>
      <c r="IM31" s="90"/>
      <c r="IN31" s="90"/>
      <c r="IO31" s="90"/>
      <c r="IP31" s="90"/>
      <c r="IQ31" s="90"/>
      <c r="IR31" s="90"/>
      <c r="IS31" s="90"/>
      <c r="IT31" s="90"/>
      <c r="IU31" s="90"/>
      <c r="IV31" s="90"/>
    </row>
    <row r="32" spans="1:256" ht="14.4" thickBot="1" x14ac:dyDescent="0.35">
      <c r="A32" s="167"/>
      <c r="B32" s="168"/>
      <c r="C32" s="167"/>
      <c r="D32" s="169"/>
      <c r="E32" s="169"/>
      <c r="F32" s="167"/>
      <c r="G32" s="167"/>
      <c r="H32" s="167"/>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G32" s="90"/>
      <c r="GH32" s="90"/>
      <c r="GI32" s="90"/>
      <c r="GJ32" s="90"/>
      <c r="GK32" s="90"/>
      <c r="GL32" s="90"/>
      <c r="GM32" s="90"/>
      <c r="GN32" s="90"/>
      <c r="GO32" s="90"/>
      <c r="GP32" s="90"/>
      <c r="GQ32" s="90"/>
      <c r="GR32" s="90"/>
      <c r="GS32" s="90"/>
      <c r="GT32" s="90"/>
      <c r="GU32" s="90"/>
      <c r="GV32" s="90"/>
      <c r="GW32" s="90"/>
      <c r="GX32" s="90"/>
      <c r="GY32" s="90"/>
      <c r="GZ32" s="90"/>
      <c r="HA32" s="90"/>
      <c r="HB32" s="90"/>
      <c r="HC32" s="90"/>
      <c r="HD32" s="90"/>
      <c r="HE32" s="90"/>
      <c r="HF32" s="90"/>
      <c r="HG32" s="90"/>
      <c r="HH32" s="90"/>
      <c r="HI32" s="90"/>
      <c r="HJ32" s="90"/>
      <c r="HK32" s="90"/>
      <c r="HL32" s="90"/>
      <c r="HM32" s="90"/>
      <c r="HN32" s="90"/>
      <c r="HO32" s="90"/>
      <c r="HP32" s="90"/>
      <c r="HQ32" s="90"/>
      <c r="HR32" s="90"/>
      <c r="HS32" s="90"/>
      <c r="HT32" s="90"/>
      <c r="HU32" s="90"/>
      <c r="HV32" s="90"/>
      <c r="HW32" s="90"/>
      <c r="HX32" s="90"/>
      <c r="HY32" s="90"/>
      <c r="HZ32" s="90"/>
      <c r="IA32" s="90"/>
      <c r="IB32" s="90"/>
      <c r="IC32" s="90"/>
      <c r="ID32" s="90"/>
      <c r="IE32" s="90"/>
      <c r="IF32" s="90"/>
      <c r="IG32" s="90"/>
      <c r="IH32" s="90"/>
      <c r="II32" s="90"/>
      <c r="IJ32" s="90"/>
      <c r="IK32" s="90"/>
      <c r="IL32" s="90"/>
      <c r="IM32" s="90"/>
      <c r="IN32" s="90"/>
      <c r="IO32" s="90"/>
      <c r="IP32" s="90"/>
      <c r="IQ32" s="90"/>
      <c r="IR32" s="90"/>
      <c r="IS32" s="90"/>
      <c r="IT32" s="90"/>
      <c r="IU32" s="90"/>
      <c r="IV32" s="90"/>
    </row>
    <row r="33" spans="1:256" ht="13.8" x14ac:dyDescent="0.3">
      <c r="A33" s="90"/>
      <c r="B33" s="130"/>
      <c r="C33" s="90"/>
      <c r="D33" s="89"/>
      <c r="E33" s="89"/>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c r="GO33" s="90"/>
      <c r="GP33" s="90"/>
      <c r="GQ33" s="90"/>
      <c r="GR33" s="90"/>
      <c r="GS33" s="90"/>
      <c r="GT33" s="90"/>
      <c r="GU33" s="90"/>
      <c r="GV33" s="90"/>
      <c r="GW33" s="90"/>
      <c r="GX33" s="90"/>
      <c r="GY33" s="90"/>
      <c r="GZ33" s="90"/>
      <c r="HA33" s="90"/>
      <c r="HB33" s="90"/>
      <c r="HC33" s="90"/>
      <c r="HD33" s="90"/>
      <c r="HE33" s="90"/>
      <c r="HF33" s="90"/>
      <c r="HG33" s="90"/>
      <c r="HH33" s="90"/>
      <c r="HI33" s="90"/>
      <c r="HJ33" s="90"/>
      <c r="HK33" s="90"/>
      <c r="HL33" s="90"/>
      <c r="HM33" s="90"/>
      <c r="HN33" s="90"/>
      <c r="HO33" s="90"/>
      <c r="HP33" s="90"/>
      <c r="HQ33" s="90"/>
      <c r="HR33" s="90"/>
      <c r="HS33" s="90"/>
      <c r="HT33" s="90"/>
      <c r="HU33" s="90"/>
      <c r="HV33" s="90"/>
      <c r="HW33" s="90"/>
      <c r="HX33" s="90"/>
      <c r="HY33" s="90"/>
      <c r="HZ33" s="90"/>
      <c r="IA33" s="90"/>
      <c r="IB33" s="90"/>
      <c r="IC33" s="90"/>
      <c r="ID33" s="90"/>
      <c r="IE33" s="90"/>
      <c r="IF33" s="90"/>
      <c r="IG33" s="90"/>
      <c r="IH33" s="90"/>
      <c r="II33" s="90"/>
      <c r="IJ33" s="90"/>
      <c r="IK33" s="90"/>
      <c r="IL33" s="90"/>
      <c r="IM33" s="90"/>
      <c r="IN33" s="90"/>
      <c r="IO33" s="90"/>
      <c r="IP33" s="90"/>
      <c r="IQ33" s="90"/>
      <c r="IR33" s="90"/>
      <c r="IS33" s="90"/>
      <c r="IT33" s="90"/>
      <c r="IU33" s="90"/>
      <c r="IV33" s="90"/>
    </row>
    <row r="34" spans="1:256" ht="13.8" x14ac:dyDescent="0.3">
      <c r="A34" s="90"/>
      <c r="B34" s="130"/>
      <c r="C34" s="90"/>
      <c r="D34" s="89"/>
      <c r="E34" s="89"/>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c r="DE34" s="90"/>
      <c r="DF34" s="90"/>
      <c r="DG34" s="90"/>
      <c r="DH34" s="90"/>
      <c r="DI34" s="90"/>
      <c r="DJ34" s="90"/>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row>
    <row r="35" spans="1:256" ht="13.8" x14ac:dyDescent="0.3">
      <c r="A35" s="90"/>
      <c r="B35" s="130"/>
      <c r="C35" s="90"/>
      <c r="D35" s="89"/>
      <c r="E35" s="89"/>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90"/>
      <c r="HN35" s="90"/>
      <c r="HO35" s="90"/>
      <c r="HP35" s="90"/>
      <c r="HQ35" s="90"/>
      <c r="HR35" s="90"/>
      <c r="HS35" s="90"/>
      <c r="HT35" s="90"/>
      <c r="HU35" s="90"/>
      <c r="HV35" s="90"/>
      <c r="HW35" s="90"/>
      <c r="HX35" s="90"/>
      <c r="HY35" s="90"/>
      <c r="HZ35" s="90"/>
      <c r="IA35" s="90"/>
      <c r="IB35" s="90"/>
      <c r="IC35" s="90"/>
      <c r="ID35" s="90"/>
      <c r="IE35" s="90"/>
      <c r="IF35" s="90"/>
      <c r="IG35" s="90"/>
      <c r="IH35" s="90"/>
      <c r="II35" s="90"/>
      <c r="IJ35" s="90"/>
      <c r="IK35" s="90"/>
      <c r="IL35" s="90"/>
      <c r="IM35" s="90"/>
      <c r="IN35" s="90"/>
      <c r="IO35" s="90"/>
      <c r="IP35" s="90"/>
      <c r="IQ35" s="90"/>
      <c r="IR35" s="90"/>
      <c r="IS35" s="90"/>
      <c r="IT35" s="90"/>
      <c r="IU35" s="90"/>
      <c r="IV35" s="90"/>
    </row>
    <row r="36" spans="1:256" x14ac:dyDescent="0.25">
      <c r="H36" s="171"/>
    </row>
    <row r="39" spans="1:256" x14ac:dyDescent="0.25">
      <c r="E39" s="172"/>
    </row>
    <row r="40" spans="1:256" x14ac:dyDescent="0.25">
      <c r="E40" s="172"/>
    </row>
  </sheetData>
  <mergeCells count="2">
    <mergeCell ref="A1:H1"/>
    <mergeCell ref="A17:F1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B1:G52"/>
  <sheetViews>
    <sheetView workbookViewId="0">
      <selection activeCell="C23" sqref="C23"/>
    </sheetView>
  </sheetViews>
  <sheetFormatPr defaultColWidth="9.109375" defaultRowHeight="13.8" x14ac:dyDescent="0.3"/>
  <cols>
    <col min="1" max="1" width="9.109375" style="90"/>
    <col min="2" max="2" width="4.5546875" style="90" customWidth="1"/>
    <col min="3" max="3" width="55.33203125" style="90" customWidth="1"/>
    <col min="4" max="5" width="9.109375" style="90"/>
    <col min="6" max="6" width="14.109375" style="90" bestFit="1" customWidth="1"/>
    <col min="7" max="7" width="11.5546875" style="90" bestFit="1" customWidth="1"/>
    <col min="8" max="16384" width="9.109375" style="90"/>
  </cols>
  <sheetData>
    <row r="1" spans="2:7" x14ac:dyDescent="0.3">
      <c r="D1" s="89"/>
      <c r="E1" s="177"/>
      <c r="F1" s="178"/>
      <c r="G1" s="178"/>
    </row>
    <row r="2" spans="2:7" ht="14.4" x14ac:dyDescent="0.3">
      <c r="C2" s="173" t="s">
        <v>2766</v>
      </c>
      <c r="G2" s="189">
        <f>G4+G22+G29</f>
        <v>2839940.82</v>
      </c>
    </row>
    <row r="3" spans="2:7" x14ac:dyDescent="0.3">
      <c r="C3" s="89" t="s">
        <v>2660</v>
      </c>
      <c r="D3" s="89" t="s">
        <v>2661</v>
      </c>
      <c r="E3" s="89" t="s">
        <v>2662</v>
      </c>
      <c r="F3" s="89" t="s">
        <v>2663</v>
      </c>
      <c r="G3" s="130" t="s">
        <v>37</v>
      </c>
    </row>
    <row r="4" spans="2:7" ht="14.4" x14ac:dyDescent="0.3">
      <c r="B4" s="173" t="s">
        <v>2664</v>
      </c>
      <c r="C4" s="173" t="s">
        <v>2767</v>
      </c>
      <c r="G4" s="189">
        <f>SUM(G5:G20)</f>
        <v>1857400.02</v>
      </c>
    </row>
    <row r="5" spans="2:7" x14ac:dyDescent="0.3">
      <c r="B5" s="184" t="s">
        <v>6</v>
      </c>
      <c r="C5" s="90" t="s">
        <v>2768</v>
      </c>
      <c r="D5" s="89" t="s">
        <v>2769</v>
      </c>
      <c r="E5" s="177">
        <v>1</v>
      </c>
      <c r="F5" s="178">
        <v>631279.02</v>
      </c>
      <c r="G5" s="190">
        <f>ROUND(E5*F5,2)</f>
        <v>631279.02</v>
      </c>
    </row>
    <row r="6" spans="2:7" ht="27.6" x14ac:dyDescent="0.3">
      <c r="B6" s="184" t="s">
        <v>7</v>
      </c>
      <c r="C6" s="191" t="s">
        <v>2770</v>
      </c>
      <c r="D6" s="89" t="s">
        <v>2769</v>
      </c>
      <c r="E6" s="177">
        <v>1</v>
      </c>
      <c r="F6" s="178">
        <v>241425</v>
      </c>
      <c r="G6" s="190">
        <f t="shared" ref="G6:G20" si="0">ROUND(E6*F6,2)</f>
        <v>241425</v>
      </c>
    </row>
    <row r="7" spans="2:7" x14ac:dyDescent="0.3">
      <c r="B7" s="184" t="s">
        <v>8</v>
      </c>
      <c r="C7" s="90" t="s">
        <v>2771</v>
      </c>
      <c r="D7" s="89" t="s">
        <v>2675</v>
      </c>
      <c r="E7" s="192">
        <v>4</v>
      </c>
      <c r="F7" s="178">
        <v>27300</v>
      </c>
      <c r="G7" s="190">
        <f t="shared" si="0"/>
        <v>109200</v>
      </c>
    </row>
    <row r="8" spans="2:7" x14ac:dyDescent="0.3">
      <c r="B8" s="184" t="s">
        <v>9</v>
      </c>
      <c r="C8" s="90" t="s">
        <v>2772</v>
      </c>
      <c r="D8" s="89" t="s">
        <v>2675</v>
      </c>
      <c r="E8" s="192">
        <v>3</v>
      </c>
      <c r="F8" s="178">
        <v>21980</v>
      </c>
      <c r="G8" s="190">
        <f t="shared" si="0"/>
        <v>65940</v>
      </c>
    </row>
    <row r="9" spans="2:7" x14ac:dyDescent="0.3">
      <c r="B9" s="184" t="s">
        <v>10</v>
      </c>
      <c r="C9" s="90" t="s">
        <v>2773</v>
      </c>
      <c r="D9" s="89" t="s">
        <v>2675</v>
      </c>
      <c r="E9" s="177">
        <v>9</v>
      </c>
      <c r="F9" s="178">
        <v>4970</v>
      </c>
      <c r="G9" s="190">
        <f t="shared" si="0"/>
        <v>44730</v>
      </c>
    </row>
    <row r="10" spans="2:7" x14ac:dyDescent="0.3">
      <c r="B10" s="184" t="s">
        <v>11</v>
      </c>
      <c r="C10" s="90" t="s">
        <v>2774</v>
      </c>
      <c r="D10" s="89" t="s">
        <v>2675</v>
      </c>
      <c r="E10" s="177">
        <v>17</v>
      </c>
      <c r="F10" s="178">
        <v>3470</v>
      </c>
      <c r="G10" s="190">
        <f t="shared" si="0"/>
        <v>58990</v>
      </c>
    </row>
    <row r="11" spans="2:7" x14ac:dyDescent="0.3">
      <c r="B11" s="184" t="s">
        <v>46</v>
      </c>
      <c r="C11" s="90" t="s">
        <v>2775</v>
      </c>
      <c r="D11" s="89" t="s">
        <v>2675</v>
      </c>
      <c r="E11" s="177">
        <v>3</v>
      </c>
      <c r="F11" s="178">
        <v>1730</v>
      </c>
      <c r="G11" s="190">
        <f t="shared" si="0"/>
        <v>5190</v>
      </c>
    </row>
    <row r="12" spans="2:7" x14ac:dyDescent="0.3">
      <c r="B12" s="184" t="s">
        <v>25</v>
      </c>
      <c r="C12" s="90" t="s">
        <v>2776</v>
      </c>
      <c r="D12" s="89" t="s">
        <v>2675</v>
      </c>
      <c r="E12" s="177">
        <v>5</v>
      </c>
      <c r="F12" s="178">
        <v>4640</v>
      </c>
      <c r="G12" s="190">
        <f t="shared" si="0"/>
        <v>23200</v>
      </c>
    </row>
    <row r="13" spans="2:7" x14ac:dyDescent="0.3">
      <c r="B13" s="184" t="s">
        <v>26</v>
      </c>
      <c r="C13" s="90" t="s">
        <v>2777</v>
      </c>
      <c r="D13" s="89" t="s">
        <v>2675</v>
      </c>
      <c r="E13" s="177">
        <v>4</v>
      </c>
      <c r="F13" s="178">
        <v>839</v>
      </c>
      <c r="G13" s="190">
        <f t="shared" si="0"/>
        <v>3356</v>
      </c>
    </row>
    <row r="14" spans="2:7" x14ac:dyDescent="0.3">
      <c r="B14" s="184" t="s">
        <v>27</v>
      </c>
      <c r="C14" s="90" t="s">
        <v>2778</v>
      </c>
      <c r="D14" s="89" t="s">
        <v>2675</v>
      </c>
      <c r="E14" s="177">
        <v>18</v>
      </c>
      <c r="F14" s="178">
        <v>832</v>
      </c>
      <c r="G14" s="190">
        <f t="shared" si="0"/>
        <v>14976</v>
      </c>
    </row>
    <row r="15" spans="2:7" x14ac:dyDescent="0.3">
      <c r="B15" s="184" t="s">
        <v>28</v>
      </c>
      <c r="C15" s="90" t="s">
        <v>2779</v>
      </c>
      <c r="D15" s="89" t="s">
        <v>2675</v>
      </c>
      <c r="E15" s="177">
        <v>3</v>
      </c>
      <c r="F15" s="178">
        <v>428</v>
      </c>
      <c r="G15" s="190">
        <f t="shared" si="0"/>
        <v>1284</v>
      </c>
    </row>
    <row r="16" spans="2:7" x14ac:dyDescent="0.3">
      <c r="B16" s="184" t="s">
        <v>29</v>
      </c>
      <c r="C16" s="90" t="s">
        <v>2780</v>
      </c>
      <c r="D16" s="89" t="s">
        <v>2675</v>
      </c>
      <c r="E16" s="177">
        <v>1</v>
      </c>
      <c r="F16" s="178">
        <v>89400</v>
      </c>
      <c r="G16" s="190">
        <f t="shared" si="0"/>
        <v>89400</v>
      </c>
    </row>
    <row r="17" spans="2:7" x14ac:dyDescent="0.3">
      <c r="B17" s="184" t="s">
        <v>30</v>
      </c>
      <c r="C17" s="90" t="s">
        <v>2781</v>
      </c>
      <c r="D17" s="89" t="s">
        <v>2675</v>
      </c>
      <c r="E17" s="192">
        <v>10</v>
      </c>
      <c r="F17" s="193">
        <v>500</v>
      </c>
      <c r="G17" s="190">
        <f t="shared" si="0"/>
        <v>5000</v>
      </c>
    </row>
    <row r="18" spans="2:7" x14ac:dyDescent="0.3">
      <c r="B18" s="184" t="s">
        <v>52</v>
      </c>
      <c r="C18" s="90" t="s">
        <v>2782</v>
      </c>
      <c r="D18" s="89" t="s">
        <v>2675</v>
      </c>
      <c r="E18" s="177">
        <v>2</v>
      </c>
      <c r="F18" s="178">
        <v>6840</v>
      </c>
      <c r="G18" s="190">
        <f t="shared" si="0"/>
        <v>13680</v>
      </c>
    </row>
    <row r="19" spans="2:7" x14ac:dyDescent="0.3">
      <c r="B19" s="184" t="s">
        <v>58</v>
      </c>
      <c r="C19" s="90" t="s">
        <v>2783</v>
      </c>
      <c r="D19" s="89" t="s">
        <v>2703</v>
      </c>
      <c r="E19" s="177">
        <v>1</v>
      </c>
      <c r="F19" s="178">
        <v>156000</v>
      </c>
      <c r="G19" s="190">
        <f t="shared" si="0"/>
        <v>156000</v>
      </c>
    </row>
    <row r="20" spans="2:7" x14ac:dyDescent="0.3">
      <c r="B20" s="184" t="s">
        <v>148</v>
      </c>
      <c r="C20" s="90" t="s">
        <v>2784</v>
      </c>
      <c r="D20" s="89" t="s">
        <v>2703</v>
      </c>
      <c r="E20" s="177">
        <v>1</v>
      </c>
      <c r="F20" s="178">
        <v>393750</v>
      </c>
      <c r="G20" s="190">
        <f t="shared" si="0"/>
        <v>393750</v>
      </c>
    </row>
    <row r="21" spans="2:7" ht="7.2" customHeight="1" x14ac:dyDescent="0.3">
      <c r="D21" s="89"/>
      <c r="E21" s="177"/>
      <c r="F21" s="89"/>
      <c r="G21" s="130"/>
    </row>
    <row r="22" spans="2:7" ht="14.4" x14ac:dyDescent="0.3">
      <c r="B22" s="173" t="s">
        <v>2706</v>
      </c>
      <c r="C22" s="173" t="s">
        <v>2785</v>
      </c>
      <c r="G22" s="195">
        <f>SUM(G23:G27)</f>
        <v>956820</v>
      </c>
    </row>
    <row r="23" spans="2:7" x14ac:dyDescent="0.3">
      <c r="B23" s="90" t="s">
        <v>12</v>
      </c>
      <c r="C23" s="90" t="s">
        <v>2786</v>
      </c>
      <c r="D23" s="89" t="s">
        <v>2675</v>
      </c>
      <c r="E23" s="177">
        <v>1</v>
      </c>
      <c r="F23" s="178">
        <v>19500</v>
      </c>
      <c r="G23" s="190">
        <f>ROUND(E23*F23,2)</f>
        <v>19500</v>
      </c>
    </row>
    <row r="24" spans="2:7" x14ac:dyDescent="0.3">
      <c r="B24" s="90" t="s">
        <v>13</v>
      </c>
      <c r="C24" s="90" t="s">
        <v>2787</v>
      </c>
      <c r="D24" s="89" t="s">
        <v>2675</v>
      </c>
      <c r="E24" s="177">
        <v>1</v>
      </c>
      <c r="F24" s="178">
        <v>488400</v>
      </c>
      <c r="G24" s="190">
        <f>ROUND(E24*F24,2)</f>
        <v>488400</v>
      </c>
    </row>
    <row r="25" spans="2:7" x14ac:dyDescent="0.3">
      <c r="B25" s="90" t="s">
        <v>24</v>
      </c>
      <c r="C25" s="90" t="s">
        <v>2788</v>
      </c>
      <c r="D25" s="89" t="s">
        <v>2675</v>
      </c>
      <c r="E25" s="177">
        <v>1</v>
      </c>
      <c r="F25" s="178">
        <v>245700</v>
      </c>
      <c r="G25" s="190">
        <f>ROUND(E25*F25,2)</f>
        <v>245700</v>
      </c>
    </row>
    <row r="26" spans="2:7" x14ac:dyDescent="0.3">
      <c r="B26" s="90" t="s">
        <v>42</v>
      </c>
      <c r="C26" s="90" t="s">
        <v>2789</v>
      </c>
      <c r="D26" s="89" t="s">
        <v>2675</v>
      </c>
      <c r="E26" s="177">
        <v>1</v>
      </c>
      <c r="F26" s="178">
        <v>69840</v>
      </c>
      <c r="G26" s="190">
        <f>ROUND(E26*F26,2)</f>
        <v>69840</v>
      </c>
    </row>
    <row r="27" spans="2:7" x14ac:dyDescent="0.3">
      <c r="B27" s="90" t="s">
        <v>43</v>
      </c>
      <c r="C27" s="90" t="s">
        <v>2790</v>
      </c>
      <c r="D27" s="89" t="s">
        <v>2675</v>
      </c>
      <c r="E27" s="177">
        <v>1</v>
      </c>
      <c r="F27" s="178">
        <v>133380</v>
      </c>
      <c r="G27" s="190">
        <f>ROUND(E27*F27,2)</f>
        <v>133380</v>
      </c>
    </row>
    <row r="28" spans="2:7" ht="8.4" customHeight="1" x14ac:dyDescent="0.3">
      <c r="D28" s="89"/>
      <c r="E28" s="89"/>
      <c r="F28" s="89"/>
      <c r="G28" s="130"/>
    </row>
    <row r="29" spans="2:7" ht="14.4" x14ac:dyDescent="0.3">
      <c r="B29" s="173" t="s">
        <v>2718</v>
      </c>
      <c r="C29" s="173" t="s">
        <v>2791</v>
      </c>
      <c r="G29" s="189">
        <f>SUM(G30:G31)</f>
        <v>25720.799999999999</v>
      </c>
    </row>
    <row r="30" spans="2:7" ht="55.2" x14ac:dyDescent="0.3">
      <c r="B30" s="184" t="s">
        <v>14</v>
      </c>
      <c r="C30" s="180" t="s">
        <v>2792</v>
      </c>
      <c r="D30" s="89" t="s">
        <v>2675</v>
      </c>
      <c r="E30" s="177">
        <v>16</v>
      </c>
      <c r="F30" s="178">
        <v>1438.8</v>
      </c>
      <c r="G30" s="190">
        <f>ROUND(E30*F30,2)</f>
        <v>23020.799999999999</v>
      </c>
    </row>
    <row r="31" spans="2:7" x14ac:dyDescent="0.3">
      <c r="B31" s="90" t="s">
        <v>23</v>
      </c>
      <c r="C31" s="90" t="s">
        <v>2793</v>
      </c>
      <c r="D31" s="89" t="s">
        <v>2703</v>
      </c>
      <c r="E31" s="177">
        <v>1</v>
      </c>
      <c r="F31" s="178">
        <v>2700</v>
      </c>
      <c r="G31" s="190">
        <f>ROUND(E31*F31,2)</f>
        <v>2700</v>
      </c>
    </row>
    <row r="32" spans="2:7" x14ac:dyDescent="0.3">
      <c r="G32" s="130"/>
    </row>
    <row r="33" spans="2:7" x14ac:dyDescent="0.3">
      <c r="G33" s="194"/>
    </row>
    <row r="38" spans="2:7" ht="14.4" x14ac:dyDescent="0.3">
      <c r="C38" s="173"/>
      <c r="G38" s="189"/>
    </row>
    <row r="39" spans="2:7" x14ac:dyDescent="0.3">
      <c r="C39" s="89"/>
      <c r="D39" s="89"/>
      <c r="E39" s="89"/>
      <c r="F39" s="89"/>
      <c r="G39" s="130"/>
    </row>
    <row r="40" spans="2:7" ht="14.4" x14ac:dyDescent="0.3">
      <c r="B40" s="173"/>
      <c r="C40" s="173"/>
      <c r="G40" s="189"/>
    </row>
    <row r="41" spans="2:7" x14ac:dyDescent="0.3">
      <c r="B41" s="184"/>
      <c r="D41" s="89"/>
      <c r="E41" s="177"/>
      <c r="F41" s="178"/>
      <c r="G41" s="190"/>
    </row>
    <row r="42" spans="2:7" x14ac:dyDescent="0.3">
      <c r="B42" s="184"/>
      <c r="D42" s="89"/>
      <c r="E42" s="177"/>
      <c r="F42" s="178"/>
      <c r="G42" s="190"/>
    </row>
    <row r="43" spans="2:7" x14ac:dyDescent="0.3">
      <c r="B43" s="184"/>
      <c r="C43" s="180"/>
      <c r="D43" s="89"/>
      <c r="E43" s="177"/>
      <c r="F43" s="178"/>
      <c r="G43" s="190"/>
    </row>
    <row r="44" spans="2:7" x14ac:dyDescent="0.3">
      <c r="B44" s="184"/>
      <c r="C44" s="180"/>
      <c r="D44" s="89"/>
      <c r="E44" s="177"/>
      <c r="F44" s="178"/>
      <c r="G44" s="190"/>
    </row>
    <row r="45" spans="2:7" x14ac:dyDescent="0.3">
      <c r="B45" s="184"/>
      <c r="C45" s="180"/>
      <c r="D45" s="89"/>
      <c r="E45" s="177"/>
      <c r="F45" s="178"/>
      <c r="G45" s="190"/>
    </row>
    <row r="46" spans="2:7" x14ac:dyDescent="0.3">
      <c r="B46" s="184"/>
      <c r="C46" s="180"/>
      <c r="D46" s="89"/>
      <c r="E46" s="177"/>
      <c r="F46" s="178"/>
      <c r="G46" s="190"/>
    </row>
    <row r="47" spans="2:7" x14ac:dyDescent="0.3">
      <c r="B47" s="184"/>
      <c r="C47" s="180"/>
      <c r="D47" s="89"/>
      <c r="E47" s="177"/>
      <c r="F47" s="178"/>
      <c r="G47" s="190"/>
    </row>
    <row r="48" spans="2:7" x14ac:dyDescent="0.3">
      <c r="B48" s="184"/>
      <c r="C48" s="180"/>
      <c r="D48" s="89"/>
      <c r="E48" s="177"/>
      <c r="F48" s="178"/>
      <c r="G48" s="190"/>
    </row>
    <row r="49" spans="2:7" x14ac:dyDescent="0.3">
      <c r="D49" s="89"/>
      <c r="E49" s="177"/>
      <c r="F49" s="89"/>
      <c r="G49" s="130"/>
    </row>
    <row r="50" spans="2:7" ht="14.4" x14ac:dyDescent="0.3">
      <c r="B50" s="173"/>
      <c r="C50" s="173"/>
      <c r="G50" s="189"/>
    </row>
    <row r="51" spans="2:7" x14ac:dyDescent="0.3">
      <c r="C51" s="180"/>
      <c r="D51" s="89"/>
      <c r="E51" s="177"/>
      <c r="F51" s="178"/>
      <c r="G51" s="190"/>
    </row>
    <row r="52" spans="2:7" x14ac:dyDescent="0.3">
      <c r="C52" s="180"/>
      <c r="D52" s="89"/>
      <c r="E52" s="177"/>
      <c r="F52" s="178"/>
      <c r="G52" s="190"/>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B2:G122"/>
  <sheetViews>
    <sheetView workbookViewId="0">
      <selection activeCell="C46" sqref="C46"/>
    </sheetView>
  </sheetViews>
  <sheetFormatPr defaultColWidth="9.109375" defaultRowHeight="13.8" x14ac:dyDescent="0.3"/>
  <cols>
    <col min="1" max="1" width="9.109375" style="90"/>
    <col min="2" max="2" width="4.5546875" style="90" customWidth="1"/>
    <col min="3" max="3" width="55.33203125" style="90" customWidth="1"/>
    <col min="4" max="5" width="9.109375" style="90"/>
    <col min="6" max="6" width="14.109375" style="90" bestFit="1" customWidth="1"/>
    <col min="7" max="7" width="12.44140625" style="90" customWidth="1"/>
    <col min="8" max="16384" width="9.109375" style="90"/>
  </cols>
  <sheetData>
    <row r="2" spans="2:7" ht="14.4" x14ac:dyDescent="0.3">
      <c r="C2" s="186" t="s">
        <v>2659</v>
      </c>
      <c r="G2" s="187">
        <f>G4+G42+G57+G70+G82</f>
        <v>5785811.0999999996</v>
      </c>
    </row>
    <row r="3" spans="2:7" x14ac:dyDescent="0.3">
      <c r="C3" s="89" t="s">
        <v>2660</v>
      </c>
      <c r="D3" s="89" t="s">
        <v>2661</v>
      </c>
      <c r="E3" s="89" t="s">
        <v>2662</v>
      </c>
      <c r="F3" s="89" t="s">
        <v>2663</v>
      </c>
      <c r="G3" s="89" t="s">
        <v>37</v>
      </c>
    </row>
    <row r="4" spans="2:7" ht="14.4" x14ac:dyDescent="0.3">
      <c r="B4" s="173" t="s">
        <v>2664</v>
      </c>
      <c r="C4" s="173" t="s">
        <v>2665</v>
      </c>
      <c r="G4" s="174">
        <f>SUM(G5:G40)</f>
        <v>1819528.5799999991</v>
      </c>
    </row>
    <row r="5" spans="2:7" x14ac:dyDescent="0.3">
      <c r="B5" s="90" t="s">
        <v>6</v>
      </c>
      <c r="C5" s="90" t="s">
        <v>2666</v>
      </c>
      <c r="D5" s="89" t="s">
        <v>2667</v>
      </c>
      <c r="E5" s="177">
        <v>8644</v>
      </c>
      <c r="F5" s="178">
        <v>79.17</v>
      </c>
      <c r="G5" s="178">
        <f>ROUND(E5*F5,2)</f>
        <v>684345.48</v>
      </c>
    </row>
    <row r="6" spans="2:7" x14ac:dyDescent="0.3">
      <c r="B6" s="90" t="s">
        <v>7</v>
      </c>
      <c r="C6" s="90" t="s">
        <v>2668</v>
      </c>
      <c r="D6" s="89" t="s">
        <v>2667</v>
      </c>
      <c r="E6" s="177">
        <v>1353</v>
      </c>
      <c r="F6" s="178">
        <v>115.33</v>
      </c>
      <c r="G6" s="178">
        <f t="shared" ref="G6:G40" si="0">ROUND(E6*F6,2)</f>
        <v>156041.49</v>
      </c>
    </row>
    <row r="7" spans="2:7" x14ac:dyDescent="0.3">
      <c r="B7" s="90" t="s">
        <v>8</v>
      </c>
      <c r="C7" s="90" t="s">
        <v>2669</v>
      </c>
      <c r="D7" s="89" t="s">
        <v>2667</v>
      </c>
      <c r="E7" s="177">
        <v>1045</v>
      </c>
      <c r="F7" s="178">
        <v>141.33000000000001</v>
      </c>
      <c r="G7" s="178">
        <f t="shared" si="0"/>
        <v>147689.85</v>
      </c>
    </row>
    <row r="8" spans="2:7" x14ac:dyDescent="0.3">
      <c r="B8" s="90" t="s">
        <v>9</v>
      </c>
      <c r="C8" s="90" t="s">
        <v>2670</v>
      </c>
      <c r="D8" s="89" t="s">
        <v>2667</v>
      </c>
      <c r="E8" s="177">
        <v>193</v>
      </c>
      <c r="F8" s="178">
        <v>216.83</v>
      </c>
      <c r="G8" s="178">
        <f t="shared" si="0"/>
        <v>41848.19</v>
      </c>
    </row>
    <row r="9" spans="2:7" x14ac:dyDescent="0.3">
      <c r="B9" s="90" t="s">
        <v>10</v>
      </c>
      <c r="C9" s="90" t="s">
        <v>2671</v>
      </c>
      <c r="D9" s="89" t="s">
        <v>2667</v>
      </c>
      <c r="E9" s="177">
        <v>128</v>
      </c>
      <c r="F9" s="178">
        <v>254.83</v>
      </c>
      <c r="G9" s="178">
        <f t="shared" si="0"/>
        <v>32618.240000000002</v>
      </c>
    </row>
    <row r="10" spans="2:7" x14ac:dyDescent="0.3">
      <c r="B10" s="90" t="s">
        <v>11</v>
      </c>
      <c r="C10" s="90" t="s">
        <v>2672</v>
      </c>
      <c r="D10" s="89" t="s">
        <v>2667</v>
      </c>
      <c r="E10" s="177">
        <v>198</v>
      </c>
      <c r="F10" s="178">
        <v>340.17</v>
      </c>
      <c r="G10" s="178">
        <f t="shared" si="0"/>
        <v>67353.66</v>
      </c>
    </row>
    <row r="11" spans="2:7" x14ac:dyDescent="0.3">
      <c r="B11" s="90" t="s">
        <v>46</v>
      </c>
      <c r="C11" s="90" t="s">
        <v>2673</v>
      </c>
      <c r="D11" s="89" t="s">
        <v>2667</v>
      </c>
      <c r="E11" s="177">
        <v>46</v>
      </c>
      <c r="F11" s="178">
        <v>426.33</v>
      </c>
      <c r="G11" s="178">
        <f t="shared" si="0"/>
        <v>19611.18</v>
      </c>
    </row>
    <row r="12" spans="2:7" x14ac:dyDescent="0.3">
      <c r="B12" s="90" t="s">
        <v>25</v>
      </c>
      <c r="C12" s="90" t="s">
        <v>2674</v>
      </c>
      <c r="D12" s="89" t="s">
        <v>2675</v>
      </c>
      <c r="E12" s="177">
        <v>43</v>
      </c>
      <c r="F12" s="178">
        <v>83.33</v>
      </c>
      <c r="G12" s="178">
        <f t="shared" si="0"/>
        <v>3583.19</v>
      </c>
    </row>
    <row r="13" spans="2:7" x14ac:dyDescent="0.3">
      <c r="B13" s="90" t="s">
        <v>26</v>
      </c>
      <c r="C13" s="90" t="s">
        <v>2676</v>
      </c>
      <c r="D13" s="89" t="s">
        <v>2675</v>
      </c>
      <c r="E13" s="177">
        <v>3</v>
      </c>
      <c r="F13" s="178">
        <v>83.33</v>
      </c>
      <c r="G13" s="178">
        <f t="shared" si="0"/>
        <v>249.99</v>
      </c>
    </row>
    <row r="14" spans="2:7" x14ac:dyDescent="0.3">
      <c r="B14" s="90" t="s">
        <v>27</v>
      </c>
      <c r="C14" s="90" t="s">
        <v>2677</v>
      </c>
      <c r="D14" s="89" t="s">
        <v>2675</v>
      </c>
      <c r="E14" s="177">
        <v>6</v>
      </c>
      <c r="F14" s="178">
        <v>83.33</v>
      </c>
      <c r="G14" s="178">
        <f t="shared" si="0"/>
        <v>499.98</v>
      </c>
    </row>
    <row r="15" spans="2:7" x14ac:dyDescent="0.3">
      <c r="B15" s="90" t="s">
        <v>28</v>
      </c>
      <c r="C15" s="90" t="s">
        <v>2678</v>
      </c>
      <c r="D15" s="89" t="s">
        <v>2675</v>
      </c>
      <c r="E15" s="177">
        <v>21</v>
      </c>
      <c r="F15" s="178">
        <v>83.33</v>
      </c>
      <c r="G15" s="178">
        <f t="shared" si="0"/>
        <v>1749.93</v>
      </c>
    </row>
    <row r="16" spans="2:7" x14ac:dyDescent="0.3">
      <c r="B16" s="90" t="s">
        <v>29</v>
      </c>
      <c r="C16" s="90" t="s">
        <v>2679</v>
      </c>
      <c r="D16" s="89" t="s">
        <v>2675</v>
      </c>
      <c r="E16" s="177">
        <v>17</v>
      </c>
      <c r="F16" s="178">
        <v>83.33</v>
      </c>
      <c r="G16" s="178">
        <f t="shared" si="0"/>
        <v>1416.61</v>
      </c>
    </row>
    <row r="17" spans="2:7" x14ac:dyDescent="0.3">
      <c r="B17" s="90" t="s">
        <v>30</v>
      </c>
      <c r="C17" s="90" t="s">
        <v>2680</v>
      </c>
      <c r="D17" s="89" t="s">
        <v>2675</v>
      </c>
      <c r="E17" s="177">
        <v>149</v>
      </c>
      <c r="F17" s="178">
        <v>90.68</v>
      </c>
      <c r="G17" s="178">
        <f t="shared" si="0"/>
        <v>13511.32</v>
      </c>
    </row>
    <row r="18" spans="2:7" x14ac:dyDescent="0.3">
      <c r="B18" s="90" t="s">
        <v>52</v>
      </c>
      <c r="C18" s="90" t="s">
        <v>2681</v>
      </c>
      <c r="D18" s="89" t="s">
        <v>2675</v>
      </c>
      <c r="E18" s="177">
        <v>1</v>
      </c>
      <c r="F18" s="178">
        <v>330.9</v>
      </c>
      <c r="G18" s="178">
        <f t="shared" si="0"/>
        <v>330.9</v>
      </c>
    </row>
    <row r="19" spans="2:7" x14ac:dyDescent="0.3">
      <c r="B19" s="90" t="s">
        <v>58</v>
      </c>
      <c r="C19" s="90" t="s">
        <v>2682</v>
      </c>
      <c r="D19" s="89" t="s">
        <v>2675</v>
      </c>
      <c r="E19" s="177">
        <v>2</v>
      </c>
      <c r="F19" s="178">
        <v>559.6</v>
      </c>
      <c r="G19" s="178">
        <f t="shared" si="0"/>
        <v>1119.2</v>
      </c>
    </row>
    <row r="20" spans="2:7" x14ac:dyDescent="0.3">
      <c r="B20" s="90" t="s">
        <v>148</v>
      </c>
      <c r="C20" s="90" t="s">
        <v>2683</v>
      </c>
      <c r="D20" s="89" t="s">
        <v>2675</v>
      </c>
      <c r="E20" s="177">
        <v>1</v>
      </c>
      <c r="F20" s="178">
        <v>1000</v>
      </c>
      <c r="G20" s="178">
        <f t="shared" si="0"/>
        <v>1000</v>
      </c>
    </row>
    <row r="21" spans="2:7" x14ac:dyDescent="0.3">
      <c r="B21" s="90" t="s">
        <v>149</v>
      </c>
      <c r="C21" s="90" t="s">
        <v>2684</v>
      </c>
      <c r="D21" s="89" t="s">
        <v>2675</v>
      </c>
      <c r="E21" s="177">
        <v>2</v>
      </c>
      <c r="F21" s="178">
        <v>6847.48</v>
      </c>
      <c r="G21" s="178">
        <f t="shared" si="0"/>
        <v>13694.96</v>
      </c>
    </row>
    <row r="22" spans="2:7" x14ac:dyDescent="0.3">
      <c r="B22" s="90" t="s">
        <v>177</v>
      </c>
      <c r="C22" s="90" t="s">
        <v>2685</v>
      </c>
      <c r="D22" s="89" t="s">
        <v>2675</v>
      </c>
      <c r="E22" s="177">
        <v>27</v>
      </c>
      <c r="F22" s="178">
        <v>1669.62</v>
      </c>
      <c r="G22" s="178">
        <f t="shared" si="0"/>
        <v>45079.74</v>
      </c>
    </row>
    <row r="23" spans="2:7" x14ac:dyDescent="0.3">
      <c r="B23" s="90" t="s">
        <v>151</v>
      </c>
      <c r="C23" s="90" t="s">
        <v>2686</v>
      </c>
      <c r="D23" s="89" t="s">
        <v>2675</v>
      </c>
      <c r="E23" s="177">
        <v>1</v>
      </c>
      <c r="F23" s="178">
        <v>6080.48</v>
      </c>
      <c r="G23" s="178">
        <f t="shared" si="0"/>
        <v>6080.48</v>
      </c>
    </row>
    <row r="24" spans="2:7" x14ac:dyDescent="0.3">
      <c r="B24" s="90" t="s">
        <v>2500</v>
      </c>
      <c r="C24" s="90" t="s">
        <v>2687</v>
      </c>
      <c r="D24" s="89" t="s">
        <v>2675</v>
      </c>
      <c r="E24" s="177">
        <v>100</v>
      </c>
      <c r="F24" s="178">
        <v>2332.65</v>
      </c>
      <c r="G24" s="178">
        <f t="shared" si="0"/>
        <v>233265</v>
      </c>
    </row>
    <row r="25" spans="2:7" x14ac:dyDescent="0.3">
      <c r="B25" s="90" t="s">
        <v>2501</v>
      </c>
      <c r="C25" s="90" t="s">
        <v>2688</v>
      </c>
      <c r="D25" s="89" t="s">
        <v>2675</v>
      </c>
      <c r="E25" s="177">
        <v>1</v>
      </c>
      <c r="F25" s="178">
        <v>9084.73</v>
      </c>
      <c r="G25" s="178">
        <f t="shared" si="0"/>
        <v>9084.73</v>
      </c>
    </row>
    <row r="26" spans="2:7" x14ac:dyDescent="0.3">
      <c r="B26" s="90" t="s">
        <v>2502</v>
      </c>
      <c r="C26" s="90" t="s">
        <v>2689</v>
      </c>
      <c r="D26" s="89" t="s">
        <v>2675</v>
      </c>
      <c r="E26" s="177">
        <v>7</v>
      </c>
      <c r="F26" s="178">
        <v>2664.17</v>
      </c>
      <c r="G26" s="178">
        <f t="shared" si="0"/>
        <v>18649.189999999999</v>
      </c>
    </row>
    <row r="27" spans="2:7" x14ac:dyDescent="0.3">
      <c r="B27" s="90" t="s">
        <v>2503</v>
      </c>
      <c r="C27" s="90" t="s">
        <v>2690</v>
      </c>
      <c r="D27" s="89" t="s">
        <v>2675</v>
      </c>
      <c r="E27" s="177">
        <v>8</v>
      </c>
      <c r="F27" s="178">
        <v>2001.13</v>
      </c>
      <c r="G27" s="178">
        <f t="shared" si="0"/>
        <v>16009.04</v>
      </c>
    </row>
    <row r="28" spans="2:7" x14ac:dyDescent="0.3">
      <c r="B28" s="90" t="s">
        <v>2504</v>
      </c>
      <c r="C28" s="90" t="s">
        <v>2691</v>
      </c>
      <c r="D28" s="89" t="s">
        <v>2675</v>
      </c>
      <c r="E28" s="177">
        <v>7</v>
      </c>
      <c r="F28" s="178">
        <v>2767.88</v>
      </c>
      <c r="G28" s="178">
        <f t="shared" si="0"/>
        <v>19375.16</v>
      </c>
    </row>
    <row r="29" spans="2:7" x14ac:dyDescent="0.3">
      <c r="B29" s="90" t="s">
        <v>2505</v>
      </c>
      <c r="C29" s="90" t="s">
        <v>2692</v>
      </c>
      <c r="D29" s="89" t="s">
        <v>2675</v>
      </c>
      <c r="E29" s="177">
        <v>1</v>
      </c>
      <c r="F29" s="178">
        <v>9514.8799999999992</v>
      </c>
      <c r="G29" s="178">
        <f t="shared" si="0"/>
        <v>9514.8799999999992</v>
      </c>
    </row>
    <row r="30" spans="2:7" x14ac:dyDescent="0.3">
      <c r="B30" s="90" t="s">
        <v>2506</v>
      </c>
      <c r="C30" s="90" t="s">
        <v>2693</v>
      </c>
      <c r="D30" s="89" t="s">
        <v>2675</v>
      </c>
      <c r="E30" s="177">
        <v>1</v>
      </c>
      <c r="F30" s="178">
        <v>8995.68</v>
      </c>
      <c r="G30" s="178">
        <f t="shared" si="0"/>
        <v>8995.68</v>
      </c>
    </row>
    <row r="31" spans="2:7" x14ac:dyDescent="0.3">
      <c r="B31" s="90" t="s">
        <v>2507</v>
      </c>
      <c r="C31" s="90" t="s">
        <v>2694</v>
      </c>
      <c r="D31" s="89" t="s">
        <v>2675</v>
      </c>
      <c r="E31" s="177">
        <v>8</v>
      </c>
      <c r="F31" s="178">
        <v>7350.02</v>
      </c>
      <c r="G31" s="178">
        <f t="shared" si="0"/>
        <v>58800.160000000003</v>
      </c>
    </row>
    <row r="32" spans="2:7" x14ac:dyDescent="0.3">
      <c r="B32" s="90" t="s">
        <v>2508</v>
      </c>
      <c r="C32" s="90" t="s">
        <v>2695</v>
      </c>
      <c r="D32" s="89" t="s">
        <v>2675</v>
      </c>
      <c r="E32" s="177">
        <v>1</v>
      </c>
      <c r="F32" s="178">
        <v>11529.75</v>
      </c>
      <c r="G32" s="178">
        <f t="shared" si="0"/>
        <v>11529.75</v>
      </c>
    </row>
    <row r="33" spans="2:7" x14ac:dyDescent="0.3">
      <c r="B33" s="90" t="s">
        <v>2509</v>
      </c>
      <c r="C33" s="90" t="s">
        <v>2696</v>
      </c>
      <c r="D33" s="89" t="s">
        <v>2675</v>
      </c>
      <c r="E33" s="177">
        <v>6</v>
      </c>
      <c r="F33" s="178">
        <v>2995.68</v>
      </c>
      <c r="G33" s="178">
        <f t="shared" si="0"/>
        <v>17974.080000000002</v>
      </c>
    </row>
    <row r="34" spans="2:7" x14ac:dyDescent="0.3">
      <c r="B34" s="90" t="s">
        <v>2510</v>
      </c>
      <c r="C34" s="90" t="s">
        <v>2697</v>
      </c>
      <c r="D34" s="89" t="s">
        <v>2675</v>
      </c>
      <c r="E34" s="177">
        <v>1</v>
      </c>
      <c r="F34" s="178">
        <v>6358.38</v>
      </c>
      <c r="G34" s="178">
        <f t="shared" si="0"/>
        <v>6358.38</v>
      </c>
    </row>
    <row r="35" spans="2:7" x14ac:dyDescent="0.3">
      <c r="B35" s="90" t="s">
        <v>2511</v>
      </c>
      <c r="C35" s="90" t="s">
        <v>2698</v>
      </c>
      <c r="D35" s="89" t="s">
        <v>2675</v>
      </c>
      <c r="E35" s="177">
        <v>135</v>
      </c>
      <c r="F35" s="178">
        <v>11.67</v>
      </c>
      <c r="G35" s="178">
        <f t="shared" si="0"/>
        <v>1575.45</v>
      </c>
    </row>
    <row r="36" spans="2:7" x14ac:dyDescent="0.3">
      <c r="B36" s="90" t="s">
        <v>2512</v>
      </c>
      <c r="C36" s="90" t="s">
        <v>2699</v>
      </c>
      <c r="D36" s="89" t="s">
        <v>2675</v>
      </c>
      <c r="E36" s="177">
        <v>691</v>
      </c>
      <c r="F36" s="178">
        <v>39.17</v>
      </c>
      <c r="G36" s="178">
        <f t="shared" si="0"/>
        <v>27066.47</v>
      </c>
    </row>
    <row r="37" spans="2:7" x14ac:dyDescent="0.3">
      <c r="B37" s="90" t="s">
        <v>2513</v>
      </c>
      <c r="C37" s="90" t="s">
        <v>2700</v>
      </c>
      <c r="D37" s="89" t="s">
        <v>2701</v>
      </c>
      <c r="E37" s="177">
        <v>31</v>
      </c>
      <c r="F37" s="178">
        <v>830</v>
      </c>
      <c r="G37" s="178">
        <f t="shared" si="0"/>
        <v>25730</v>
      </c>
    </row>
    <row r="38" spans="2:7" x14ac:dyDescent="0.3">
      <c r="B38" s="90" t="s">
        <v>2514</v>
      </c>
      <c r="C38" s="90" t="s">
        <v>2702</v>
      </c>
      <c r="D38" s="89" t="s">
        <v>2703</v>
      </c>
      <c r="E38" s="177">
        <v>1</v>
      </c>
      <c r="F38" s="178">
        <v>1980</v>
      </c>
      <c r="G38" s="178">
        <f t="shared" si="0"/>
        <v>1980</v>
      </c>
    </row>
    <row r="39" spans="2:7" x14ac:dyDescent="0.3">
      <c r="B39" s="90" t="s">
        <v>2515</v>
      </c>
      <c r="C39" s="90" t="s">
        <v>2704</v>
      </c>
      <c r="D39" s="89" t="s">
        <v>2703</v>
      </c>
      <c r="E39" s="177">
        <v>1</v>
      </c>
      <c r="F39" s="178">
        <v>35608.85</v>
      </c>
      <c r="G39" s="178">
        <f t="shared" si="0"/>
        <v>35608.85</v>
      </c>
    </row>
    <row r="40" spans="2:7" x14ac:dyDescent="0.3">
      <c r="B40" s="90" t="s">
        <v>2516</v>
      </c>
      <c r="C40" s="90" t="s">
        <v>2705</v>
      </c>
      <c r="D40" s="89" t="s">
        <v>2703</v>
      </c>
      <c r="E40" s="177">
        <v>1</v>
      </c>
      <c r="F40" s="178">
        <v>80187.37</v>
      </c>
      <c r="G40" s="178">
        <f t="shared" si="0"/>
        <v>80187.37</v>
      </c>
    </row>
    <row r="41" spans="2:7" ht="7.2" customHeight="1" x14ac:dyDescent="0.3">
      <c r="D41" s="89"/>
      <c r="E41" s="177"/>
      <c r="F41" s="178"/>
      <c r="G41" s="178"/>
    </row>
    <row r="42" spans="2:7" ht="14.4" x14ac:dyDescent="0.3">
      <c r="B42" s="173" t="s">
        <v>2706</v>
      </c>
      <c r="C42" s="173" t="s">
        <v>2707</v>
      </c>
      <c r="D42" s="89"/>
      <c r="E42" s="177"/>
      <c r="F42" s="178"/>
      <c r="G42" s="175">
        <f>SUM(G43:G55)</f>
        <v>2370825.39</v>
      </c>
    </row>
    <row r="43" spans="2:7" s="180" customFormat="1" ht="28.2" x14ac:dyDescent="0.3">
      <c r="B43" s="179" t="s">
        <v>12</v>
      </c>
      <c r="C43" s="180" t="s">
        <v>2763</v>
      </c>
      <c r="D43" s="181" t="s">
        <v>2675</v>
      </c>
      <c r="E43" s="182">
        <v>22</v>
      </c>
      <c r="F43" s="183">
        <v>500.3</v>
      </c>
      <c r="G43" s="183">
        <f t="shared" ref="G43:G55" si="1">ROUND(E43*F43,2)</f>
        <v>11006.6</v>
      </c>
    </row>
    <row r="44" spans="2:7" ht="55.2" x14ac:dyDescent="0.3">
      <c r="B44" s="184" t="s">
        <v>13</v>
      </c>
      <c r="C44" s="180" t="s">
        <v>2708</v>
      </c>
      <c r="D44" s="89" t="s">
        <v>2675</v>
      </c>
      <c r="E44" s="177">
        <v>109</v>
      </c>
      <c r="F44" s="178">
        <v>1436.15</v>
      </c>
      <c r="G44" s="178">
        <f t="shared" si="1"/>
        <v>156540.35</v>
      </c>
    </row>
    <row r="45" spans="2:7" ht="55.2" x14ac:dyDescent="0.3">
      <c r="B45" s="184" t="s">
        <v>24</v>
      </c>
      <c r="C45" s="180" t="s">
        <v>2709</v>
      </c>
      <c r="D45" s="89" t="s">
        <v>2675</v>
      </c>
      <c r="E45" s="177">
        <v>49</v>
      </c>
      <c r="F45" s="178">
        <v>1736.49</v>
      </c>
      <c r="G45" s="178">
        <f t="shared" si="1"/>
        <v>85088.01</v>
      </c>
    </row>
    <row r="46" spans="2:7" ht="42" x14ac:dyDescent="0.3">
      <c r="B46" s="184" t="s">
        <v>42</v>
      </c>
      <c r="C46" s="180" t="s">
        <v>2764</v>
      </c>
      <c r="D46" s="89" t="s">
        <v>2675</v>
      </c>
      <c r="E46" s="177">
        <v>4</v>
      </c>
      <c r="F46" s="178">
        <v>1128.8900000000001</v>
      </c>
      <c r="G46" s="178">
        <f t="shared" si="1"/>
        <v>4515.5600000000004</v>
      </c>
    </row>
    <row r="47" spans="2:7" ht="41.4" x14ac:dyDescent="0.3">
      <c r="B47" s="184" t="s">
        <v>43</v>
      </c>
      <c r="C47" s="180" t="s">
        <v>2710</v>
      </c>
      <c r="D47" s="89" t="s">
        <v>2675</v>
      </c>
      <c r="E47" s="177">
        <v>4</v>
      </c>
      <c r="F47" s="178">
        <v>1850.72</v>
      </c>
      <c r="G47" s="178">
        <f t="shared" si="1"/>
        <v>7402.88</v>
      </c>
    </row>
    <row r="48" spans="2:7" ht="41.4" x14ac:dyDescent="0.3">
      <c r="B48" s="184" t="s">
        <v>31</v>
      </c>
      <c r="C48" s="180" t="s">
        <v>2711</v>
      </c>
      <c r="D48" s="89" t="s">
        <v>2675</v>
      </c>
      <c r="E48" s="177">
        <v>3</v>
      </c>
      <c r="F48" s="178">
        <v>1513.9</v>
      </c>
      <c r="G48" s="178">
        <f t="shared" si="1"/>
        <v>4541.7</v>
      </c>
    </row>
    <row r="49" spans="2:7" ht="42" x14ac:dyDescent="0.3">
      <c r="B49" s="184" t="s">
        <v>32</v>
      </c>
      <c r="C49" s="180" t="s">
        <v>2765</v>
      </c>
      <c r="D49" s="89" t="s">
        <v>2675</v>
      </c>
      <c r="E49" s="177">
        <v>7</v>
      </c>
      <c r="F49" s="178">
        <v>1190.26</v>
      </c>
      <c r="G49" s="178">
        <f t="shared" si="1"/>
        <v>8331.82</v>
      </c>
    </row>
    <row r="50" spans="2:7" ht="41.4" x14ac:dyDescent="0.3">
      <c r="B50" s="184" t="s">
        <v>33</v>
      </c>
      <c r="C50" s="180" t="s">
        <v>2712</v>
      </c>
      <c r="D50" s="89" t="s">
        <v>2675</v>
      </c>
      <c r="E50" s="177">
        <v>7</v>
      </c>
      <c r="F50" s="178">
        <v>987.19</v>
      </c>
      <c r="G50" s="178">
        <f t="shared" si="1"/>
        <v>6910.33</v>
      </c>
    </row>
    <row r="51" spans="2:7" ht="41.4" x14ac:dyDescent="0.3">
      <c r="B51" s="184" t="s">
        <v>34</v>
      </c>
      <c r="C51" s="180" t="s">
        <v>2713</v>
      </c>
      <c r="D51" s="89" t="s">
        <v>2675</v>
      </c>
      <c r="E51" s="177">
        <v>3</v>
      </c>
      <c r="F51" s="178">
        <v>1009.78</v>
      </c>
      <c r="G51" s="178">
        <f t="shared" si="1"/>
        <v>3029.34</v>
      </c>
    </row>
    <row r="52" spans="2:7" ht="166.5" customHeight="1" x14ac:dyDescent="0.3">
      <c r="B52" s="184" t="s">
        <v>35</v>
      </c>
      <c r="C52" s="180" t="s">
        <v>2714</v>
      </c>
      <c r="D52" s="89" t="s">
        <v>2675</v>
      </c>
      <c r="E52" s="177">
        <v>5</v>
      </c>
      <c r="F52" s="178">
        <v>62907.839999999997</v>
      </c>
      <c r="G52" s="178">
        <f t="shared" si="1"/>
        <v>314539.2</v>
      </c>
    </row>
    <row r="53" spans="2:7" ht="303.60000000000002" x14ac:dyDescent="0.3">
      <c r="B53" s="184" t="s">
        <v>51</v>
      </c>
      <c r="C53" s="188" t="s">
        <v>2715</v>
      </c>
      <c r="D53" s="89" t="s">
        <v>2675</v>
      </c>
      <c r="E53" s="177">
        <v>5</v>
      </c>
      <c r="F53" s="178">
        <v>50424.41</v>
      </c>
      <c r="G53" s="178">
        <f t="shared" si="1"/>
        <v>252122.05</v>
      </c>
    </row>
    <row r="54" spans="2:7" ht="303.60000000000002" x14ac:dyDescent="0.3">
      <c r="B54" s="184" t="s">
        <v>155</v>
      </c>
      <c r="C54" s="180" t="s">
        <v>2716</v>
      </c>
      <c r="D54" s="89" t="s">
        <v>2675</v>
      </c>
      <c r="E54" s="177">
        <v>5</v>
      </c>
      <c r="F54" s="178">
        <v>60673.95</v>
      </c>
      <c r="G54" s="178">
        <f t="shared" si="1"/>
        <v>303369.75</v>
      </c>
    </row>
    <row r="55" spans="2:7" ht="239.25" customHeight="1" x14ac:dyDescent="0.3">
      <c r="B55" s="184" t="s">
        <v>156</v>
      </c>
      <c r="C55" s="180" t="s">
        <v>2717</v>
      </c>
      <c r="D55" s="89" t="s">
        <v>2675</v>
      </c>
      <c r="E55" s="177">
        <v>20</v>
      </c>
      <c r="F55" s="178">
        <v>60671.39</v>
      </c>
      <c r="G55" s="178">
        <f t="shared" si="1"/>
        <v>1213427.8</v>
      </c>
    </row>
    <row r="56" spans="2:7" ht="7.95" customHeight="1" x14ac:dyDescent="0.3">
      <c r="B56" s="184"/>
      <c r="D56" s="89"/>
      <c r="E56" s="177"/>
      <c r="F56" s="178"/>
      <c r="G56" s="178"/>
    </row>
    <row r="57" spans="2:7" ht="14.4" x14ac:dyDescent="0.3">
      <c r="B57" s="173" t="s">
        <v>2718</v>
      </c>
      <c r="C57" s="173" t="s">
        <v>2719</v>
      </c>
      <c r="D57" s="89"/>
      <c r="E57" s="177"/>
      <c r="F57" s="178"/>
      <c r="G57" s="175">
        <f>SUM(G58:G68)</f>
        <v>519941</v>
      </c>
    </row>
    <row r="58" spans="2:7" x14ac:dyDescent="0.3">
      <c r="B58" s="184" t="s">
        <v>14</v>
      </c>
      <c r="C58" s="180" t="s">
        <v>2720</v>
      </c>
      <c r="D58" s="89" t="s">
        <v>2675</v>
      </c>
      <c r="E58" s="177">
        <v>1</v>
      </c>
      <c r="F58" s="178">
        <v>37816</v>
      </c>
      <c r="G58" s="178">
        <f t="shared" ref="G58:G68" si="2">ROUND(E58*F58,2)</f>
        <v>37816</v>
      </c>
    </row>
    <row r="59" spans="2:7" ht="27.6" x14ac:dyDescent="0.3">
      <c r="B59" s="184" t="s">
        <v>23</v>
      </c>
      <c r="C59" s="180" t="s">
        <v>2721</v>
      </c>
      <c r="D59" s="89" t="s">
        <v>2675</v>
      </c>
      <c r="E59" s="177">
        <v>1</v>
      </c>
      <c r="F59" s="178">
        <v>14245</v>
      </c>
      <c r="G59" s="178">
        <f t="shared" si="2"/>
        <v>14245</v>
      </c>
    </row>
    <row r="60" spans="2:7" ht="27.6" x14ac:dyDescent="0.3">
      <c r="B60" s="184" t="s">
        <v>2722</v>
      </c>
      <c r="C60" s="180" t="s">
        <v>2723</v>
      </c>
      <c r="D60" s="89" t="s">
        <v>2675</v>
      </c>
      <c r="E60" s="177">
        <v>1</v>
      </c>
      <c r="F60" s="178">
        <v>9438</v>
      </c>
      <c r="G60" s="178">
        <f t="shared" si="2"/>
        <v>9438</v>
      </c>
    </row>
    <row r="61" spans="2:7" ht="27.6" x14ac:dyDescent="0.3">
      <c r="B61" s="184" t="s">
        <v>2724</v>
      </c>
      <c r="C61" s="180" t="s">
        <v>2725</v>
      </c>
      <c r="D61" s="89" t="s">
        <v>2675</v>
      </c>
      <c r="E61" s="177">
        <v>11</v>
      </c>
      <c r="F61" s="178">
        <v>11040</v>
      </c>
      <c r="G61" s="178">
        <f t="shared" si="2"/>
        <v>121440</v>
      </c>
    </row>
    <row r="62" spans="2:7" ht="27.6" x14ac:dyDescent="0.3">
      <c r="B62" s="184" t="s">
        <v>2726</v>
      </c>
      <c r="C62" s="180" t="s">
        <v>2727</v>
      </c>
      <c r="D62" s="89" t="s">
        <v>2675</v>
      </c>
      <c r="E62" s="177">
        <v>3</v>
      </c>
      <c r="F62" s="178">
        <v>12643</v>
      </c>
      <c r="G62" s="178">
        <f t="shared" si="2"/>
        <v>37929</v>
      </c>
    </row>
    <row r="63" spans="2:7" ht="27.6" x14ac:dyDescent="0.3">
      <c r="B63" s="184" t="s">
        <v>2728</v>
      </c>
      <c r="C63" s="180" t="s">
        <v>2729</v>
      </c>
      <c r="D63" s="89" t="s">
        <v>2675</v>
      </c>
      <c r="E63" s="177">
        <v>1</v>
      </c>
      <c r="F63" s="178">
        <v>14245</v>
      </c>
      <c r="G63" s="178">
        <f t="shared" si="2"/>
        <v>14245</v>
      </c>
    </row>
    <row r="64" spans="2:7" ht="27.6" x14ac:dyDescent="0.3">
      <c r="B64" s="184" t="s">
        <v>2730</v>
      </c>
      <c r="C64" s="180" t="s">
        <v>2731</v>
      </c>
      <c r="D64" s="89" t="s">
        <v>2675</v>
      </c>
      <c r="E64" s="177">
        <v>1</v>
      </c>
      <c r="F64" s="178">
        <v>44787</v>
      </c>
      <c r="G64" s="178">
        <f t="shared" si="2"/>
        <v>44787</v>
      </c>
    </row>
    <row r="65" spans="2:7" ht="27.6" x14ac:dyDescent="0.3">
      <c r="B65" s="184" t="s">
        <v>2732</v>
      </c>
      <c r="C65" s="180" t="s">
        <v>2733</v>
      </c>
      <c r="D65" s="89" t="s">
        <v>2675</v>
      </c>
      <c r="E65" s="177">
        <v>1</v>
      </c>
      <c r="F65" s="178">
        <v>32353</v>
      </c>
      <c r="G65" s="178">
        <f t="shared" si="2"/>
        <v>32353</v>
      </c>
    </row>
    <row r="66" spans="2:7" ht="41.4" x14ac:dyDescent="0.3">
      <c r="B66" s="184" t="s">
        <v>2734</v>
      </c>
      <c r="C66" s="180" t="s">
        <v>2735</v>
      </c>
      <c r="D66" s="89" t="s">
        <v>2675</v>
      </c>
      <c r="E66" s="177">
        <v>1</v>
      </c>
      <c r="F66" s="178">
        <v>32353</v>
      </c>
      <c r="G66" s="178">
        <f t="shared" si="2"/>
        <v>32353</v>
      </c>
    </row>
    <row r="67" spans="2:7" ht="41.4" x14ac:dyDescent="0.3">
      <c r="B67" s="184" t="s">
        <v>2736</v>
      </c>
      <c r="C67" s="180" t="s">
        <v>2737</v>
      </c>
      <c r="D67" s="89" t="s">
        <v>2675</v>
      </c>
      <c r="E67" s="177">
        <v>1</v>
      </c>
      <c r="F67" s="178">
        <v>44787</v>
      </c>
      <c r="G67" s="178">
        <f t="shared" si="2"/>
        <v>44787</v>
      </c>
    </row>
    <row r="68" spans="2:7" ht="27.6" x14ac:dyDescent="0.3">
      <c r="B68" s="184" t="s">
        <v>2738</v>
      </c>
      <c r="C68" s="180" t="s">
        <v>2739</v>
      </c>
      <c r="D68" s="89" t="s">
        <v>2613</v>
      </c>
      <c r="E68" s="177">
        <v>12</v>
      </c>
      <c r="F68" s="178">
        <v>10879</v>
      </c>
      <c r="G68" s="178">
        <f t="shared" si="2"/>
        <v>130548</v>
      </c>
    </row>
    <row r="69" spans="2:7" ht="8.4" customHeight="1" x14ac:dyDescent="0.3">
      <c r="D69" s="89"/>
      <c r="E69" s="177"/>
      <c r="F69" s="178"/>
      <c r="G69" s="178"/>
    </row>
    <row r="70" spans="2:7" ht="14.4" x14ac:dyDescent="0.3">
      <c r="B70" s="173" t="s">
        <v>2740</v>
      </c>
      <c r="C70" s="173" t="s">
        <v>2741</v>
      </c>
      <c r="D70" s="89"/>
      <c r="E70" s="177"/>
      <c r="F70" s="178"/>
      <c r="G70" s="175">
        <f>SUM(G71:G80)</f>
        <v>882996.23</v>
      </c>
    </row>
    <row r="71" spans="2:7" ht="124.2" x14ac:dyDescent="0.3">
      <c r="B71" s="184" t="s">
        <v>501</v>
      </c>
      <c r="C71" s="180" t="s">
        <v>2742</v>
      </c>
      <c r="D71" s="89" t="s">
        <v>2675</v>
      </c>
      <c r="E71" s="177">
        <v>2</v>
      </c>
      <c r="F71" s="178">
        <v>268421.06</v>
      </c>
      <c r="G71" s="178">
        <f t="shared" ref="G71:G79" si="3">ROUND(E71*F71,2)</f>
        <v>536842.12</v>
      </c>
    </row>
    <row r="72" spans="2:7" ht="151.80000000000001" x14ac:dyDescent="0.3">
      <c r="B72" s="184" t="s">
        <v>502</v>
      </c>
      <c r="C72" s="180" t="s">
        <v>2743</v>
      </c>
      <c r="D72" s="89" t="s">
        <v>2675</v>
      </c>
      <c r="E72" s="177">
        <v>2</v>
      </c>
      <c r="F72" s="178">
        <v>87767.63</v>
      </c>
      <c r="G72" s="178">
        <f t="shared" si="3"/>
        <v>175535.26</v>
      </c>
    </row>
    <row r="73" spans="2:7" ht="55.2" x14ac:dyDescent="0.3">
      <c r="B73" s="184" t="s">
        <v>2744</v>
      </c>
      <c r="C73" s="180" t="s">
        <v>2745</v>
      </c>
      <c r="D73" s="89" t="s">
        <v>2675</v>
      </c>
      <c r="E73" s="177">
        <v>2</v>
      </c>
      <c r="F73" s="178">
        <v>3235.71</v>
      </c>
      <c r="G73" s="178">
        <f t="shared" si="3"/>
        <v>6471.42</v>
      </c>
    </row>
    <row r="74" spans="2:7" x14ac:dyDescent="0.3">
      <c r="B74" s="184" t="s">
        <v>2746</v>
      </c>
      <c r="C74" s="180" t="s">
        <v>2747</v>
      </c>
      <c r="D74" s="89" t="s">
        <v>2675</v>
      </c>
      <c r="E74" s="177">
        <v>2</v>
      </c>
      <c r="F74" s="178">
        <v>41860.300000000003</v>
      </c>
      <c r="G74" s="178">
        <f t="shared" si="3"/>
        <v>83720.600000000006</v>
      </c>
    </row>
    <row r="75" spans="2:7" ht="55.2" x14ac:dyDescent="0.3">
      <c r="B75" s="184" t="s">
        <v>2748</v>
      </c>
      <c r="C75" s="188" t="s">
        <v>2749</v>
      </c>
      <c r="D75" s="89" t="s">
        <v>2675</v>
      </c>
      <c r="E75" s="177">
        <v>1</v>
      </c>
      <c r="F75" s="178">
        <v>22794.28</v>
      </c>
      <c r="G75" s="178">
        <f t="shared" si="3"/>
        <v>22794.28</v>
      </c>
    </row>
    <row r="76" spans="2:7" x14ac:dyDescent="0.3">
      <c r="B76" s="184" t="s">
        <v>2750</v>
      </c>
      <c r="C76" s="180" t="s">
        <v>2751</v>
      </c>
      <c r="D76" s="89" t="s">
        <v>2675</v>
      </c>
      <c r="E76" s="177">
        <v>2</v>
      </c>
      <c r="F76" s="178">
        <v>2670.23</v>
      </c>
      <c r="G76" s="178">
        <f t="shared" si="3"/>
        <v>5340.46</v>
      </c>
    </row>
    <row r="77" spans="2:7" x14ac:dyDescent="0.3">
      <c r="B77" s="184" t="s">
        <v>2752</v>
      </c>
      <c r="C77" s="180" t="s">
        <v>2753</v>
      </c>
      <c r="D77" s="89" t="s">
        <v>2675</v>
      </c>
      <c r="E77" s="177">
        <v>2</v>
      </c>
      <c r="F77" s="178">
        <v>2149.0500000000002</v>
      </c>
      <c r="G77" s="178">
        <f t="shared" si="3"/>
        <v>4298.1000000000004</v>
      </c>
    </row>
    <row r="78" spans="2:7" x14ac:dyDescent="0.3">
      <c r="B78" s="184" t="s">
        <v>2754</v>
      </c>
      <c r="C78" s="180" t="s">
        <v>2755</v>
      </c>
      <c r="D78" s="89" t="s">
        <v>2667</v>
      </c>
      <c r="E78" s="177">
        <v>200</v>
      </c>
      <c r="F78" s="178">
        <v>88.76</v>
      </c>
      <c r="G78" s="178">
        <f t="shared" si="3"/>
        <v>17752</v>
      </c>
    </row>
    <row r="79" spans="2:7" x14ac:dyDescent="0.3">
      <c r="B79" s="184" t="s">
        <v>2756</v>
      </c>
      <c r="C79" s="180" t="s">
        <v>2757</v>
      </c>
      <c r="D79" s="89" t="s">
        <v>2675</v>
      </c>
      <c r="E79" s="177">
        <v>2</v>
      </c>
      <c r="F79" s="178">
        <v>6464.17</v>
      </c>
      <c r="G79" s="178">
        <f t="shared" si="3"/>
        <v>12928.34</v>
      </c>
    </row>
    <row r="80" spans="2:7" x14ac:dyDescent="0.3">
      <c r="B80" s="184" t="s">
        <v>2758</v>
      </c>
      <c r="C80" s="180" t="s">
        <v>2759</v>
      </c>
      <c r="D80" s="89" t="s">
        <v>41</v>
      </c>
      <c r="E80" s="177">
        <v>2</v>
      </c>
      <c r="F80" s="178">
        <f>SUM(G71:G79)</f>
        <v>865682.58</v>
      </c>
      <c r="G80" s="178">
        <f>ROUND(E80*F80/100,2)</f>
        <v>17313.650000000001</v>
      </c>
    </row>
    <row r="81" spans="2:7" ht="8.4" customHeight="1" x14ac:dyDescent="0.3">
      <c r="D81" s="89"/>
      <c r="E81" s="177"/>
      <c r="F81" s="185"/>
      <c r="G81" s="178"/>
    </row>
    <row r="82" spans="2:7" ht="14.4" x14ac:dyDescent="0.3">
      <c r="B82" s="173" t="s">
        <v>2760</v>
      </c>
      <c r="C82" s="173" t="s">
        <v>2761</v>
      </c>
      <c r="D82" s="89"/>
      <c r="E82" s="177"/>
      <c r="F82" s="185"/>
      <c r="G82" s="175">
        <f>SUM(G83:G84)</f>
        <v>192519.9</v>
      </c>
    </row>
    <row r="83" spans="2:7" ht="41.4" x14ac:dyDescent="0.3">
      <c r="B83" s="184" t="s">
        <v>503</v>
      </c>
      <c r="C83" s="180" t="s">
        <v>2762</v>
      </c>
      <c r="D83" s="89" t="s">
        <v>2675</v>
      </c>
      <c r="E83" s="177">
        <v>1</v>
      </c>
      <c r="F83" s="178">
        <v>188745</v>
      </c>
      <c r="G83" s="178">
        <f>ROUND(E83*F83,2)</f>
        <v>188745</v>
      </c>
    </row>
    <row r="84" spans="2:7" ht="14.4" x14ac:dyDescent="0.3">
      <c r="B84" s="184" t="s">
        <v>504</v>
      </c>
      <c r="C84" s="180" t="s">
        <v>2759</v>
      </c>
      <c r="D84" s="89" t="s">
        <v>41</v>
      </c>
      <c r="E84" s="177">
        <v>2</v>
      </c>
      <c r="F84" s="178">
        <f>G83</f>
        <v>188745</v>
      </c>
      <c r="G84" s="176">
        <f>ROUND(E84*F84/100,2)</f>
        <v>3774.9</v>
      </c>
    </row>
    <row r="85" spans="2:7" x14ac:dyDescent="0.3">
      <c r="D85" s="89"/>
      <c r="E85" s="177"/>
      <c r="F85" s="178"/>
      <c r="G85" s="178"/>
    </row>
    <row r="86" spans="2:7" x14ac:dyDescent="0.3">
      <c r="D86" s="89"/>
      <c r="E86" s="177"/>
      <c r="F86" s="178"/>
      <c r="G86" s="178"/>
    </row>
    <row r="87" spans="2:7" x14ac:dyDescent="0.3">
      <c r="D87" s="89"/>
      <c r="E87" s="177"/>
      <c r="F87" s="178"/>
      <c r="G87" s="178"/>
    </row>
    <row r="88" spans="2:7" x14ac:dyDescent="0.3">
      <c r="D88" s="89"/>
      <c r="E88" s="177"/>
      <c r="F88" s="178"/>
      <c r="G88" s="178"/>
    </row>
    <row r="89" spans="2:7" x14ac:dyDescent="0.3">
      <c r="D89" s="89"/>
      <c r="E89" s="177"/>
      <c r="F89" s="178"/>
      <c r="G89" s="178"/>
    </row>
    <row r="90" spans="2:7" x14ac:dyDescent="0.3">
      <c r="D90" s="89"/>
      <c r="E90" s="177"/>
      <c r="F90" s="178"/>
      <c r="G90" s="178"/>
    </row>
    <row r="91" spans="2:7" x14ac:dyDescent="0.3">
      <c r="D91" s="89"/>
      <c r="E91" s="177"/>
      <c r="F91" s="178"/>
      <c r="G91" s="178"/>
    </row>
    <row r="92" spans="2:7" x14ac:dyDescent="0.3">
      <c r="D92" s="89"/>
      <c r="E92" s="177"/>
      <c r="F92" s="178"/>
      <c r="G92" s="178"/>
    </row>
    <row r="93" spans="2:7" x14ac:dyDescent="0.3">
      <c r="D93" s="89"/>
      <c r="E93" s="177"/>
      <c r="F93" s="178"/>
      <c r="G93" s="178"/>
    </row>
    <row r="94" spans="2:7" x14ac:dyDescent="0.3">
      <c r="D94" s="89"/>
      <c r="E94" s="177"/>
      <c r="F94" s="178"/>
      <c r="G94" s="178"/>
    </row>
    <row r="95" spans="2:7" x14ac:dyDescent="0.3">
      <c r="D95" s="89"/>
      <c r="E95" s="177"/>
      <c r="F95" s="178"/>
      <c r="G95" s="178"/>
    </row>
    <row r="96" spans="2:7" x14ac:dyDescent="0.3">
      <c r="D96" s="89"/>
      <c r="E96" s="177"/>
      <c r="F96" s="178"/>
      <c r="G96" s="178"/>
    </row>
    <row r="97" spans="4:7" x14ac:dyDescent="0.3">
      <c r="D97" s="89"/>
      <c r="E97" s="177"/>
      <c r="F97" s="178"/>
      <c r="G97" s="178"/>
    </row>
    <row r="98" spans="4:7" x14ac:dyDescent="0.3">
      <c r="D98" s="89"/>
      <c r="E98" s="177"/>
      <c r="F98" s="178"/>
      <c r="G98" s="178"/>
    </row>
    <row r="99" spans="4:7" x14ac:dyDescent="0.3">
      <c r="D99" s="89"/>
      <c r="E99" s="177"/>
      <c r="F99" s="178"/>
      <c r="G99" s="178"/>
    </row>
    <row r="100" spans="4:7" x14ac:dyDescent="0.3">
      <c r="D100" s="89"/>
      <c r="E100" s="177"/>
      <c r="F100" s="178"/>
      <c r="G100" s="178"/>
    </row>
    <row r="101" spans="4:7" x14ac:dyDescent="0.3">
      <c r="D101" s="89"/>
      <c r="E101" s="177"/>
      <c r="F101" s="178"/>
      <c r="G101" s="178"/>
    </row>
    <row r="102" spans="4:7" x14ac:dyDescent="0.3">
      <c r="D102" s="89"/>
      <c r="E102" s="177"/>
      <c r="F102" s="178"/>
      <c r="G102" s="178"/>
    </row>
    <row r="103" spans="4:7" x14ac:dyDescent="0.3">
      <c r="D103" s="89"/>
      <c r="E103" s="177"/>
      <c r="F103" s="178"/>
      <c r="G103" s="178"/>
    </row>
    <row r="104" spans="4:7" x14ac:dyDescent="0.3">
      <c r="D104" s="89"/>
      <c r="E104" s="177"/>
      <c r="F104" s="178"/>
      <c r="G104" s="178"/>
    </row>
    <row r="105" spans="4:7" x14ac:dyDescent="0.3">
      <c r="D105" s="89"/>
      <c r="E105" s="177"/>
      <c r="F105" s="178"/>
      <c r="G105" s="178"/>
    </row>
    <row r="106" spans="4:7" x14ac:dyDescent="0.3">
      <c r="D106" s="89"/>
      <c r="E106" s="177"/>
      <c r="F106" s="178"/>
      <c r="G106" s="178"/>
    </row>
    <row r="107" spans="4:7" x14ac:dyDescent="0.3">
      <c r="D107" s="89"/>
      <c r="E107" s="177"/>
      <c r="F107" s="89"/>
      <c r="G107" s="89"/>
    </row>
    <row r="108" spans="4:7" x14ac:dyDescent="0.3">
      <c r="D108" s="89"/>
      <c r="E108" s="177"/>
      <c r="F108" s="89"/>
      <c r="G108" s="89"/>
    </row>
    <row r="109" spans="4:7" x14ac:dyDescent="0.3">
      <c r="D109" s="89"/>
      <c r="E109" s="177"/>
      <c r="F109" s="89"/>
      <c r="G109" s="89"/>
    </row>
    <row r="110" spans="4:7" x14ac:dyDescent="0.3">
      <c r="D110" s="89"/>
      <c r="E110" s="177"/>
      <c r="F110" s="89"/>
      <c r="G110" s="89"/>
    </row>
    <row r="111" spans="4:7" x14ac:dyDescent="0.3">
      <c r="D111" s="89"/>
      <c r="E111" s="177"/>
      <c r="F111" s="89"/>
      <c r="G111" s="89"/>
    </row>
    <row r="112" spans="4:7" x14ac:dyDescent="0.3">
      <c r="D112" s="89"/>
      <c r="E112" s="177"/>
      <c r="F112" s="89"/>
      <c r="G112" s="89"/>
    </row>
    <row r="113" spans="4:7" x14ac:dyDescent="0.3">
      <c r="D113" s="89"/>
      <c r="E113" s="177"/>
      <c r="F113" s="89"/>
      <c r="G113" s="89"/>
    </row>
    <row r="114" spans="4:7" x14ac:dyDescent="0.3">
      <c r="D114" s="89"/>
      <c r="E114" s="177"/>
      <c r="F114" s="89"/>
      <c r="G114" s="89"/>
    </row>
    <row r="115" spans="4:7" x14ac:dyDescent="0.3">
      <c r="D115" s="89"/>
      <c r="E115" s="177"/>
      <c r="F115" s="89"/>
      <c r="G115" s="89"/>
    </row>
    <row r="116" spans="4:7" x14ac:dyDescent="0.3">
      <c r="D116" s="89"/>
      <c r="E116" s="177"/>
      <c r="F116" s="89"/>
      <c r="G116" s="89"/>
    </row>
    <row r="117" spans="4:7" x14ac:dyDescent="0.3">
      <c r="D117" s="89"/>
      <c r="E117" s="89"/>
      <c r="F117" s="89"/>
      <c r="G117" s="89"/>
    </row>
    <row r="118" spans="4:7" x14ac:dyDescent="0.3">
      <c r="D118" s="89"/>
      <c r="E118" s="89"/>
      <c r="F118" s="89"/>
      <c r="G118" s="89"/>
    </row>
    <row r="119" spans="4:7" x14ac:dyDescent="0.3">
      <c r="D119" s="89"/>
      <c r="E119" s="89"/>
      <c r="F119" s="89"/>
      <c r="G119" s="89"/>
    </row>
    <row r="120" spans="4:7" x14ac:dyDescent="0.3">
      <c r="D120" s="89"/>
      <c r="E120" s="89"/>
      <c r="F120" s="89"/>
      <c r="G120" s="89"/>
    </row>
    <row r="121" spans="4:7" x14ac:dyDescent="0.3">
      <c r="D121" s="89"/>
      <c r="E121" s="89"/>
      <c r="F121" s="89"/>
      <c r="G121" s="89"/>
    </row>
    <row r="122" spans="4:7" x14ac:dyDescent="0.3">
      <c r="D122" s="89"/>
      <c r="E122" s="89"/>
      <c r="F122" s="89"/>
      <c r="G122" s="89"/>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25" workbookViewId="0">
      <selection activeCell="G32" sqref="G32"/>
    </sheetView>
  </sheetViews>
  <sheetFormatPr defaultRowHeight="12.6" x14ac:dyDescent="0.25"/>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4"/>
  <sheetViews>
    <sheetView topLeftCell="A19" workbookViewId="0">
      <selection activeCell="H25" sqref="H25"/>
    </sheetView>
  </sheetViews>
  <sheetFormatPr defaultColWidth="9.109375" defaultRowHeight="13.8" x14ac:dyDescent="0.3"/>
  <cols>
    <col min="1" max="1" width="16.88671875" style="90" bestFit="1" customWidth="1"/>
    <col min="2" max="2" width="3.44140625" style="90" customWidth="1"/>
    <col min="3" max="3" width="22.33203125" style="90" bestFit="1" customWidth="1"/>
    <col min="4" max="4" width="12" style="90" customWidth="1"/>
    <col min="5" max="6" width="7.33203125" style="90" customWidth="1"/>
    <col min="7" max="7" width="9.109375" style="90"/>
    <col min="8" max="15" width="6.44140625" style="90" bestFit="1" customWidth="1"/>
    <col min="16" max="16384" width="9.109375" style="90"/>
  </cols>
  <sheetData>
    <row r="1" spans="1:15" x14ac:dyDescent="0.3">
      <c r="A1" s="201">
        <v>45400</v>
      </c>
      <c r="H1" s="249" t="s">
        <v>2825</v>
      </c>
      <c r="I1" s="249"/>
      <c r="J1" s="249"/>
      <c r="K1" s="249"/>
      <c r="L1" s="249"/>
      <c r="M1" s="249"/>
      <c r="N1" s="249"/>
      <c r="O1" s="249"/>
    </row>
    <row r="2" spans="1:15" x14ac:dyDescent="0.3">
      <c r="A2" s="90" t="s">
        <v>2826</v>
      </c>
      <c r="C2" s="90" t="s">
        <v>2827</v>
      </c>
      <c r="H2" s="202">
        <v>45400</v>
      </c>
      <c r="I2" s="202">
        <v>45407</v>
      </c>
      <c r="J2" s="202">
        <v>45414</v>
      </c>
      <c r="K2" s="202">
        <v>45419</v>
      </c>
      <c r="L2" s="202">
        <v>45426</v>
      </c>
      <c r="M2" s="202">
        <v>45433</v>
      </c>
      <c r="N2" s="202">
        <v>45440</v>
      </c>
      <c r="O2" s="202">
        <v>45447</v>
      </c>
    </row>
    <row r="3" spans="1:15" x14ac:dyDescent="0.3">
      <c r="A3" s="90" t="s">
        <v>2828</v>
      </c>
      <c r="C3" s="90" t="s">
        <v>2829</v>
      </c>
      <c r="H3" s="89" t="s">
        <v>2830</v>
      </c>
      <c r="I3" s="89"/>
      <c r="J3" s="89" t="s">
        <v>2831</v>
      </c>
      <c r="K3" s="89"/>
      <c r="L3" s="89" t="s">
        <v>2830</v>
      </c>
      <c r="M3" s="89"/>
      <c r="N3" s="89" t="s">
        <v>2830</v>
      </c>
      <c r="O3" s="89"/>
    </row>
    <row r="4" spans="1:15" x14ac:dyDescent="0.3">
      <c r="A4" s="90" t="s">
        <v>2832</v>
      </c>
      <c r="H4" s="89"/>
      <c r="I4" s="89"/>
      <c r="J4" s="89"/>
      <c r="K4" s="89"/>
      <c r="L4" s="89"/>
      <c r="M4" s="89"/>
      <c r="N4" s="89"/>
      <c r="O4" s="89"/>
    </row>
    <row r="5" spans="1:15" x14ac:dyDescent="0.3">
      <c r="A5" s="90" t="s">
        <v>2833</v>
      </c>
      <c r="C5" s="90" t="s">
        <v>2834</v>
      </c>
    </row>
    <row r="6" spans="1:15" x14ac:dyDescent="0.3">
      <c r="A6" s="90" t="s">
        <v>2835</v>
      </c>
    </row>
    <row r="7" spans="1:15" x14ac:dyDescent="0.3">
      <c r="A7" s="90" t="s">
        <v>2836</v>
      </c>
      <c r="C7" s="203" t="s">
        <v>2795</v>
      </c>
      <c r="D7" s="90" t="s">
        <v>2837</v>
      </c>
      <c r="E7" s="204">
        <v>45409</v>
      </c>
    </row>
    <row r="8" spans="1:15" x14ac:dyDescent="0.3">
      <c r="A8" s="90" t="s">
        <v>2838</v>
      </c>
      <c r="D8" s="90" t="s">
        <v>2839</v>
      </c>
    </row>
    <row r="9" spans="1:15" x14ac:dyDescent="0.3">
      <c r="C9" s="90" t="s">
        <v>2840</v>
      </c>
    </row>
    <row r="10" spans="1:15" x14ac:dyDescent="0.3">
      <c r="A10" s="90" t="s">
        <v>2841</v>
      </c>
      <c r="C10" s="90" t="s">
        <v>2833</v>
      </c>
      <c r="D10" s="202">
        <v>45420</v>
      </c>
      <c r="E10" s="202">
        <v>45451</v>
      </c>
      <c r="F10" s="202">
        <v>45481</v>
      </c>
    </row>
    <row r="11" spans="1:15" x14ac:dyDescent="0.3">
      <c r="E11" s="154" t="s">
        <v>2842</v>
      </c>
      <c r="F11" s="154" t="s">
        <v>2843</v>
      </c>
    </row>
    <row r="12" spans="1:15" x14ac:dyDescent="0.3">
      <c r="C12" s="90" t="s">
        <v>2844</v>
      </c>
      <c r="E12" s="205">
        <v>45443</v>
      </c>
      <c r="F12" s="151"/>
    </row>
    <row r="13" spans="1:15" x14ac:dyDescent="0.3">
      <c r="C13" s="90" t="s">
        <v>2845</v>
      </c>
    </row>
    <row r="15" spans="1:15" x14ac:dyDescent="0.3">
      <c r="C15" s="203" t="s">
        <v>2846</v>
      </c>
      <c r="E15" s="204">
        <v>45435</v>
      </c>
    </row>
    <row r="16" spans="1:15" x14ac:dyDescent="0.3">
      <c r="E16" s="202"/>
    </row>
    <row r="17" spans="1:9" x14ac:dyDescent="0.3">
      <c r="D17" s="90" t="s">
        <v>2843</v>
      </c>
      <c r="E17" s="204">
        <v>45453</v>
      </c>
      <c r="F17" s="90" t="s">
        <v>2847</v>
      </c>
      <c r="G17" s="204">
        <v>45442</v>
      </c>
    </row>
    <row r="19" spans="1:9" x14ac:dyDescent="0.3">
      <c r="A19" s="201">
        <v>45448</v>
      </c>
      <c r="C19" s="206">
        <v>45465</v>
      </c>
      <c r="D19" s="90" t="s">
        <v>2848</v>
      </c>
      <c r="G19" s="141" t="s">
        <v>2849</v>
      </c>
    </row>
    <row r="20" spans="1:9" x14ac:dyDescent="0.3">
      <c r="A20" s="90" t="s">
        <v>2826</v>
      </c>
      <c r="C20" s="90">
        <v>1</v>
      </c>
      <c r="D20" s="90" t="s">
        <v>2850</v>
      </c>
    </row>
    <row r="21" spans="1:9" x14ac:dyDescent="0.3">
      <c r="A21" s="90" t="s">
        <v>2828</v>
      </c>
      <c r="C21" s="90">
        <v>2</v>
      </c>
      <c r="D21" s="90" t="s">
        <v>2851</v>
      </c>
      <c r="F21" s="202">
        <v>45458</v>
      </c>
    </row>
    <row r="22" spans="1:9" x14ac:dyDescent="0.3">
      <c r="A22" s="90" t="s">
        <v>2832</v>
      </c>
      <c r="C22" s="90">
        <v>3</v>
      </c>
      <c r="D22" s="90" t="s">
        <v>2852</v>
      </c>
      <c r="E22" s="90" t="s">
        <v>2853</v>
      </c>
    </row>
    <row r="23" spans="1:9" x14ac:dyDescent="0.3">
      <c r="A23" s="90" t="s">
        <v>2833</v>
      </c>
      <c r="E23" s="90" t="s">
        <v>2854</v>
      </c>
    </row>
    <row r="24" spans="1:9" x14ac:dyDescent="0.3">
      <c r="A24" s="90" t="s">
        <v>2835</v>
      </c>
      <c r="E24" s="90" t="s">
        <v>2855</v>
      </c>
      <c r="H24" s="202">
        <v>45483</v>
      </c>
    </row>
    <row r="25" spans="1:9" x14ac:dyDescent="0.3">
      <c r="A25" s="90" t="s">
        <v>2836</v>
      </c>
      <c r="C25" s="90">
        <v>4</v>
      </c>
      <c r="D25" s="90" t="s">
        <v>2856</v>
      </c>
      <c r="E25" s="202">
        <v>45453</v>
      </c>
      <c r="F25" s="202" t="s">
        <v>2857</v>
      </c>
      <c r="G25" s="90" t="s">
        <v>2858</v>
      </c>
      <c r="H25" s="202">
        <v>45463</v>
      </c>
      <c r="I25" s="90" t="s">
        <v>2870</v>
      </c>
    </row>
    <row r="26" spans="1:9" x14ac:dyDescent="0.3">
      <c r="A26" s="90" t="s">
        <v>2838</v>
      </c>
      <c r="E26" s="202">
        <v>45483</v>
      </c>
      <c r="F26" s="90" t="s">
        <v>2859</v>
      </c>
      <c r="H26" s="202">
        <v>45490</v>
      </c>
      <c r="I26" s="90" t="s">
        <v>2871</v>
      </c>
    </row>
    <row r="27" spans="1:9" x14ac:dyDescent="0.3">
      <c r="A27" s="90" t="s">
        <v>2845</v>
      </c>
      <c r="E27" s="202">
        <v>45514</v>
      </c>
      <c r="F27" s="202" t="s">
        <v>2857</v>
      </c>
      <c r="H27" s="202">
        <v>45524</v>
      </c>
      <c r="I27" s="90" t="s">
        <v>2871</v>
      </c>
    </row>
    <row r="28" spans="1:9" x14ac:dyDescent="0.3">
      <c r="A28" s="90" t="s">
        <v>2862</v>
      </c>
      <c r="C28" s="90">
        <v>5</v>
      </c>
      <c r="D28" s="207" t="s">
        <v>2860</v>
      </c>
      <c r="E28" s="206">
        <v>45453</v>
      </c>
      <c r="F28" s="90" t="s">
        <v>2861</v>
      </c>
    </row>
    <row r="29" spans="1:9" x14ac:dyDescent="0.3">
      <c r="E29" s="202">
        <v>45463</v>
      </c>
      <c r="F29" s="90" t="s">
        <v>2861</v>
      </c>
    </row>
    <row r="30" spans="1:9" x14ac:dyDescent="0.3">
      <c r="E30" s="208">
        <v>45483</v>
      </c>
      <c r="F30" s="90" t="s">
        <v>2863</v>
      </c>
      <c r="H30" s="90" t="s">
        <v>2864</v>
      </c>
    </row>
    <row r="31" spans="1:9" x14ac:dyDescent="0.3">
      <c r="C31" s="90">
        <v>6</v>
      </c>
      <c r="D31" s="90" t="s">
        <v>2865</v>
      </c>
    </row>
    <row r="32" spans="1:9" x14ac:dyDescent="0.3">
      <c r="C32" s="90">
        <v>7</v>
      </c>
      <c r="D32" s="90" t="s">
        <v>2844</v>
      </c>
      <c r="E32" s="90" t="s">
        <v>2866</v>
      </c>
      <c r="G32" s="202">
        <v>45457</v>
      </c>
    </row>
    <row r="33" spans="5:7" x14ac:dyDescent="0.3">
      <c r="E33" s="90" t="s">
        <v>2867</v>
      </c>
      <c r="G33" s="202">
        <v>45464</v>
      </c>
    </row>
    <row r="34" spans="5:7" x14ac:dyDescent="0.3">
      <c r="E34" s="90" t="s">
        <v>2868</v>
      </c>
      <c r="G34" s="202">
        <v>45483</v>
      </c>
    </row>
  </sheetData>
  <mergeCells count="1">
    <mergeCell ref="H1:O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6"/>
  <sheetViews>
    <sheetView workbookViewId="0">
      <selection activeCell="H51" sqref="H51"/>
    </sheetView>
  </sheetViews>
  <sheetFormatPr defaultColWidth="9.109375" defaultRowHeight="13.8" x14ac:dyDescent="0.3"/>
  <cols>
    <col min="1" max="1" width="12" style="90" customWidth="1"/>
    <col min="2" max="2" width="10.6640625" style="90" bestFit="1" customWidth="1"/>
    <col min="3" max="3" width="6.33203125" style="89" bestFit="1" customWidth="1"/>
    <col min="4" max="4" width="9" style="89" customWidth="1"/>
    <col min="5" max="5" width="6" style="89" customWidth="1"/>
    <col min="6" max="6" width="5.6640625" style="89" customWidth="1"/>
    <col min="7" max="7" width="6" style="89" bestFit="1" customWidth="1"/>
    <col min="8" max="9" width="6.88671875" style="89" customWidth="1"/>
    <col min="10" max="10" width="6.6640625" style="89" customWidth="1"/>
    <col min="11" max="11" width="2.88671875" style="90" customWidth="1"/>
    <col min="12" max="12" width="9.109375" style="90"/>
    <col min="13" max="13" width="0" style="90" hidden="1" customWidth="1"/>
    <col min="14" max="16384" width="9.109375" style="90"/>
  </cols>
  <sheetData>
    <row r="1" spans="1:11" ht="15.6" x14ac:dyDescent="0.3">
      <c r="A1" s="251" t="s">
        <v>2886</v>
      </c>
      <c r="B1" s="251"/>
      <c r="C1" s="251"/>
      <c r="D1" s="251"/>
      <c r="E1" s="251"/>
      <c r="F1" s="251"/>
      <c r="G1" s="251"/>
      <c r="H1" s="251"/>
      <c r="I1" s="251"/>
      <c r="J1" s="251"/>
    </row>
    <row r="2" spans="1:11" x14ac:dyDescent="0.3">
      <c r="A2" s="209" t="s">
        <v>2887</v>
      </c>
      <c r="B2" s="209" t="s">
        <v>2888</v>
      </c>
      <c r="C2" s="210" t="s">
        <v>2895</v>
      </c>
      <c r="D2" s="210" t="s">
        <v>2896</v>
      </c>
      <c r="E2" s="210" t="s">
        <v>2897</v>
      </c>
      <c r="F2" s="210" t="s">
        <v>2926</v>
      </c>
      <c r="G2" s="210" t="s">
        <v>2892</v>
      </c>
      <c r="H2" s="210" t="s">
        <v>2893</v>
      </c>
      <c r="I2" s="210" t="s">
        <v>2894</v>
      </c>
      <c r="J2" s="210" t="s">
        <v>37</v>
      </c>
    </row>
    <row r="3" spans="1:11" x14ac:dyDescent="0.3">
      <c r="A3" s="250" t="s">
        <v>2889</v>
      </c>
      <c r="B3" s="90" t="s">
        <v>2891</v>
      </c>
      <c r="C3" s="89">
        <v>1</v>
      </c>
      <c r="D3" s="89" t="s">
        <v>2927</v>
      </c>
      <c r="E3" s="89">
        <v>17</v>
      </c>
      <c r="F3" s="89" t="s">
        <v>2830</v>
      </c>
      <c r="G3" s="89" t="s">
        <v>2921</v>
      </c>
      <c r="H3" s="89">
        <v>94</v>
      </c>
      <c r="I3" s="89">
        <v>2</v>
      </c>
      <c r="J3" s="89">
        <f>SUM(H3:I3)*2</f>
        <v>192</v>
      </c>
      <c r="K3" s="90" t="s">
        <v>2929</v>
      </c>
    </row>
    <row r="4" spans="1:11" x14ac:dyDescent="0.3">
      <c r="A4" s="250"/>
      <c r="B4" s="90" t="s">
        <v>2890</v>
      </c>
      <c r="C4" s="89">
        <v>1</v>
      </c>
      <c r="D4" s="89" t="s">
        <v>2927</v>
      </c>
      <c r="E4" s="89">
        <v>23</v>
      </c>
      <c r="F4" s="89" t="s">
        <v>2830</v>
      </c>
      <c r="G4" s="89" t="s">
        <v>2921</v>
      </c>
      <c r="H4" s="89">
        <v>27</v>
      </c>
      <c r="I4" s="89">
        <v>2</v>
      </c>
      <c r="J4" s="89">
        <f t="shared" ref="J4:J25" si="0">SUM(H4:I4)*2</f>
        <v>58</v>
      </c>
      <c r="K4" s="90" t="s">
        <v>2929</v>
      </c>
    </row>
    <row r="5" spans="1:11" x14ac:dyDescent="0.3">
      <c r="A5" s="250"/>
      <c r="B5" s="90" t="s">
        <v>2898</v>
      </c>
      <c r="C5" s="89">
        <v>1</v>
      </c>
      <c r="D5" s="89" t="s">
        <v>2927</v>
      </c>
      <c r="E5" s="89">
        <v>18</v>
      </c>
      <c r="F5" s="89" t="s">
        <v>2830</v>
      </c>
      <c r="G5" s="89" t="s">
        <v>2921</v>
      </c>
      <c r="H5" s="89">
        <v>94</v>
      </c>
      <c r="I5" s="89">
        <f>2+3.5</f>
        <v>5.5</v>
      </c>
      <c r="J5" s="89">
        <f t="shared" si="0"/>
        <v>199</v>
      </c>
      <c r="K5" s="90" t="s">
        <v>2929</v>
      </c>
    </row>
    <row r="6" spans="1:11" x14ac:dyDescent="0.3">
      <c r="A6" s="250"/>
      <c r="B6" s="90" t="s">
        <v>2899</v>
      </c>
      <c r="C6" s="89">
        <v>1</v>
      </c>
      <c r="D6" s="89" t="s">
        <v>2927</v>
      </c>
      <c r="E6" s="89">
        <v>23</v>
      </c>
      <c r="F6" s="89" t="s">
        <v>2830</v>
      </c>
      <c r="G6" s="89" t="s">
        <v>2922</v>
      </c>
      <c r="H6" s="89">
        <v>27</v>
      </c>
      <c r="I6" s="89">
        <v>5.5</v>
      </c>
      <c r="J6" s="89">
        <f t="shared" si="0"/>
        <v>65</v>
      </c>
      <c r="K6" s="90" t="s">
        <v>2929</v>
      </c>
    </row>
    <row r="7" spans="1:11" x14ac:dyDescent="0.3">
      <c r="A7" s="250"/>
      <c r="B7" s="90" t="s">
        <v>2900</v>
      </c>
      <c r="C7" s="89">
        <v>1</v>
      </c>
      <c r="D7" s="89" t="s">
        <v>2927</v>
      </c>
      <c r="E7" s="89">
        <v>17</v>
      </c>
      <c r="F7" s="89" t="s">
        <v>2830</v>
      </c>
      <c r="G7" s="89" t="s">
        <v>2923</v>
      </c>
      <c r="H7" s="89">
        <v>94</v>
      </c>
      <c r="I7" s="89">
        <f>I6+3.5</f>
        <v>9</v>
      </c>
      <c r="J7" s="89">
        <f t="shared" si="0"/>
        <v>206</v>
      </c>
      <c r="K7" s="90" t="s">
        <v>2929</v>
      </c>
    </row>
    <row r="8" spans="1:11" x14ac:dyDescent="0.3">
      <c r="A8" s="250"/>
      <c r="B8" s="90" t="s">
        <v>2901</v>
      </c>
      <c r="C8" s="89">
        <v>1</v>
      </c>
      <c r="D8" s="89" t="s">
        <v>2927</v>
      </c>
      <c r="E8" s="89">
        <v>16</v>
      </c>
      <c r="F8" s="89" t="s">
        <v>2830</v>
      </c>
      <c r="G8" s="89" t="s">
        <v>2922</v>
      </c>
      <c r="H8" s="89">
        <v>27</v>
      </c>
      <c r="I8" s="89">
        <v>9</v>
      </c>
      <c r="J8" s="89">
        <f t="shared" si="0"/>
        <v>72</v>
      </c>
      <c r="K8" s="90" t="s">
        <v>2929</v>
      </c>
    </row>
    <row r="9" spans="1:11" x14ac:dyDescent="0.3">
      <c r="A9" s="250"/>
      <c r="B9" s="90" t="s">
        <v>2902</v>
      </c>
      <c r="C9" s="89">
        <v>1</v>
      </c>
      <c r="D9" s="89" t="s">
        <v>2927</v>
      </c>
      <c r="E9" s="89">
        <v>18</v>
      </c>
      <c r="F9" s="89" t="s">
        <v>2830</v>
      </c>
      <c r="G9" s="89" t="s">
        <v>2923</v>
      </c>
      <c r="H9" s="89">
        <v>94</v>
      </c>
      <c r="I9" s="89">
        <f>I8+3.5</f>
        <v>12.5</v>
      </c>
      <c r="J9" s="89">
        <f t="shared" si="0"/>
        <v>213</v>
      </c>
      <c r="K9" s="90" t="s">
        <v>2929</v>
      </c>
    </row>
    <row r="10" spans="1:11" x14ac:dyDescent="0.3">
      <c r="A10" s="250"/>
      <c r="B10" s="90" t="s">
        <v>2903</v>
      </c>
      <c r="C10" s="89">
        <v>1</v>
      </c>
      <c r="D10" s="89" t="s">
        <v>2927</v>
      </c>
      <c r="E10" s="89">
        <v>15</v>
      </c>
      <c r="F10" s="89" t="s">
        <v>2830</v>
      </c>
      <c r="G10" s="89" t="s">
        <v>2924</v>
      </c>
      <c r="H10" s="89">
        <v>27</v>
      </c>
      <c r="I10" s="89">
        <v>12.5</v>
      </c>
      <c r="J10" s="89">
        <f t="shared" si="0"/>
        <v>79</v>
      </c>
      <c r="K10" s="90" t="s">
        <v>2929</v>
      </c>
    </row>
    <row r="11" spans="1:11" x14ac:dyDescent="0.3">
      <c r="A11" s="250"/>
      <c r="B11" s="90" t="s">
        <v>2904</v>
      </c>
      <c r="C11" s="89">
        <v>1</v>
      </c>
      <c r="D11" s="89" t="s">
        <v>2927</v>
      </c>
      <c r="E11" s="89">
        <v>18</v>
      </c>
      <c r="F11" s="89" t="s">
        <v>2830</v>
      </c>
      <c r="G11" s="89" t="s">
        <v>2925</v>
      </c>
      <c r="H11" s="89">
        <v>94</v>
      </c>
      <c r="I11" s="89">
        <f>I10+3.5</f>
        <v>16</v>
      </c>
      <c r="J11" s="89">
        <f t="shared" si="0"/>
        <v>220</v>
      </c>
      <c r="K11" s="90" t="s">
        <v>2929</v>
      </c>
    </row>
    <row r="12" spans="1:11" x14ac:dyDescent="0.3">
      <c r="A12" s="250"/>
      <c r="B12" s="90" t="s">
        <v>2905</v>
      </c>
      <c r="C12" s="89">
        <v>1</v>
      </c>
      <c r="D12" s="89" t="s">
        <v>2927</v>
      </c>
      <c r="E12" s="89">
        <v>15</v>
      </c>
      <c r="F12" s="89" t="s">
        <v>2830</v>
      </c>
      <c r="G12" s="89" t="s">
        <v>2922</v>
      </c>
      <c r="H12" s="89">
        <v>27</v>
      </c>
      <c r="I12" s="89">
        <v>16</v>
      </c>
      <c r="J12" s="89">
        <f t="shared" si="0"/>
        <v>86</v>
      </c>
      <c r="K12" s="90" t="s">
        <v>2929</v>
      </c>
    </row>
    <row r="13" spans="1:11" x14ac:dyDescent="0.3">
      <c r="A13" s="250"/>
      <c r="B13" s="90" t="s">
        <v>2906</v>
      </c>
      <c r="C13" s="89">
        <v>1</v>
      </c>
      <c r="D13" s="89" t="s">
        <v>2927</v>
      </c>
      <c r="E13" s="89">
        <v>21</v>
      </c>
      <c r="F13" s="89" t="s">
        <v>2830</v>
      </c>
      <c r="G13" s="89" t="s">
        <v>2921</v>
      </c>
      <c r="H13" s="89">
        <v>94</v>
      </c>
      <c r="I13" s="89">
        <f>I12+3.5</f>
        <v>19.5</v>
      </c>
      <c r="J13" s="89">
        <f t="shared" si="0"/>
        <v>227</v>
      </c>
      <c r="K13" s="90" t="s">
        <v>2929</v>
      </c>
    </row>
    <row r="14" spans="1:11" x14ac:dyDescent="0.3">
      <c r="A14" s="250"/>
      <c r="B14" s="90" t="s">
        <v>2907</v>
      </c>
      <c r="C14" s="89">
        <v>1</v>
      </c>
      <c r="D14" s="89" t="s">
        <v>2927</v>
      </c>
      <c r="E14" s="89">
        <v>13</v>
      </c>
      <c r="F14" s="89" t="s">
        <v>2830</v>
      </c>
      <c r="G14" s="89" t="s">
        <v>2924</v>
      </c>
      <c r="H14" s="89">
        <v>27</v>
      </c>
      <c r="I14" s="89">
        <v>19.5</v>
      </c>
      <c r="J14" s="89">
        <f t="shared" si="0"/>
        <v>93</v>
      </c>
      <c r="K14" s="90" t="s">
        <v>2929</v>
      </c>
    </row>
    <row r="15" spans="1:11" x14ac:dyDescent="0.3">
      <c r="A15" s="250"/>
      <c r="B15" s="90" t="s">
        <v>2908</v>
      </c>
      <c r="C15" s="89">
        <v>1</v>
      </c>
      <c r="D15" s="89" t="s">
        <v>2927</v>
      </c>
      <c r="E15" s="89">
        <v>25</v>
      </c>
      <c r="F15" s="89" t="s">
        <v>2830</v>
      </c>
      <c r="G15" s="89" t="s">
        <v>2923</v>
      </c>
      <c r="H15" s="89">
        <v>94</v>
      </c>
      <c r="I15" s="89">
        <f>I14+3.5</f>
        <v>23</v>
      </c>
      <c r="J15" s="89">
        <f t="shared" si="0"/>
        <v>234</v>
      </c>
      <c r="K15" s="90" t="s">
        <v>2929</v>
      </c>
    </row>
    <row r="16" spans="1:11" x14ac:dyDescent="0.3">
      <c r="A16" s="250"/>
      <c r="B16" s="90" t="s">
        <v>2909</v>
      </c>
      <c r="C16" s="89">
        <v>1</v>
      </c>
      <c r="D16" s="89" t="s">
        <v>2927</v>
      </c>
      <c r="E16" s="89">
        <v>13</v>
      </c>
      <c r="F16" s="89" t="s">
        <v>2830</v>
      </c>
      <c r="G16" s="89" t="s">
        <v>2924</v>
      </c>
      <c r="H16" s="89">
        <v>27</v>
      </c>
      <c r="I16" s="89">
        <v>23</v>
      </c>
      <c r="J16" s="89">
        <f t="shared" si="0"/>
        <v>100</v>
      </c>
      <c r="K16" s="90" t="s">
        <v>2929</v>
      </c>
    </row>
    <row r="17" spans="1:13" x14ac:dyDescent="0.3">
      <c r="A17" s="250"/>
      <c r="B17" s="90" t="s">
        <v>2910</v>
      </c>
      <c r="C17" s="89">
        <v>1</v>
      </c>
      <c r="D17" s="89" t="s">
        <v>2927</v>
      </c>
      <c r="E17" s="89">
        <v>26</v>
      </c>
      <c r="F17" s="89" t="s">
        <v>2830</v>
      </c>
      <c r="G17" s="89" t="s">
        <v>2924</v>
      </c>
      <c r="H17" s="89">
        <v>94</v>
      </c>
      <c r="I17" s="89">
        <f>I16+3.5</f>
        <v>26.5</v>
      </c>
      <c r="J17" s="89">
        <f t="shared" si="0"/>
        <v>241</v>
      </c>
      <c r="K17" s="90" t="s">
        <v>2929</v>
      </c>
    </row>
    <row r="18" spans="1:13" x14ac:dyDescent="0.3">
      <c r="A18" s="250"/>
      <c r="B18" s="90" t="s">
        <v>2911</v>
      </c>
      <c r="C18" s="89">
        <v>1</v>
      </c>
      <c r="D18" s="89" t="s">
        <v>2927</v>
      </c>
      <c r="E18" s="89">
        <v>13</v>
      </c>
      <c r="F18" s="89" t="s">
        <v>2830</v>
      </c>
      <c r="G18" s="89" t="s">
        <v>2922</v>
      </c>
      <c r="H18" s="89">
        <v>27</v>
      </c>
      <c r="I18" s="89">
        <v>26.5</v>
      </c>
      <c r="J18" s="89">
        <f t="shared" si="0"/>
        <v>107</v>
      </c>
      <c r="K18" s="90" t="s">
        <v>2929</v>
      </c>
    </row>
    <row r="19" spans="1:13" x14ac:dyDescent="0.3">
      <c r="A19" s="250"/>
      <c r="B19" s="90" t="s">
        <v>2912</v>
      </c>
      <c r="C19" s="89">
        <v>1</v>
      </c>
      <c r="D19" s="89" t="s">
        <v>2927</v>
      </c>
      <c r="E19" s="89">
        <v>8</v>
      </c>
      <c r="F19" s="89" t="s">
        <v>2830</v>
      </c>
      <c r="G19" s="89" t="s">
        <v>2924</v>
      </c>
      <c r="H19" s="89">
        <v>94</v>
      </c>
      <c r="I19" s="89">
        <f>I18+3.5</f>
        <v>30</v>
      </c>
      <c r="J19" s="89">
        <f t="shared" si="0"/>
        <v>248</v>
      </c>
      <c r="K19" s="90" t="s">
        <v>2929</v>
      </c>
    </row>
    <row r="20" spans="1:13" x14ac:dyDescent="0.3">
      <c r="A20" s="250"/>
      <c r="B20" s="90" t="s">
        <v>2913</v>
      </c>
      <c r="C20" s="89">
        <v>1</v>
      </c>
      <c r="D20" s="89" t="s">
        <v>2927</v>
      </c>
      <c r="E20" s="89">
        <v>4</v>
      </c>
      <c r="F20" s="89" t="s">
        <v>2830</v>
      </c>
      <c r="G20" s="89" t="s">
        <v>2924</v>
      </c>
      <c r="H20" s="89">
        <v>27</v>
      </c>
      <c r="I20" s="89">
        <v>30</v>
      </c>
      <c r="J20" s="89">
        <f t="shared" si="0"/>
        <v>114</v>
      </c>
      <c r="K20" s="90" t="s">
        <v>2929</v>
      </c>
    </row>
    <row r="21" spans="1:13" x14ac:dyDescent="0.3">
      <c r="A21" s="250"/>
      <c r="B21" s="90" t="s">
        <v>2914</v>
      </c>
      <c r="C21" s="89">
        <v>1</v>
      </c>
      <c r="D21" s="89" t="s">
        <v>2927</v>
      </c>
      <c r="E21" s="89">
        <v>28</v>
      </c>
      <c r="F21" s="89" t="s">
        <v>2830</v>
      </c>
      <c r="G21" s="89" t="s">
        <v>2924</v>
      </c>
      <c r="H21" s="89">
        <v>94</v>
      </c>
      <c r="I21" s="89">
        <f>I20+3.5</f>
        <v>33.5</v>
      </c>
      <c r="J21" s="89">
        <f t="shared" si="0"/>
        <v>255</v>
      </c>
      <c r="K21" s="90" t="s">
        <v>2929</v>
      </c>
    </row>
    <row r="22" spans="1:13" x14ac:dyDescent="0.3">
      <c r="A22" s="250"/>
      <c r="B22" s="90" t="s">
        <v>2915</v>
      </c>
      <c r="C22" s="89">
        <v>1</v>
      </c>
      <c r="D22" s="89" t="s">
        <v>2927</v>
      </c>
      <c r="E22" s="89">
        <v>14</v>
      </c>
      <c r="F22" s="89" t="s">
        <v>2830</v>
      </c>
      <c r="G22" s="89" t="s">
        <v>2922</v>
      </c>
      <c r="H22" s="89">
        <v>27</v>
      </c>
      <c r="I22" s="89">
        <v>33.5</v>
      </c>
      <c r="J22" s="89">
        <f t="shared" si="0"/>
        <v>121</v>
      </c>
      <c r="K22" s="90" t="s">
        <v>2929</v>
      </c>
    </row>
    <row r="23" spans="1:13" x14ac:dyDescent="0.3">
      <c r="A23" s="250"/>
      <c r="B23" s="90" t="s">
        <v>2916</v>
      </c>
      <c r="C23" s="89">
        <v>1</v>
      </c>
      <c r="D23" s="89" t="s">
        <v>2927</v>
      </c>
      <c r="E23" s="89">
        <v>1</v>
      </c>
      <c r="F23" s="89" t="s">
        <v>2830</v>
      </c>
      <c r="G23" s="89" t="s">
        <v>2924</v>
      </c>
      <c r="H23" s="89">
        <v>94</v>
      </c>
      <c r="I23" s="89">
        <f>I22+3.5</f>
        <v>37</v>
      </c>
      <c r="J23" s="89">
        <f t="shared" si="0"/>
        <v>262</v>
      </c>
      <c r="K23" s="90" t="s">
        <v>2929</v>
      </c>
    </row>
    <row r="24" spans="1:13" x14ac:dyDescent="0.3">
      <c r="A24" s="250"/>
      <c r="B24" s="90" t="s">
        <v>2917</v>
      </c>
      <c r="C24" s="89">
        <v>1</v>
      </c>
      <c r="D24" s="89" t="s">
        <v>2927</v>
      </c>
      <c r="E24" s="89">
        <v>6</v>
      </c>
      <c r="F24" s="89" t="s">
        <v>2830</v>
      </c>
      <c r="G24" s="89" t="s">
        <v>2924</v>
      </c>
      <c r="H24" s="89">
        <v>27</v>
      </c>
      <c r="I24" s="89">
        <v>37</v>
      </c>
      <c r="J24" s="89">
        <f t="shared" si="0"/>
        <v>128</v>
      </c>
      <c r="K24" s="90" t="s">
        <v>2929</v>
      </c>
    </row>
    <row r="25" spans="1:13" x14ac:dyDescent="0.3">
      <c r="A25" s="90" t="s">
        <v>2912</v>
      </c>
      <c r="B25" s="207" t="s">
        <v>2918</v>
      </c>
      <c r="C25" s="89">
        <v>1</v>
      </c>
      <c r="D25" s="89" t="s">
        <v>2927</v>
      </c>
      <c r="E25" s="89" t="s">
        <v>2920</v>
      </c>
      <c r="F25" s="89" t="s">
        <v>2830</v>
      </c>
      <c r="G25" s="89" t="s">
        <v>2922</v>
      </c>
      <c r="H25" s="89">
        <v>30.5</v>
      </c>
      <c r="I25" s="89">
        <v>2.5</v>
      </c>
      <c r="J25" s="89">
        <f t="shared" si="0"/>
        <v>66</v>
      </c>
      <c r="K25" s="90" t="s">
        <v>2929</v>
      </c>
    </row>
    <row r="26" spans="1:13" x14ac:dyDescent="0.3">
      <c r="A26" s="90" t="s">
        <v>2913</v>
      </c>
      <c r="B26" s="207" t="s">
        <v>2919</v>
      </c>
      <c r="C26" s="89">
        <v>1</v>
      </c>
      <c r="D26" s="89" t="s">
        <v>2927</v>
      </c>
      <c r="E26" s="89" t="s">
        <v>2920</v>
      </c>
      <c r="F26" s="89" t="s">
        <v>2830</v>
      </c>
      <c r="G26" s="89" t="s">
        <v>2922</v>
      </c>
      <c r="H26" s="89">
        <v>30.5</v>
      </c>
      <c r="I26" s="89">
        <v>2.5</v>
      </c>
      <c r="J26" s="89">
        <f>SUM(H26:I26)*2</f>
        <v>66</v>
      </c>
      <c r="K26" s="90" t="s">
        <v>2929</v>
      </c>
    </row>
    <row r="27" spans="1:13" x14ac:dyDescent="0.3">
      <c r="A27" s="90" t="s">
        <v>2891</v>
      </c>
      <c r="B27" s="90" t="s">
        <v>2897</v>
      </c>
      <c r="C27" s="211">
        <v>2</v>
      </c>
      <c r="D27" s="89" t="s">
        <v>2830</v>
      </c>
      <c r="E27" s="89">
        <v>17</v>
      </c>
      <c r="F27" s="89">
        <v>49</v>
      </c>
      <c r="G27" s="89" t="s">
        <v>2928</v>
      </c>
      <c r="H27" s="89">
        <v>1900</v>
      </c>
      <c r="I27" s="89">
        <f>4*17</f>
        <v>68</v>
      </c>
      <c r="J27" s="89">
        <f>SUM(H27:I27)</f>
        <v>1968</v>
      </c>
      <c r="K27" s="90" t="s">
        <v>2930</v>
      </c>
      <c r="M27" s="90">
        <f>J27*1.05</f>
        <v>2066.4</v>
      </c>
    </row>
    <row r="28" spans="1:13" x14ac:dyDescent="0.3">
      <c r="A28" s="90" t="s">
        <v>2890</v>
      </c>
      <c r="B28" s="90" t="s">
        <v>2897</v>
      </c>
      <c r="C28" s="89">
        <v>1</v>
      </c>
      <c r="D28" s="89" t="s">
        <v>2830</v>
      </c>
      <c r="E28" s="93">
        <v>35</v>
      </c>
      <c r="G28" s="89" t="s">
        <v>2928</v>
      </c>
      <c r="I28" s="89">
        <v>4</v>
      </c>
      <c r="J28" s="89">
        <f t="shared" ref="J28:J48" si="1">SUM(H28:I28)</f>
        <v>4</v>
      </c>
      <c r="K28" s="90" t="s">
        <v>2930</v>
      </c>
    </row>
    <row r="29" spans="1:13" x14ac:dyDescent="0.3">
      <c r="A29" s="90" t="s">
        <v>2898</v>
      </c>
      <c r="B29" s="90" t="s">
        <v>2897</v>
      </c>
      <c r="C29" s="211">
        <v>2</v>
      </c>
      <c r="D29" s="89" t="s">
        <v>2830</v>
      </c>
      <c r="E29" s="89">
        <v>23</v>
      </c>
      <c r="F29" s="89">
        <v>69</v>
      </c>
      <c r="G29" s="89" t="s">
        <v>2928</v>
      </c>
      <c r="H29" s="89">
        <v>2960</v>
      </c>
      <c r="I29" s="89">
        <f>4+23</f>
        <v>27</v>
      </c>
      <c r="J29" s="89">
        <f t="shared" si="1"/>
        <v>2987</v>
      </c>
      <c r="K29" s="90" t="s">
        <v>2930</v>
      </c>
      <c r="M29" s="90">
        <f>J29*1.05</f>
        <v>3136.35</v>
      </c>
    </row>
    <row r="30" spans="1:13" x14ac:dyDescent="0.3">
      <c r="A30" s="90" t="s">
        <v>2899</v>
      </c>
      <c r="B30" s="90" t="s">
        <v>2897</v>
      </c>
      <c r="C30" s="89">
        <v>1</v>
      </c>
      <c r="D30" s="89" t="s">
        <v>2830</v>
      </c>
      <c r="E30" s="93">
        <v>30</v>
      </c>
      <c r="G30" s="89" t="s">
        <v>2928</v>
      </c>
      <c r="I30" s="89">
        <v>4</v>
      </c>
      <c r="J30" s="89">
        <f t="shared" si="1"/>
        <v>4</v>
      </c>
      <c r="K30" s="90" t="s">
        <v>2930</v>
      </c>
    </row>
    <row r="31" spans="1:13" x14ac:dyDescent="0.3">
      <c r="A31" s="90" t="s">
        <v>2900</v>
      </c>
      <c r="B31" s="90" t="s">
        <v>2897</v>
      </c>
      <c r="C31" s="211">
        <v>2</v>
      </c>
      <c r="D31" s="89" t="s">
        <v>2830</v>
      </c>
      <c r="E31" s="89">
        <v>10</v>
      </c>
      <c r="F31" s="89">
        <v>25</v>
      </c>
      <c r="G31" s="89" t="s">
        <v>2928</v>
      </c>
      <c r="H31" s="89">
        <v>1240</v>
      </c>
      <c r="I31" s="89">
        <f>4*10</f>
        <v>40</v>
      </c>
      <c r="J31" s="89">
        <f t="shared" si="1"/>
        <v>1280</v>
      </c>
      <c r="K31" s="90" t="s">
        <v>2930</v>
      </c>
      <c r="M31" s="90">
        <f>J31*1.05</f>
        <v>1344</v>
      </c>
    </row>
    <row r="32" spans="1:13" x14ac:dyDescent="0.3">
      <c r="A32" s="90" t="s">
        <v>2901</v>
      </c>
      <c r="B32" s="90" t="s">
        <v>2897</v>
      </c>
      <c r="C32" s="89">
        <v>1</v>
      </c>
      <c r="D32" s="89" t="s">
        <v>2830</v>
      </c>
      <c r="E32" s="93">
        <v>24</v>
      </c>
      <c r="G32" s="89" t="s">
        <v>2928</v>
      </c>
      <c r="I32" s="89">
        <v>4</v>
      </c>
      <c r="J32" s="89">
        <f t="shared" si="1"/>
        <v>4</v>
      </c>
      <c r="K32" s="90" t="s">
        <v>2930</v>
      </c>
    </row>
    <row r="33" spans="1:11" x14ac:dyDescent="0.3">
      <c r="A33" s="90" t="s">
        <v>2902</v>
      </c>
      <c r="B33" s="90" t="s">
        <v>2897</v>
      </c>
      <c r="C33" s="211">
        <v>2</v>
      </c>
      <c r="D33" s="89" t="s">
        <v>2830</v>
      </c>
      <c r="E33" s="89">
        <v>18</v>
      </c>
      <c r="F33" s="89">
        <v>48</v>
      </c>
      <c r="G33" s="89" t="s">
        <v>2928</v>
      </c>
      <c r="H33" s="89">
        <v>2430</v>
      </c>
      <c r="I33" s="89">
        <f>4*18</f>
        <v>72</v>
      </c>
      <c r="J33" s="89">
        <f t="shared" si="1"/>
        <v>2502</v>
      </c>
      <c r="K33" s="90" t="s">
        <v>2930</v>
      </c>
    </row>
    <row r="34" spans="1:11" x14ac:dyDescent="0.3">
      <c r="A34" s="90" t="s">
        <v>2903</v>
      </c>
      <c r="B34" s="90" t="s">
        <v>2897</v>
      </c>
      <c r="C34" s="89">
        <v>1</v>
      </c>
      <c r="D34" s="89" t="s">
        <v>2830</v>
      </c>
      <c r="E34" s="93">
        <v>17</v>
      </c>
      <c r="G34" s="89" t="s">
        <v>2928</v>
      </c>
      <c r="I34" s="89">
        <v>4</v>
      </c>
      <c r="J34" s="89">
        <f t="shared" si="1"/>
        <v>4</v>
      </c>
      <c r="K34" s="90" t="s">
        <v>2930</v>
      </c>
    </row>
    <row r="35" spans="1:11" x14ac:dyDescent="0.3">
      <c r="A35" s="90" t="s">
        <v>2904</v>
      </c>
      <c r="B35" s="90" t="s">
        <v>2897</v>
      </c>
      <c r="C35" s="211">
        <v>2</v>
      </c>
      <c r="D35" s="89" t="s">
        <v>2830</v>
      </c>
      <c r="E35" s="89">
        <v>18</v>
      </c>
      <c r="F35" s="89">
        <v>49</v>
      </c>
      <c r="G35" s="89" t="s">
        <v>2928</v>
      </c>
      <c r="H35" s="89">
        <v>2430</v>
      </c>
      <c r="I35" s="89">
        <f>4*18</f>
        <v>72</v>
      </c>
      <c r="J35" s="89">
        <f t="shared" si="1"/>
        <v>2502</v>
      </c>
      <c r="K35" s="90" t="s">
        <v>2930</v>
      </c>
    </row>
    <row r="36" spans="1:11" x14ac:dyDescent="0.3">
      <c r="A36" s="90" t="s">
        <v>2905</v>
      </c>
      <c r="B36" s="90" t="s">
        <v>2897</v>
      </c>
      <c r="C36" s="89">
        <v>1</v>
      </c>
      <c r="D36" s="89" t="s">
        <v>2830</v>
      </c>
      <c r="E36" s="93">
        <v>28</v>
      </c>
      <c r="G36" s="89" t="s">
        <v>2928</v>
      </c>
      <c r="I36" s="89">
        <v>4</v>
      </c>
      <c r="J36" s="89">
        <f t="shared" si="1"/>
        <v>4</v>
      </c>
      <c r="K36" s="90" t="s">
        <v>2930</v>
      </c>
    </row>
    <row r="37" spans="1:11" x14ac:dyDescent="0.3">
      <c r="A37" s="90" t="s">
        <v>2906</v>
      </c>
      <c r="B37" s="90" t="s">
        <v>2897</v>
      </c>
      <c r="C37" s="211">
        <v>2</v>
      </c>
      <c r="D37" s="89" t="s">
        <v>2830</v>
      </c>
      <c r="E37" s="89">
        <v>21</v>
      </c>
      <c r="F37" s="89">
        <v>51</v>
      </c>
      <c r="G37" s="89" t="s">
        <v>2928</v>
      </c>
      <c r="H37" s="89">
        <v>2835</v>
      </c>
      <c r="I37" s="89">
        <f>4*21</f>
        <v>84</v>
      </c>
      <c r="J37" s="89">
        <f t="shared" si="1"/>
        <v>2919</v>
      </c>
      <c r="K37" s="90" t="s">
        <v>2930</v>
      </c>
    </row>
    <row r="38" spans="1:11" x14ac:dyDescent="0.3">
      <c r="A38" s="90" t="s">
        <v>2907</v>
      </c>
      <c r="B38" s="90" t="s">
        <v>2897</v>
      </c>
      <c r="C38" s="89">
        <v>1</v>
      </c>
      <c r="D38" s="89" t="s">
        <v>2830</v>
      </c>
      <c r="E38" s="93">
        <v>25</v>
      </c>
      <c r="G38" s="89" t="s">
        <v>2928</v>
      </c>
      <c r="I38" s="89">
        <v>4</v>
      </c>
      <c r="J38" s="89">
        <f t="shared" si="1"/>
        <v>4</v>
      </c>
      <c r="K38" s="90" t="s">
        <v>2930</v>
      </c>
    </row>
    <row r="39" spans="1:11" x14ac:dyDescent="0.3">
      <c r="A39" s="90" t="s">
        <v>2908</v>
      </c>
      <c r="B39" s="90" t="s">
        <v>2897</v>
      </c>
      <c r="C39" s="211">
        <v>2</v>
      </c>
      <c r="D39" s="89" t="s">
        <v>2830</v>
      </c>
      <c r="E39" s="89">
        <v>16</v>
      </c>
      <c r="F39" s="89">
        <v>43</v>
      </c>
      <c r="G39" s="89" t="s">
        <v>2928</v>
      </c>
      <c r="H39" s="89">
        <v>2160</v>
      </c>
      <c r="I39" s="89">
        <f>4*16</f>
        <v>64</v>
      </c>
      <c r="J39" s="89">
        <f t="shared" si="1"/>
        <v>2224</v>
      </c>
      <c r="K39" s="90" t="s">
        <v>2930</v>
      </c>
    </row>
    <row r="40" spans="1:11" x14ac:dyDescent="0.3">
      <c r="A40" s="90" t="s">
        <v>2909</v>
      </c>
      <c r="B40" s="90" t="s">
        <v>2897</v>
      </c>
      <c r="C40" s="89">
        <v>1</v>
      </c>
      <c r="D40" s="89" t="s">
        <v>2830</v>
      </c>
      <c r="E40" s="93">
        <v>25</v>
      </c>
      <c r="G40" s="89" t="s">
        <v>2928</v>
      </c>
      <c r="I40" s="89">
        <v>4</v>
      </c>
      <c r="J40" s="89">
        <f t="shared" si="1"/>
        <v>4</v>
      </c>
      <c r="K40" s="90" t="s">
        <v>2930</v>
      </c>
    </row>
    <row r="41" spans="1:11" x14ac:dyDescent="0.3">
      <c r="A41" s="207" t="s">
        <v>2910</v>
      </c>
      <c r="B41" s="90" t="s">
        <v>2897</v>
      </c>
      <c r="C41" s="89">
        <v>1</v>
      </c>
      <c r="D41" s="89" t="s">
        <v>2830</v>
      </c>
      <c r="E41" s="89">
        <v>13</v>
      </c>
      <c r="G41" s="89" t="s">
        <v>2928</v>
      </c>
      <c r="I41" s="89">
        <v>4</v>
      </c>
      <c r="J41" s="89">
        <f t="shared" si="1"/>
        <v>4</v>
      </c>
      <c r="K41" s="90" t="s">
        <v>2930</v>
      </c>
    </row>
    <row r="42" spans="1:11" x14ac:dyDescent="0.3">
      <c r="A42" s="207" t="s">
        <v>2911</v>
      </c>
      <c r="B42" s="90" t="s">
        <v>2897</v>
      </c>
      <c r="C42" s="89">
        <v>1</v>
      </c>
      <c r="D42" s="89" t="s">
        <v>2830</v>
      </c>
      <c r="E42" s="93">
        <v>13</v>
      </c>
      <c r="G42" s="89" t="s">
        <v>2928</v>
      </c>
      <c r="I42" s="89">
        <v>4</v>
      </c>
      <c r="J42" s="89">
        <f t="shared" si="1"/>
        <v>4</v>
      </c>
      <c r="K42" s="90" t="s">
        <v>2930</v>
      </c>
    </row>
    <row r="43" spans="1:11" x14ac:dyDescent="0.3">
      <c r="A43" s="90" t="s">
        <v>2912</v>
      </c>
      <c r="B43" s="90" t="s">
        <v>2897</v>
      </c>
      <c r="C43" s="89">
        <v>1</v>
      </c>
      <c r="D43" s="89" t="s">
        <v>2830</v>
      </c>
      <c r="E43" s="89">
        <v>4</v>
      </c>
      <c r="G43" s="89" t="s">
        <v>2928</v>
      </c>
      <c r="I43" s="89">
        <v>4</v>
      </c>
      <c r="J43" s="89">
        <f t="shared" si="1"/>
        <v>4</v>
      </c>
      <c r="K43" s="90" t="s">
        <v>2930</v>
      </c>
    </row>
    <row r="44" spans="1:11" x14ac:dyDescent="0.3">
      <c r="A44" s="90" t="s">
        <v>2913</v>
      </c>
      <c r="B44" s="90" t="s">
        <v>2897</v>
      </c>
      <c r="C44" s="89">
        <v>1</v>
      </c>
      <c r="D44" s="89" t="s">
        <v>2830</v>
      </c>
      <c r="E44" s="93">
        <v>4</v>
      </c>
      <c r="G44" s="89" t="s">
        <v>2928</v>
      </c>
      <c r="I44" s="89">
        <v>4</v>
      </c>
      <c r="J44" s="89">
        <f t="shared" si="1"/>
        <v>4</v>
      </c>
      <c r="K44" s="90" t="s">
        <v>2930</v>
      </c>
    </row>
    <row r="45" spans="1:11" x14ac:dyDescent="0.3">
      <c r="A45" s="90" t="s">
        <v>2914</v>
      </c>
      <c r="B45" s="90" t="s">
        <v>2897</v>
      </c>
      <c r="C45" s="89">
        <v>1</v>
      </c>
      <c r="D45" s="89" t="s">
        <v>2830</v>
      </c>
      <c r="E45" s="89">
        <v>9</v>
      </c>
      <c r="G45" s="89" t="s">
        <v>2928</v>
      </c>
      <c r="I45" s="89">
        <v>4</v>
      </c>
      <c r="J45" s="89">
        <f t="shared" si="1"/>
        <v>4</v>
      </c>
      <c r="K45" s="90" t="s">
        <v>2930</v>
      </c>
    </row>
    <row r="46" spans="1:11" x14ac:dyDescent="0.3">
      <c r="A46" s="90" t="s">
        <v>2915</v>
      </c>
      <c r="B46" s="90" t="s">
        <v>2897</v>
      </c>
      <c r="C46" s="89">
        <v>1</v>
      </c>
      <c r="D46" s="89" t="s">
        <v>2830</v>
      </c>
      <c r="E46" s="93">
        <v>9</v>
      </c>
      <c r="G46" s="89" t="s">
        <v>2928</v>
      </c>
      <c r="I46" s="89">
        <v>4</v>
      </c>
      <c r="J46" s="89">
        <f t="shared" si="1"/>
        <v>4</v>
      </c>
      <c r="K46" s="90" t="s">
        <v>2930</v>
      </c>
    </row>
    <row r="47" spans="1:11" x14ac:dyDescent="0.3">
      <c r="A47" s="90" t="s">
        <v>2916</v>
      </c>
      <c r="B47" s="90" t="s">
        <v>2897</v>
      </c>
      <c r="C47" s="89">
        <v>1</v>
      </c>
      <c r="D47" s="89" t="s">
        <v>2830</v>
      </c>
      <c r="E47" s="89">
        <v>1</v>
      </c>
      <c r="G47" s="89" t="s">
        <v>2928</v>
      </c>
      <c r="I47" s="89">
        <v>4</v>
      </c>
      <c r="J47" s="89">
        <f t="shared" si="1"/>
        <v>4</v>
      </c>
      <c r="K47" s="90" t="s">
        <v>2930</v>
      </c>
    </row>
    <row r="48" spans="1:11" x14ac:dyDescent="0.3">
      <c r="A48" s="90" t="s">
        <v>2917</v>
      </c>
      <c r="B48" s="90" t="s">
        <v>2897</v>
      </c>
      <c r="C48" s="89">
        <v>1</v>
      </c>
      <c r="D48" s="89" t="s">
        <v>2830</v>
      </c>
      <c r="E48" s="93">
        <v>6</v>
      </c>
      <c r="G48" s="89" t="s">
        <v>2928</v>
      </c>
      <c r="I48" s="89">
        <v>4</v>
      </c>
      <c r="J48" s="89">
        <f t="shared" si="1"/>
        <v>4</v>
      </c>
      <c r="K48" s="90" t="s">
        <v>2930</v>
      </c>
    </row>
    <row r="49" spans="4:7" x14ac:dyDescent="0.3">
      <c r="E49" s="93"/>
    </row>
    <row r="50" spans="4:7" x14ac:dyDescent="0.3">
      <c r="E50" s="89" t="s">
        <v>2938</v>
      </c>
      <c r="F50" s="91" t="s">
        <v>2932</v>
      </c>
      <c r="G50" s="91" t="s">
        <v>2931</v>
      </c>
    </row>
    <row r="51" spans="4:7" x14ac:dyDescent="0.3">
      <c r="D51" s="212"/>
      <c r="E51" s="89" t="s">
        <v>2928</v>
      </c>
      <c r="F51" s="89">
        <f>J27+J29+J31+J33+J35+J37+J39</f>
        <v>16382</v>
      </c>
      <c r="G51" s="93">
        <v>17270</v>
      </c>
    </row>
    <row r="52" spans="4:7" x14ac:dyDescent="0.3">
      <c r="E52" s="89" t="s">
        <v>2924</v>
      </c>
      <c r="F52" s="89">
        <v>0</v>
      </c>
      <c r="G52" s="89">
        <v>1520</v>
      </c>
    </row>
    <row r="53" spans="4:7" x14ac:dyDescent="0.3">
      <c r="E53" s="89" t="s">
        <v>2922</v>
      </c>
      <c r="F53" s="89">
        <v>0</v>
      </c>
      <c r="G53" s="89">
        <v>583</v>
      </c>
    </row>
    <row r="54" spans="4:7" x14ac:dyDescent="0.3">
      <c r="E54" s="89" t="s">
        <v>2923</v>
      </c>
      <c r="F54" s="89">
        <v>0</v>
      </c>
      <c r="G54" s="89">
        <v>653</v>
      </c>
    </row>
    <row r="55" spans="4:7" x14ac:dyDescent="0.3">
      <c r="E55" s="89" t="s">
        <v>2921</v>
      </c>
      <c r="F55" s="89">
        <v>0</v>
      </c>
      <c r="G55" s="89">
        <v>676</v>
      </c>
    </row>
    <row r="56" spans="4:7" x14ac:dyDescent="0.3">
      <c r="E56" s="89" t="s">
        <v>2925</v>
      </c>
      <c r="F56" s="89">
        <v>0</v>
      </c>
      <c r="G56" s="89">
        <v>220</v>
      </c>
    </row>
  </sheetData>
  <mergeCells count="2">
    <mergeCell ref="A3:A24"/>
    <mergeCell ref="A1:J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3</vt:i4>
      </vt:variant>
    </vt:vector>
  </HeadingPairs>
  <TitlesOfParts>
    <vt:vector size="13" baseType="lpstr">
      <vt:lpstr>2024 R0</vt:lpstr>
      <vt:lpstr>EXCLUSOES</vt:lpstr>
      <vt:lpstr>AREAS</vt:lpstr>
      <vt:lpstr>MDO</vt:lpstr>
      <vt:lpstr>AUTOM</vt:lpstr>
      <vt:lpstr>Gases</vt:lpstr>
      <vt:lpstr>LUM</vt:lpstr>
      <vt:lpstr>REU</vt:lpstr>
      <vt:lpstr>BACK</vt:lpstr>
      <vt:lpstr>OBS</vt:lpstr>
      <vt:lpstr>'2024 R0'!Area_de_impressao</vt:lpstr>
      <vt:lpstr>'2024 R0'!Titulos_de_impressao</vt:lpstr>
      <vt:lpstr>EXCLUSOES!Titulos_de_impressao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casa</dc:creator>
  <cp:lastModifiedBy>DELL</cp:lastModifiedBy>
  <cp:lastPrinted>2024-07-28T14:18:34Z</cp:lastPrinted>
  <dcterms:created xsi:type="dcterms:W3CDTF">2000-06-08T16:53:02Z</dcterms:created>
  <dcterms:modified xsi:type="dcterms:W3CDTF">2024-10-01T19:51:46Z</dcterms:modified>
</cp:coreProperties>
</file>