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 BLOCO 1 ARQ\"/>
    </mc:Choice>
  </mc:AlternateContent>
  <xr:revisionPtr revIDLastSave="0" documentId="13_ncr:1_{B8678839-A371-41A6-ADFE-02760FBDBAAB}" xr6:coauthVersionLast="47" xr6:coauthVersionMax="47" xr10:uidLastSave="{00000000-0000-0000-0000-000000000000}"/>
  <bookViews>
    <workbookView xWindow="-108" yWindow="-108" windowWidth="23256" windowHeight="12456" tabRatio="688" activeTab="4" xr2:uid="{00000000-000D-0000-FFFF-FFFF00000000}"/>
  </bookViews>
  <sheets>
    <sheet name="RESUMO" sheetId="2" r:id="rId1"/>
    <sheet name="TÉRREO" sheetId="13" r:id="rId2"/>
    <sheet name="PAV 1" sheetId="12" r:id="rId3"/>
    <sheet name="PAV 2" sheetId="11" r:id="rId4"/>
    <sheet name="PAV 3" sheetId="10" r:id="rId5"/>
    <sheet name="PAV 4" sheetId="9" r:id="rId6"/>
    <sheet name="PAV 5" sheetId="8" r:id="rId7"/>
    <sheet name="PAV 6" sheetId="7" r:id="rId8"/>
    <sheet name="PAV7" sheetId="6" r:id="rId9"/>
    <sheet name="PAV 8" sheetId="5" r:id="rId10"/>
    <sheet name="PAV 9" sheetId="4" r:id="rId11"/>
    <sheet name="PAV 10" sheetId="3" r:id="rId12"/>
    <sheet name="PAV 11" sheetId="14" r:id="rId13"/>
  </sheets>
  <definedNames>
    <definedName name="FA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2" l="1"/>
  <c r="D74" i="2"/>
  <c r="D73" i="2"/>
  <c r="D72" i="2"/>
  <c r="D71" i="2"/>
  <c r="D70" i="2"/>
  <c r="D69" i="2"/>
  <c r="D66" i="2"/>
  <c r="D65" i="2"/>
  <c r="D64" i="2"/>
  <c r="D63" i="2"/>
  <c r="D61" i="2"/>
  <c r="D60" i="2"/>
  <c r="D59" i="2"/>
  <c r="D58" i="2"/>
  <c r="D53" i="2"/>
  <c r="D51" i="2"/>
  <c r="D47" i="2"/>
  <c r="D46" i="2"/>
  <c r="D43" i="2"/>
  <c r="D38" i="2"/>
  <c r="D36" i="2"/>
  <c r="D35" i="2"/>
  <c r="D34" i="2"/>
  <c r="D33" i="2"/>
  <c r="D32" i="2"/>
  <c r="D31" i="2"/>
  <c r="D26" i="2"/>
  <c r="D25" i="2"/>
  <c r="D24" i="2"/>
  <c r="D22" i="2"/>
  <c r="D21" i="2"/>
  <c r="D20" i="2"/>
  <c r="D17" i="2"/>
  <c r="D15" i="2"/>
  <c r="D14" i="2"/>
  <c r="D13" i="2"/>
  <c r="D12" i="2"/>
  <c r="D11" i="2"/>
  <c r="D10" i="2"/>
  <c r="D16" i="2"/>
  <c r="D18" i="2"/>
  <c r="Y45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C35" i="3"/>
  <c r="C36" i="3"/>
  <c r="C37" i="3"/>
  <c r="C38" i="3"/>
  <c r="C39" i="3"/>
  <c r="C40" i="3"/>
  <c r="C41" i="3"/>
  <c r="C42" i="3"/>
  <c r="C43" i="3"/>
  <c r="D19" i="2" s="1"/>
  <c r="C34" i="3"/>
  <c r="AD86" i="4"/>
  <c r="AD87" i="4"/>
  <c r="AD88" i="4"/>
  <c r="AD89" i="4"/>
  <c r="AD90" i="4"/>
  <c r="AD91" i="4"/>
  <c r="AD92" i="4"/>
  <c r="AD93" i="4"/>
  <c r="AD94" i="4"/>
  <c r="AD95" i="4"/>
  <c r="AD85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90" i="4"/>
  <c r="N91" i="4"/>
  <c r="N92" i="4"/>
  <c r="N93" i="4"/>
  <c r="N87" i="4"/>
  <c r="N88" i="4"/>
  <c r="N89" i="4"/>
  <c r="N86" i="4"/>
  <c r="N85" i="4"/>
  <c r="C89" i="4"/>
  <c r="C90" i="4"/>
  <c r="C91" i="4"/>
  <c r="C92" i="4"/>
  <c r="C93" i="4"/>
  <c r="C94" i="4"/>
  <c r="C95" i="4"/>
  <c r="C96" i="4"/>
  <c r="C97" i="4"/>
  <c r="C98" i="4"/>
  <c r="C99" i="4"/>
  <c r="C100" i="4"/>
  <c r="C86" i="4"/>
  <c r="C87" i="4"/>
  <c r="C88" i="4"/>
  <c r="C85" i="4"/>
  <c r="AA110" i="5"/>
  <c r="AA111" i="5"/>
  <c r="AA112" i="5"/>
  <c r="AA113" i="5"/>
  <c r="AA114" i="5"/>
  <c r="AA115" i="5"/>
  <c r="AA116" i="5"/>
  <c r="AA117" i="5"/>
  <c r="AA118" i="5"/>
  <c r="AA119" i="5"/>
  <c r="AA109" i="5"/>
  <c r="R105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9" i="5"/>
  <c r="N124" i="5"/>
  <c r="N125" i="5"/>
  <c r="N126" i="5"/>
  <c r="N127" i="5"/>
  <c r="N128" i="5"/>
  <c r="N130" i="5"/>
  <c r="N109" i="5"/>
  <c r="C109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X110" i="6"/>
  <c r="X111" i="6"/>
  <c r="X112" i="6"/>
  <c r="X113" i="6"/>
  <c r="X114" i="6"/>
  <c r="X115" i="6"/>
  <c r="X116" i="6"/>
  <c r="X117" i="6"/>
  <c r="X118" i="6"/>
  <c r="X119" i="6"/>
  <c r="X109" i="6"/>
  <c r="F141" i="6"/>
  <c r="F142" i="6"/>
  <c r="F143" i="6"/>
  <c r="F144" i="6"/>
  <c r="F145" i="6"/>
  <c r="F140" i="6"/>
  <c r="N131" i="6"/>
  <c r="N132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10" i="6"/>
  <c r="N111" i="6"/>
  <c r="N112" i="6"/>
  <c r="N113" i="6"/>
  <c r="N114" i="6"/>
  <c r="N115" i="6"/>
  <c r="N116" i="6"/>
  <c r="N109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Z98" i="7"/>
  <c r="Z97" i="7"/>
  <c r="Z96" i="7"/>
  <c r="Z93" i="7"/>
  <c r="Z94" i="7"/>
  <c r="Z95" i="7"/>
  <c r="Z92" i="7"/>
  <c r="Z91" i="7"/>
  <c r="Z90" i="7"/>
  <c r="Z89" i="7"/>
  <c r="F120" i="7"/>
  <c r="F119" i="7"/>
  <c r="F118" i="7"/>
  <c r="F117" i="7"/>
  <c r="F116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89" i="7"/>
  <c r="Y102" i="8"/>
  <c r="Y101" i="8"/>
  <c r="Y100" i="8"/>
  <c r="Y99" i="8"/>
  <c r="Y98" i="8"/>
  <c r="Y97" i="8"/>
  <c r="Y96" i="8"/>
  <c r="Y95" i="8"/>
  <c r="Y94" i="8"/>
  <c r="Y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93" i="8"/>
  <c r="AC90" i="9"/>
  <c r="AC88" i="9"/>
  <c r="Z111" i="9"/>
  <c r="Z110" i="9"/>
  <c r="Z109" i="9"/>
  <c r="Z108" i="9"/>
  <c r="Z107" i="9"/>
  <c r="Z106" i="9"/>
  <c r="Z105" i="9"/>
  <c r="Z104" i="9"/>
  <c r="Z103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AC66" i="9"/>
  <c r="AC69" i="9"/>
  <c r="AC70" i="9"/>
  <c r="AC62" i="9"/>
  <c r="AC67" i="9"/>
  <c r="AC59" i="9"/>
  <c r="AC58" i="9"/>
  <c r="AC56" i="9"/>
  <c r="AC54" i="9"/>
  <c r="Y118" i="10"/>
  <c r="Y119" i="10"/>
  <c r="Y120" i="10"/>
  <c r="Y121" i="10"/>
  <c r="Y122" i="10"/>
  <c r="Y123" i="10"/>
  <c r="Y124" i="10"/>
  <c r="Y125" i="10"/>
  <c r="Y126" i="10"/>
  <c r="Y11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Z137" i="11"/>
  <c r="Z136" i="11"/>
  <c r="Z135" i="11"/>
  <c r="Z134" i="11"/>
  <c r="Z133" i="11"/>
  <c r="Z132" i="11"/>
  <c r="Z131" i="11"/>
  <c r="Z130" i="11"/>
  <c r="Z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29" i="11"/>
  <c r="F167" i="12"/>
  <c r="F166" i="12"/>
  <c r="F165" i="12"/>
  <c r="F164" i="12"/>
  <c r="F163" i="12"/>
  <c r="Y141" i="12"/>
  <c r="Y142" i="12"/>
  <c r="Y143" i="12"/>
  <c r="Y144" i="12"/>
  <c r="Y145" i="12"/>
  <c r="Y146" i="12"/>
  <c r="Y147" i="12"/>
  <c r="Y148" i="12"/>
  <c r="Y149" i="12"/>
  <c r="Y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J136" i="12"/>
  <c r="C140" i="12"/>
  <c r="C125" i="6"/>
  <c r="AB172" i="13"/>
  <c r="AB173" i="13"/>
  <c r="AB174" i="13"/>
  <c r="AB175" i="13"/>
  <c r="AB176" i="13"/>
  <c r="AB177" i="13"/>
  <c r="AB178" i="13"/>
  <c r="AB179" i="13"/>
  <c r="AB171" i="13"/>
  <c r="N131" i="5" l="1"/>
  <c r="N160" i="12"/>
  <c r="C178" i="13"/>
  <c r="C176" i="13"/>
  <c r="C174" i="13"/>
  <c r="C173" i="13"/>
  <c r="C172" i="13"/>
  <c r="C171" i="13"/>
  <c r="AJ167" i="13"/>
  <c r="AF43" i="4"/>
  <c r="AE43" i="4"/>
  <c r="AF30" i="4"/>
  <c r="AE30" i="4"/>
  <c r="AF27" i="4"/>
  <c r="AE27" i="4"/>
  <c r="AF15" i="4"/>
  <c r="AE15" i="4"/>
  <c r="AC71" i="5"/>
  <c r="AB71" i="5"/>
  <c r="AC70" i="5"/>
  <c r="AB70" i="5"/>
  <c r="AC68" i="5"/>
  <c r="AB68" i="5"/>
  <c r="AC67" i="5"/>
  <c r="AB67" i="5"/>
  <c r="AC66" i="5"/>
  <c r="AB66" i="5"/>
  <c r="AC65" i="5"/>
  <c r="AB65" i="5"/>
  <c r="AC63" i="5"/>
  <c r="AB63" i="5"/>
  <c r="AC61" i="5"/>
  <c r="AB61" i="5"/>
  <c r="AC56" i="5"/>
  <c r="AB56" i="5"/>
  <c r="AC47" i="5"/>
  <c r="AB47" i="5"/>
  <c r="AC45" i="6"/>
  <c r="AB45" i="6"/>
  <c r="AC44" i="6"/>
  <c r="AB44" i="6"/>
  <c r="AC43" i="6"/>
  <c r="AB43" i="6"/>
  <c r="AC42" i="6"/>
  <c r="AB42" i="6"/>
  <c r="AC40" i="6"/>
  <c r="AB40" i="6"/>
  <c r="AC38" i="6"/>
  <c r="AB38" i="6"/>
  <c r="AC36" i="6"/>
  <c r="AB36" i="6"/>
  <c r="AC34" i="6"/>
  <c r="AB34" i="6"/>
  <c r="AC24" i="6"/>
  <c r="AB24" i="6"/>
  <c r="AC21" i="6"/>
  <c r="AB21" i="6"/>
  <c r="AB82" i="7"/>
  <c r="AC82" i="7" s="1"/>
  <c r="AB81" i="7"/>
  <c r="AC81" i="7" s="1"/>
  <c r="AC74" i="7"/>
  <c r="AB74" i="7"/>
  <c r="AB52" i="7"/>
  <c r="AC52" i="7" s="1"/>
  <c r="AB50" i="7"/>
  <c r="AC50" i="7" s="1"/>
  <c r="AB49" i="7"/>
  <c r="AC49" i="7" s="1"/>
  <c r="AB37" i="7"/>
  <c r="AC37" i="7" s="1"/>
  <c r="AB36" i="7"/>
  <c r="AC36" i="7" s="1"/>
  <c r="AB22" i="7"/>
  <c r="AC22" i="7" s="1"/>
  <c r="AC15" i="7"/>
  <c r="AB15" i="7"/>
  <c r="AC83" i="8"/>
  <c r="AB83" i="8"/>
  <c r="AC82" i="8"/>
  <c r="AB82" i="8"/>
  <c r="AC80" i="8"/>
  <c r="AB80" i="8"/>
  <c r="AC51" i="8"/>
  <c r="AB51" i="8"/>
  <c r="AC49" i="8"/>
  <c r="AB49" i="8"/>
  <c r="AC48" i="8"/>
  <c r="AB48" i="8"/>
  <c r="AC36" i="8"/>
  <c r="AB36" i="8"/>
  <c r="AC35" i="8"/>
  <c r="AB35" i="8"/>
  <c r="AC24" i="8"/>
  <c r="AB24" i="8"/>
  <c r="AC16" i="8"/>
  <c r="AB16" i="8"/>
  <c r="AB90" i="9"/>
  <c r="AB88" i="9"/>
  <c r="AB70" i="9"/>
  <c r="AB69" i="9"/>
  <c r="AB67" i="9"/>
  <c r="AB66" i="9"/>
  <c r="AB62" i="9"/>
  <c r="AB59" i="9"/>
  <c r="AB58" i="9"/>
  <c r="AB56" i="9"/>
  <c r="AB54" i="9"/>
  <c r="AC112" i="10"/>
  <c r="AB112" i="10"/>
  <c r="AC111" i="10"/>
  <c r="AB111" i="10"/>
  <c r="AC97" i="10"/>
  <c r="AB97" i="10"/>
  <c r="AC92" i="10"/>
  <c r="AB92" i="10"/>
  <c r="AC89" i="10"/>
  <c r="AB89" i="10"/>
  <c r="AC74" i="10"/>
  <c r="AB74" i="10"/>
  <c r="AC73" i="10"/>
  <c r="AB73" i="10"/>
  <c r="AC71" i="10"/>
  <c r="AB71" i="10"/>
  <c r="AC70" i="10"/>
  <c r="AB70" i="10"/>
  <c r="AC68" i="10"/>
  <c r="AB68" i="10"/>
  <c r="AC66" i="10"/>
  <c r="AB66" i="10"/>
  <c r="AC63" i="10"/>
  <c r="AB63" i="10"/>
  <c r="AC49" i="10"/>
  <c r="AB49" i="10"/>
  <c r="AC46" i="10"/>
  <c r="AB46" i="10"/>
  <c r="AC45" i="10"/>
  <c r="AB45" i="10"/>
  <c r="AC42" i="10"/>
  <c r="AB42" i="10"/>
  <c r="AC40" i="10"/>
  <c r="AB40" i="10"/>
  <c r="AC39" i="10"/>
  <c r="AB39" i="10"/>
  <c r="AC35" i="10"/>
  <c r="AB35" i="10"/>
  <c r="AC22" i="10"/>
  <c r="AB22" i="10"/>
  <c r="AC21" i="10"/>
  <c r="AB21" i="10"/>
  <c r="AC123" i="11"/>
  <c r="AB123" i="11"/>
  <c r="AC122" i="11"/>
  <c r="AB122" i="11"/>
  <c r="AC120" i="11"/>
  <c r="AB120" i="11"/>
  <c r="AC119" i="11"/>
  <c r="AB119" i="11"/>
  <c r="AC110" i="11"/>
  <c r="AB110" i="11"/>
  <c r="AC109" i="11"/>
  <c r="AB109" i="11"/>
  <c r="AC102" i="11"/>
  <c r="AB102" i="11"/>
  <c r="AC98" i="11"/>
  <c r="AB98" i="11"/>
  <c r="AC96" i="11"/>
  <c r="AB96" i="11"/>
  <c r="AC94" i="11"/>
  <c r="AB94" i="11"/>
  <c r="AC93" i="11"/>
  <c r="AB93" i="11"/>
  <c r="AC91" i="11"/>
  <c r="AB91" i="11"/>
  <c r="AC64" i="11"/>
  <c r="AB64" i="11"/>
  <c r="AC35" i="11"/>
  <c r="AB35" i="11"/>
  <c r="AC34" i="11"/>
  <c r="AB34" i="11"/>
  <c r="AC31" i="11"/>
  <c r="AB31" i="11"/>
  <c r="AC30" i="11"/>
  <c r="AB30" i="11"/>
  <c r="AC123" i="12"/>
  <c r="AB123" i="12"/>
  <c r="AC121" i="12"/>
  <c r="AB121" i="12"/>
  <c r="AC120" i="12"/>
  <c r="AB120" i="12"/>
  <c r="AC118" i="12"/>
  <c r="AB118" i="12"/>
  <c r="AC117" i="12"/>
  <c r="AB117" i="12"/>
  <c r="AC114" i="12"/>
  <c r="AB114" i="12"/>
  <c r="AC113" i="12"/>
  <c r="AB113" i="12"/>
  <c r="AC111" i="12"/>
  <c r="AB111" i="12"/>
  <c r="AC109" i="12"/>
  <c r="AB109" i="12"/>
  <c r="AC108" i="12"/>
  <c r="AB108" i="12"/>
  <c r="AC104" i="12"/>
  <c r="AB104" i="12"/>
  <c r="AC91" i="12"/>
  <c r="AB91" i="12"/>
  <c r="AC67" i="12"/>
  <c r="AB67" i="12"/>
  <c r="AC54" i="12"/>
  <c r="AB54" i="12"/>
  <c r="AC38" i="12"/>
  <c r="AC37" i="12"/>
  <c r="AB38" i="12"/>
  <c r="AB37" i="12"/>
  <c r="AC13" i="12"/>
  <c r="AB13" i="12"/>
  <c r="J167" i="13"/>
  <c r="AG131" i="13"/>
  <c r="AF131" i="13"/>
  <c r="AF70" i="13"/>
  <c r="AG70" i="13" s="1"/>
  <c r="AG107" i="13"/>
  <c r="AF107" i="13"/>
  <c r="D23" i="2"/>
  <c r="C182" i="13" l="1"/>
  <c r="U17" i="7"/>
  <c r="AI79" i="4"/>
  <c r="AE79" i="4"/>
  <c r="AC79" i="4"/>
  <c r="X79" i="4"/>
  <c r="I78" i="4"/>
  <c r="J78" i="4"/>
  <c r="I79" i="4"/>
  <c r="J79" i="4" s="1"/>
  <c r="AF79" i="4" s="1"/>
  <c r="R79" i="4"/>
  <c r="X80" i="4"/>
  <c r="X78" i="4"/>
  <c r="X77" i="4"/>
  <c r="X73" i="4"/>
  <c r="X72" i="4"/>
  <c r="X71" i="4"/>
  <c r="X70" i="4"/>
  <c r="X69" i="4"/>
  <c r="X68" i="4"/>
  <c r="X67" i="4"/>
  <c r="X66" i="4"/>
  <c r="X65" i="4"/>
  <c r="X64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8" i="4"/>
  <c r="X47" i="4"/>
  <c r="X46" i="4"/>
  <c r="X44" i="4"/>
  <c r="X41" i="4"/>
  <c r="X40" i="4"/>
  <c r="X39" i="4"/>
  <c r="X38" i="4"/>
  <c r="X37" i="4"/>
  <c r="X36" i="4"/>
  <c r="X35" i="4"/>
  <c r="X34" i="4"/>
  <c r="X32" i="4"/>
  <c r="X31" i="4"/>
  <c r="X28" i="4"/>
  <c r="X25" i="4"/>
  <c r="X23" i="4"/>
  <c r="X14" i="4"/>
  <c r="F110" i="4" s="1"/>
  <c r="N49" i="4"/>
  <c r="X49" i="4" s="1"/>
  <c r="F115" i="4" l="1"/>
  <c r="F113" i="4"/>
  <c r="F111" i="4"/>
  <c r="AI16" i="4"/>
  <c r="AD16" i="4"/>
  <c r="AC16" i="4"/>
  <c r="AB16" i="4"/>
  <c r="AA16" i="4"/>
  <c r="R16" i="4"/>
  <c r="I16" i="4"/>
  <c r="J16" i="4" s="1"/>
  <c r="AF16" i="4" s="1"/>
  <c r="AD51" i="4"/>
  <c r="AC51" i="4"/>
  <c r="R51" i="4"/>
  <c r="AI28" i="4"/>
  <c r="AD28" i="4"/>
  <c r="AC28" i="4"/>
  <c r="R28" i="4"/>
  <c r="I28" i="4"/>
  <c r="J28" i="4" s="1"/>
  <c r="AF28" i="4" s="1"/>
  <c r="AC60" i="4"/>
  <c r="AI60" i="4"/>
  <c r="R60" i="4"/>
  <c r="I60" i="4"/>
  <c r="J60" i="4" s="1"/>
  <c r="AF60" i="4" s="1"/>
  <c r="AC74" i="4"/>
  <c r="N45" i="4"/>
  <c r="X45" i="4" s="1"/>
  <c r="N42" i="4"/>
  <c r="X42" i="4" s="1"/>
  <c r="AC40" i="4"/>
  <c r="N29" i="4"/>
  <c r="N26" i="4"/>
  <c r="X26" i="4" s="1"/>
  <c r="AF53" i="12"/>
  <c r="AF118" i="11"/>
  <c r="AF92" i="11"/>
  <c r="AF110" i="10"/>
  <c r="AF96" i="10"/>
  <c r="AF91" i="10"/>
  <c r="AF88" i="10"/>
  <c r="AF69" i="10"/>
  <c r="AA74" i="7"/>
  <c r="Y74" i="7"/>
  <c r="X74" i="7"/>
  <c r="I12" i="14"/>
  <c r="J12" i="14" s="1"/>
  <c r="I13" i="14"/>
  <c r="J13" i="14" s="1"/>
  <c r="I14" i="14"/>
  <c r="J14" i="14" s="1"/>
  <c r="I15" i="14"/>
  <c r="J15" i="14" s="1"/>
  <c r="G16" i="14"/>
  <c r="Y22" i="14"/>
  <c r="Y23" i="14"/>
  <c r="Y24" i="14"/>
  <c r="Y25" i="14"/>
  <c r="Y26" i="14"/>
  <c r="Y27" i="14"/>
  <c r="Y28" i="14"/>
  <c r="Y29" i="14"/>
  <c r="U19" i="3"/>
  <c r="N30" i="3"/>
  <c r="G30" i="3"/>
  <c r="I20" i="3"/>
  <c r="J20" i="3" s="1"/>
  <c r="AC20" i="3" s="1"/>
  <c r="R20" i="3"/>
  <c r="X20" i="3"/>
  <c r="Y20" i="3"/>
  <c r="Z20" i="3"/>
  <c r="AA20" i="3"/>
  <c r="U28" i="3"/>
  <c r="U29" i="3"/>
  <c r="U25" i="3"/>
  <c r="U26" i="3"/>
  <c r="U23" i="3"/>
  <c r="U24" i="3"/>
  <c r="U20" i="3"/>
  <c r="U15" i="3"/>
  <c r="U16" i="3"/>
  <c r="U17" i="3"/>
  <c r="U18" i="3"/>
  <c r="U12" i="3"/>
  <c r="AI80" i="4"/>
  <c r="AI77" i="4"/>
  <c r="AI72" i="4"/>
  <c r="AI59" i="4"/>
  <c r="AI58" i="4"/>
  <c r="AI57" i="4"/>
  <c r="AI56" i="4"/>
  <c r="AI55" i="4"/>
  <c r="AI54" i="4"/>
  <c r="AI53" i="4"/>
  <c r="AI52" i="4"/>
  <c r="AI51" i="4"/>
  <c r="AI50" i="4"/>
  <c r="AI41" i="4"/>
  <c r="AI40" i="4"/>
  <c r="AI39" i="4"/>
  <c r="AI38" i="4"/>
  <c r="AI37" i="4"/>
  <c r="AI36" i="4"/>
  <c r="AI35" i="4"/>
  <c r="AI34" i="4"/>
  <c r="AI33" i="4"/>
  <c r="AI31" i="4"/>
  <c r="AI30" i="4"/>
  <c r="AI26" i="4"/>
  <c r="AI24" i="4"/>
  <c r="AI23" i="4"/>
  <c r="AI22" i="4"/>
  <c r="AI21" i="4"/>
  <c r="AI14" i="4"/>
  <c r="AF94" i="5"/>
  <c r="AF93" i="5"/>
  <c r="AF92" i="5"/>
  <c r="AF91" i="5"/>
  <c r="AF90" i="5"/>
  <c r="AF89" i="5"/>
  <c r="AF88" i="5"/>
  <c r="AF87" i="5"/>
  <c r="AF86" i="5"/>
  <c r="AF85" i="5"/>
  <c r="AF84" i="5"/>
  <c r="AF83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5" i="5"/>
  <c r="AF63" i="5"/>
  <c r="AF61" i="5"/>
  <c r="AF59" i="5"/>
  <c r="AF58" i="5"/>
  <c r="AF57" i="5"/>
  <c r="AF56" i="5"/>
  <c r="AF54" i="5"/>
  <c r="AF53" i="5"/>
  <c r="AF52" i="5"/>
  <c r="AF51" i="5"/>
  <c r="AF45" i="5"/>
  <c r="AF44" i="5"/>
  <c r="AF43" i="5"/>
  <c r="AF42" i="5"/>
  <c r="AF35" i="5"/>
  <c r="AF30" i="5"/>
  <c r="AF19" i="5"/>
  <c r="AF18" i="5"/>
  <c r="AF13" i="5"/>
  <c r="AF78" i="7"/>
  <c r="AF75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1" i="7"/>
  <c r="AF30" i="7"/>
  <c r="AF29" i="7"/>
  <c r="AF25" i="7"/>
  <c r="AF21" i="7"/>
  <c r="AF20" i="7"/>
  <c r="AF19" i="7"/>
  <c r="AF18" i="7"/>
  <c r="AF17" i="7"/>
  <c r="AF16" i="7"/>
  <c r="AF11" i="7"/>
  <c r="AE16" i="4" l="1"/>
  <c r="J16" i="14"/>
  <c r="C27" i="14" s="1"/>
  <c r="C31" i="14"/>
  <c r="AI42" i="4"/>
  <c r="AI29" i="4"/>
  <c r="X29" i="4"/>
  <c r="F112" i="4" s="1"/>
  <c r="AE28" i="4"/>
  <c r="AE60" i="4"/>
  <c r="AB20" i="3"/>
  <c r="Y21" i="14"/>
  <c r="Y20" i="14"/>
  <c r="N16" i="14"/>
  <c r="R15" i="14"/>
  <c r="R14" i="14"/>
  <c r="R13" i="14"/>
  <c r="R12" i="14"/>
  <c r="AC65" i="4"/>
  <c r="AD65" i="4"/>
  <c r="I65" i="4"/>
  <c r="J65" i="4" s="1"/>
  <c r="AF65" i="4" s="1"/>
  <c r="R65" i="4"/>
  <c r="AC50" i="4"/>
  <c r="AD50" i="4"/>
  <c r="R50" i="4"/>
  <c r="AC49" i="4"/>
  <c r="AD49" i="4"/>
  <c r="R49" i="4"/>
  <c r="AD48" i="4"/>
  <c r="AC48" i="4"/>
  <c r="R48" i="4"/>
  <c r="I48" i="4"/>
  <c r="AE48" i="4" s="1"/>
  <c r="AC47" i="4"/>
  <c r="AD47" i="4"/>
  <c r="R47" i="4"/>
  <c r="AC46" i="4"/>
  <c r="AD46" i="4"/>
  <c r="R46" i="4"/>
  <c r="AD45" i="4"/>
  <c r="AC45" i="4"/>
  <c r="R45" i="4"/>
  <c r="I45" i="4"/>
  <c r="AE45" i="4" s="1"/>
  <c r="AD44" i="4"/>
  <c r="AC44" i="4"/>
  <c r="R44" i="4"/>
  <c r="I44" i="4"/>
  <c r="J44" i="4" s="1"/>
  <c r="AF44" i="4" s="1"/>
  <c r="AD43" i="4"/>
  <c r="AD42" i="4"/>
  <c r="AC42" i="4"/>
  <c r="R42" i="4"/>
  <c r="I42" i="4"/>
  <c r="J42" i="4" s="1"/>
  <c r="AF42" i="4" s="1"/>
  <c r="AD41" i="4"/>
  <c r="AC41" i="4"/>
  <c r="R41" i="4"/>
  <c r="R40" i="4"/>
  <c r="AD39" i="4"/>
  <c r="AC39" i="4"/>
  <c r="R39" i="4"/>
  <c r="AD38" i="4"/>
  <c r="AC38" i="4"/>
  <c r="R38" i="4"/>
  <c r="I38" i="4"/>
  <c r="J38" i="4" s="1"/>
  <c r="AF38" i="4" s="1"/>
  <c r="AD37" i="4"/>
  <c r="AC37" i="4"/>
  <c r="R37" i="4"/>
  <c r="I37" i="4"/>
  <c r="AE37" i="4" s="1"/>
  <c r="AD36" i="4"/>
  <c r="AC36" i="4"/>
  <c r="AD35" i="4"/>
  <c r="AC35" i="4"/>
  <c r="AD34" i="4"/>
  <c r="AC34" i="4"/>
  <c r="R36" i="4"/>
  <c r="R35" i="4"/>
  <c r="R34" i="4"/>
  <c r="AD30" i="4"/>
  <c r="U63" i="4"/>
  <c r="R63" i="4"/>
  <c r="I51" i="4"/>
  <c r="I50" i="4"/>
  <c r="J50" i="4" s="1"/>
  <c r="AF50" i="4" s="1"/>
  <c r="I49" i="4"/>
  <c r="J49" i="4" s="1"/>
  <c r="AF49" i="4" s="1"/>
  <c r="I47" i="4"/>
  <c r="J47" i="4" s="1"/>
  <c r="AF47" i="4" s="1"/>
  <c r="I46" i="4"/>
  <c r="J46" i="4" s="1"/>
  <c r="AF46" i="4" s="1"/>
  <c r="I41" i="4"/>
  <c r="J41" i="4" s="1"/>
  <c r="AF41" i="4" s="1"/>
  <c r="I40" i="4"/>
  <c r="I39" i="4"/>
  <c r="J39" i="4" s="1"/>
  <c r="AF39" i="4" s="1"/>
  <c r="I36" i="4"/>
  <c r="J36" i="4" s="1"/>
  <c r="AF36" i="4" s="1"/>
  <c r="I35" i="4"/>
  <c r="J35" i="4" s="1"/>
  <c r="AF35" i="4" s="1"/>
  <c r="I34" i="4"/>
  <c r="J34" i="4" s="1"/>
  <c r="AD27" i="4"/>
  <c r="I74" i="4"/>
  <c r="J74" i="4" s="1"/>
  <c r="I33" i="4"/>
  <c r="J33" i="4" s="1"/>
  <c r="AC26" i="4"/>
  <c r="AD26" i="4"/>
  <c r="R26" i="4"/>
  <c r="I26" i="4"/>
  <c r="J26" i="4" s="1"/>
  <c r="AF26" i="4" s="1"/>
  <c r="AA15" i="4"/>
  <c r="AB15" i="4"/>
  <c r="AD15" i="4"/>
  <c r="I101" i="6"/>
  <c r="J101" i="6" s="1"/>
  <c r="U54" i="5"/>
  <c r="U53" i="5"/>
  <c r="Z43" i="5"/>
  <c r="AA43" i="5"/>
  <c r="U43" i="5"/>
  <c r="U44" i="5"/>
  <c r="U42" i="5"/>
  <c r="U19" i="5"/>
  <c r="U18" i="5"/>
  <c r="AI81" i="4" l="1"/>
  <c r="AF34" i="4"/>
  <c r="J40" i="4"/>
  <c r="AF40" i="4" s="1"/>
  <c r="AE40" i="4"/>
  <c r="J51" i="4"/>
  <c r="AF51" i="4" s="1"/>
  <c r="AE51" i="4"/>
  <c r="AE65" i="4"/>
  <c r="X81" i="4"/>
  <c r="J37" i="4"/>
  <c r="AF37" i="4" s="1"/>
  <c r="AE50" i="4"/>
  <c r="AE38" i="4"/>
  <c r="AE42" i="4"/>
  <c r="Y30" i="14"/>
  <c r="R16" i="14"/>
  <c r="N36" i="14" s="1"/>
  <c r="AE41" i="4"/>
  <c r="AE44" i="4"/>
  <c r="AE34" i="4"/>
  <c r="AE35" i="4"/>
  <c r="AE36" i="4"/>
  <c r="AE46" i="4"/>
  <c r="AE49" i="4"/>
  <c r="AE39" i="4"/>
  <c r="AE47" i="4"/>
  <c r="J48" i="4"/>
  <c r="AF48" i="4" s="1"/>
  <c r="J45" i="4"/>
  <c r="AF45" i="4" s="1"/>
  <c r="AE26" i="4"/>
  <c r="AA100" i="5"/>
  <c r="Z100" i="5"/>
  <c r="Y100" i="5"/>
  <c r="X100" i="5"/>
  <c r="N100" i="5"/>
  <c r="AF100" i="5" s="1"/>
  <c r="I100" i="5"/>
  <c r="AB100" i="5" s="1"/>
  <c r="AA99" i="5"/>
  <c r="Z99" i="5"/>
  <c r="Y99" i="5"/>
  <c r="X99" i="5"/>
  <c r="N99" i="5"/>
  <c r="AF99" i="5" s="1"/>
  <c r="I99" i="5"/>
  <c r="AB99" i="5" s="1"/>
  <c r="Z35" i="5"/>
  <c r="Y35" i="5"/>
  <c r="X35" i="5"/>
  <c r="U35" i="5"/>
  <c r="R35" i="5"/>
  <c r="I35" i="5"/>
  <c r="J35" i="5" s="1"/>
  <c r="AC35" i="5" s="1"/>
  <c r="Z93" i="5"/>
  <c r="Y93" i="5"/>
  <c r="X93" i="5"/>
  <c r="U93" i="5"/>
  <c r="R93" i="5"/>
  <c r="I93" i="5"/>
  <c r="J93" i="5" s="1"/>
  <c r="AC93" i="5" s="1"/>
  <c r="Z30" i="5"/>
  <c r="Y30" i="5"/>
  <c r="X30" i="5"/>
  <c r="U30" i="5"/>
  <c r="R30" i="5"/>
  <c r="I30" i="5"/>
  <c r="AB30" i="5" s="1"/>
  <c r="R34" i="5"/>
  <c r="Z33" i="5"/>
  <c r="Y33" i="5"/>
  <c r="X33" i="5"/>
  <c r="U33" i="5"/>
  <c r="R33" i="5"/>
  <c r="I33" i="5"/>
  <c r="J33" i="5" s="1"/>
  <c r="AC33" i="5" s="1"/>
  <c r="R32" i="5"/>
  <c r="Z31" i="5"/>
  <c r="Y31" i="5"/>
  <c r="X31" i="5"/>
  <c r="U31" i="5"/>
  <c r="R31" i="5"/>
  <c r="I31" i="5"/>
  <c r="J31" i="5" s="1"/>
  <c r="AC31" i="5" s="1"/>
  <c r="R27" i="5"/>
  <c r="Z26" i="5"/>
  <c r="Y26" i="5"/>
  <c r="X26" i="5"/>
  <c r="U26" i="5"/>
  <c r="R26" i="5"/>
  <c r="I26" i="5"/>
  <c r="J26" i="5" s="1"/>
  <c r="AC26" i="5" s="1"/>
  <c r="R25" i="5"/>
  <c r="Z24" i="5"/>
  <c r="Y24" i="5"/>
  <c r="X24" i="5"/>
  <c r="U24" i="5"/>
  <c r="R24" i="5"/>
  <c r="I24" i="5"/>
  <c r="AB24" i="5" s="1"/>
  <c r="R23" i="5"/>
  <c r="Z22" i="5"/>
  <c r="Y22" i="5"/>
  <c r="X22" i="5"/>
  <c r="U22" i="5"/>
  <c r="R22" i="5"/>
  <c r="I22" i="5"/>
  <c r="J22" i="5" s="1"/>
  <c r="AC22" i="5" s="1"/>
  <c r="R21" i="5"/>
  <c r="Z20" i="5"/>
  <c r="Y20" i="5"/>
  <c r="X20" i="5"/>
  <c r="U20" i="5"/>
  <c r="R20" i="5"/>
  <c r="I20" i="5"/>
  <c r="AB20" i="5" s="1"/>
  <c r="R29" i="5"/>
  <c r="Z28" i="5"/>
  <c r="Y28" i="5"/>
  <c r="X28" i="5"/>
  <c r="U28" i="5"/>
  <c r="R28" i="5"/>
  <c r="I28" i="5"/>
  <c r="AB28" i="5" s="1"/>
  <c r="R41" i="5"/>
  <c r="Z40" i="5"/>
  <c r="Y40" i="5"/>
  <c r="X40" i="5"/>
  <c r="U40" i="5"/>
  <c r="R40" i="5"/>
  <c r="I40" i="5"/>
  <c r="J40" i="5" s="1"/>
  <c r="AC40" i="5" s="1"/>
  <c r="R39" i="5"/>
  <c r="Z38" i="5"/>
  <c r="Y38" i="5"/>
  <c r="X38" i="5"/>
  <c r="U38" i="5"/>
  <c r="R38" i="5"/>
  <c r="I38" i="5"/>
  <c r="J38" i="5" s="1"/>
  <c r="AC38" i="5" s="1"/>
  <c r="AA36" i="5"/>
  <c r="Z36" i="5"/>
  <c r="Y36" i="5"/>
  <c r="X36" i="5"/>
  <c r="U36" i="5"/>
  <c r="R36" i="5"/>
  <c r="I36" i="5"/>
  <c r="AB36" i="5" s="1"/>
  <c r="AA37" i="5"/>
  <c r="Z37" i="5"/>
  <c r="Y37" i="5"/>
  <c r="X37" i="5"/>
  <c r="U37" i="5"/>
  <c r="R37" i="5"/>
  <c r="I37" i="5"/>
  <c r="AB37" i="5" s="1"/>
  <c r="AA47" i="5"/>
  <c r="Y47" i="5"/>
  <c r="X47" i="5"/>
  <c r="AA56" i="5"/>
  <c r="Y56" i="5"/>
  <c r="X56" i="5"/>
  <c r="Z89" i="5"/>
  <c r="Y89" i="5"/>
  <c r="X89" i="5"/>
  <c r="U89" i="5"/>
  <c r="R89" i="5"/>
  <c r="I89" i="5"/>
  <c r="J89" i="5" s="1"/>
  <c r="AC89" i="5" s="1"/>
  <c r="Z88" i="5"/>
  <c r="Y88" i="5"/>
  <c r="X88" i="5"/>
  <c r="U88" i="5"/>
  <c r="R88" i="5"/>
  <c r="I88" i="5"/>
  <c r="AB88" i="5" s="1"/>
  <c r="Z87" i="5"/>
  <c r="Y87" i="5"/>
  <c r="X87" i="5"/>
  <c r="U87" i="5"/>
  <c r="R87" i="5"/>
  <c r="I87" i="5"/>
  <c r="J87" i="5" s="1"/>
  <c r="AC87" i="5" s="1"/>
  <c r="Z86" i="5"/>
  <c r="Y86" i="5"/>
  <c r="X86" i="5"/>
  <c r="U86" i="5"/>
  <c r="R86" i="5"/>
  <c r="I86" i="5"/>
  <c r="AB86" i="5" s="1"/>
  <c r="Z85" i="5"/>
  <c r="Y85" i="5"/>
  <c r="X85" i="5"/>
  <c r="U85" i="5"/>
  <c r="R85" i="5"/>
  <c r="I85" i="5"/>
  <c r="AB85" i="5" s="1"/>
  <c r="Z84" i="5"/>
  <c r="Y84" i="5"/>
  <c r="X84" i="5"/>
  <c r="U84" i="5"/>
  <c r="R84" i="5"/>
  <c r="I84" i="5"/>
  <c r="J84" i="5" s="1"/>
  <c r="AC84" i="5" s="1"/>
  <c r="Z83" i="5"/>
  <c r="Y83" i="5"/>
  <c r="X83" i="5"/>
  <c r="U83" i="5"/>
  <c r="R83" i="5"/>
  <c r="I83" i="5"/>
  <c r="AB83" i="5" s="1"/>
  <c r="Z82" i="5"/>
  <c r="Y82" i="5"/>
  <c r="X82" i="5"/>
  <c r="N82" i="5"/>
  <c r="I82" i="5"/>
  <c r="AB82" i="5" s="1"/>
  <c r="Z81" i="5"/>
  <c r="Y81" i="5"/>
  <c r="X81" i="5"/>
  <c r="N81" i="5"/>
  <c r="I81" i="5"/>
  <c r="AB81" i="5" s="1"/>
  <c r="Z80" i="5"/>
  <c r="Y80" i="5"/>
  <c r="X80" i="5"/>
  <c r="U80" i="5"/>
  <c r="R80" i="5"/>
  <c r="I80" i="5"/>
  <c r="AB80" i="5" s="1"/>
  <c r="Z79" i="5"/>
  <c r="Y79" i="5"/>
  <c r="X79" i="5"/>
  <c r="U79" i="5"/>
  <c r="R79" i="5"/>
  <c r="I79" i="5"/>
  <c r="J79" i="5" s="1"/>
  <c r="AC79" i="5" s="1"/>
  <c r="Z78" i="5"/>
  <c r="Y78" i="5"/>
  <c r="X78" i="5"/>
  <c r="U78" i="5"/>
  <c r="R78" i="5"/>
  <c r="I78" i="5"/>
  <c r="AB78" i="5" s="1"/>
  <c r="AA77" i="5"/>
  <c r="Z77" i="5"/>
  <c r="Y77" i="5"/>
  <c r="X77" i="5"/>
  <c r="U77" i="5"/>
  <c r="R77" i="5"/>
  <c r="I77" i="5"/>
  <c r="J77" i="5" s="1"/>
  <c r="AC77" i="5" s="1"/>
  <c r="AA76" i="5"/>
  <c r="Z76" i="5"/>
  <c r="Y76" i="5"/>
  <c r="X76" i="5"/>
  <c r="U76" i="5"/>
  <c r="R76" i="5"/>
  <c r="I76" i="5"/>
  <c r="AB76" i="5" s="1"/>
  <c r="AA75" i="5"/>
  <c r="Z75" i="5"/>
  <c r="Y75" i="5"/>
  <c r="X75" i="5"/>
  <c r="U75" i="5"/>
  <c r="R75" i="5"/>
  <c r="I75" i="5"/>
  <c r="J75" i="5" s="1"/>
  <c r="AC75" i="5" s="1"/>
  <c r="AA74" i="5"/>
  <c r="Z74" i="5"/>
  <c r="Y74" i="5"/>
  <c r="X74" i="5"/>
  <c r="U74" i="5"/>
  <c r="R74" i="5"/>
  <c r="I74" i="5"/>
  <c r="AB74" i="5" s="1"/>
  <c r="AA73" i="5"/>
  <c r="Z73" i="5"/>
  <c r="Y73" i="5"/>
  <c r="X73" i="5"/>
  <c r="U73" i="5"/>
  <c r="R73" i="5"/>
  <c r="I73" i="5"/>
  <c r="J73" i="5" s="1"/>
  <c r="AC73" i="5" s="1"/>
  <c r="AA72" i="5"/>
  <c r="Z72" i="5"/>
  <c r="Y72" i="5"/>
  <c r="X72" i="5"/>
  <c r="U72" i="5"/>
  <c r="R72" i="5"/>
  <c r="I72" i="5"/>
  <c r="AB72" i="5" s="1"/>
  <c r="AA71" i="5"/>
  <c r="Y71" i="5"/>
  <c r="X71" i="5"/>
  <c r="AA70" i="5"/>
  <c r="Y70" i="5"/>
  <c r="X70" i="5"/>
  <c r="AA69" i="5"/>
  <c r="Z69" i="5"/>
  <c r="Y69" i="5"/>
  <c r="X69" i="5"/>
  <c r="U69" i="5"/>
  <c r="R69" i="5"/>
  <c r="I69" i="5"/>
  <c r="AB69" i="5" s="1"/>
  <c r="AA68" i="5"/>
  <c r="Y68" i="5"/>
  <c r="X68" i="5"/>
  <c r="AA67" i="5"/>
  <c r="Y67" i="5"/>
  <c r="X67" i="5"/>
  <c r="AA66" i="5"/>
  <c r="Y66" i="5"/>
  <c r="X66" i="5"/>
  <c r="N66" i="5"/>
  <c r="AF66" i="5" s="1"/>
  <c r="I66" i="5"/>
  <c r="AA65" i="5"/>
  <c r="Y65" i="5"/>
  <c r="X65" i="5"/>
  <c r="AA64" i="5"/>
  <c r="Z64" i="5"/>
  <c r="Y64" i="5"/>
  <c r="X64" i="5"/>
  <c r="N64" i="5"/>
  <c r="I64" i="5"/>
  <c r="AB64" i="5" s="1"/>
  <c r="AA63" i="5"/>
  <c r="Y63" i="5"/>
  <c r="X63" i="5"/>
  <c r="AA62" i="5"/>
  <c r="Z62" i="5"/>
  <c r="Y62" i="5"/>
  <c r="X62" i="5"/>
  <c r="N62" i="5"/>
  <c r="I62" i="5"/>
  <c r="J62" i="5" s="1"/>
  <c r="AC62" i="5" s="1"/>
  <c r="AA61" i="5"/>
  <c r="Y61" i="5"/>
  <c r="X61" i="5"/>
  <c r="AA60" i="5"/>
  <c r="Z60" i="5"/>
  <c r="Y60" i="5"/>
  <c r="X60" i="5"/>
  <c r="N60" i="5"/>
  <c r="I60" i="5"/>
  <c r="AB60" i="5" s="1"/>
  <c r="N46" i="5"/>
  <c r="AF46" i="5" s="1"/>
  <c r="N55" i="5"/>
  <c r="AF55" i="5" s="1"/>
  <c r="R43" i="5"/>
  <c r="I43" i="5"/>
  <c r="AF99" i="6"/>
  <c r="AF98" i="6"/>
  <c r="AF93" i="6"/>
  <c r="AF92" i="6"/>
  <c r="AF91" i="6"/>
  <c r="AF90" i="6"/>
  <c r="AF89" i="6"/>
  <c r="AF88" i="6"/>
  <c r="AF87" i="6"/>
  <c r="AF86" i="6"/>
  <c r="AF85" i="6"/>
  <c r="AF84" i="6"/>
  <c r="AF83" i="6"/>
  <c r="AF82" i="6"/>
  <c r="AF61" i="6"/>
  <c r="AF60" i="6"/>
  <c r="AF59" i="6"/>
  <c r="AF58" i="6"/>
  <c r="AF53" i="6"/>
  <c r="AF52" i="6"/>
  <c r="AF51" i="6"/>
  <c r="AF50" i="6"/>
  <c r="AF49" i="6"/>
  <c r="AF46" i="6"/>
  <c r="AF32" i="6"/>
  <c r="AF31" i="6"/>
  <c r="AF30" i="6"/>
  <c r="AF29" i="6"/>
  <c r="AF28" i="6"/>
  <c r="AF27" i="6"/>
  <c r="AF26" i="6"/>
  <c r="AF25" i="6"/>
  <c r="AF23" i="6"/>
  <c r="AF22" i="6"/>
  <c r="AF20" i="6"/>
  <c r="AF17" i="6"/>
  <c r="AF16" i="6"/>
  <c r="F137" i="5" l="1"/>
  <c r="R64" i="5"/>
  <c r="AF64" i="5"/>
  <c r="R81" i="5"/>
  <c r="AF81" i="5"/>
  <c r="R62" i="5"/>
  <c r="AF62" i="5"/>
  <c r="U82" i="5"/>
  <c r="AF82" i="5"/>
  <c r="F138" i="5"/>
  <c r="U60" i="5"/>
  <c r="AF60" i="5"/>
  <c r="N40" i="14"/>
  <c r="D48" i="14"/>
  <c r="J43" i="5"/>
  <c r="AC43" i="5" s="1"/>
  <c r="AB43" i="5"/>
  <c r="R99" i="5"/>
  <c r="U99" i="5"/>
  <c r="R100" i="5"/>
  <c r="U100" i="5"/>
  <c r="J99" i="5"/>
  <c r="AC99" i="5" s="1"/>
  <c r="J100" i="5"/>
  <c r="AC100" i="5" s="1"/>
  <c r="AB35" i="5"/>
  <c r="AB33" i="5"/>
  <c r="AB93" i="5"/>
  <c r="J30" i="5"/>
  <c r="AC30" i="5" s="1"/>
  <c r="AB31" i="5"/>
  <c r="J24" i="5"/>
  <c r="AC24" i="5" s="1"/>
  <c r="AB22" i="5"/>
  <c r="AB26" i="5"/>
  <c r="J20" i="5"/>
  <c r="J28" i="5"/>
  <c r="AC28" i="5" s="1"/>
  <c r="AB40" i="5"/>
  <c r="AB38" i="5"/>
  <c r="J36" i="5"/>
  <c r="J37" i="5"/>
  <c r="AC37" i="5" s="1"/>
  <c r="J64" i="5"/>
  <c r="AC64" i="5" s="1"/>
  <c r="J69" i="5"/>
  <c r="AC69" i="5" s="1"/>
  <c r="J80" i="5"/>
  <c r="AC80" i="5" s="1"/>
  <c r="U81" i="5"/>
  <c r="J78" i="5"/>
  <c r="AC78" i="5" s="1"/>
  <c r="AB62" i="5"/>
  <c r="J66" i="5"/>
  <c r="J74" i="5"/>
  <c r="AC74" i="5" s="1"/>
  <c r="J82" i="5"/>
  <c r="AC82" i="5" s="1"/>
  <c r="AB89" i="5"/>
  <c r="J60" i="5"/>
  <c r="AC60" i="5" s="1"/>
  <c r="AB79" i="5"/>
  <c r="AB84" i="5"/>
  <c r="AB87" i="5"/>
  <c r="R60" i="5"/>
  <c r="J86" i="5"/>
  <c r="AC86" i="5" s="1"/>
  <c r="J88" i="5"/>
  <c r="AC88" i="5" s="1"/>
  <c r="U62" i="5"/>
  <c r="U64" i="5"/>
  <c r="U66" i="5"/>
  <c r="J72" i="5"/>
  <c r="AC72" i="5" s="1"/>
  <c r="AB75" i="5"/>
  <c r="J76" i="5"/>
  <c r="AC76" i="5" s="1"/>
  <c r="J81" i="5"/>
  <c r="AC81" i="5" s="1"/>
  <c r="R82" i="5"/>
  <c r="AB73" i="5"/>
  <c r="AB77" i="5"/>
  <c r="R66" i="5"/>
  <c r="J83" i="5"/>
  <c r="AC83" i="5" s="1"/>
  <c r="J85" i="5"/>
  <c r="AC85" i="5" s="1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I66" i="6"/>
  <c r="J66" i="6" s="1"/>
  <c r="AC66" i="6" s="1"/>
  <c r="I68" i="6"/>
  <c r="J68" i="6" s="1"/>
  <c r="AC68" i="6" s="1"/>
  <c r="I70" i="6"/>
  <c r="J70" i="6" s="1"/>
  <c r="AC70" i="6" s="1"/>
  <c r="I72" i="6"/>
  <c r="J72" i="6" s="1"/>
  <c r="AC72" i="6" s="1"/>
  <c r="I74" i="6"/>
  <c r="J74" i="6" s="1"/>
  <c r="AC74" i="6" s="1"/>
  <c r="I76" i="6"/>
  <c r="AB76" i="6" s="1"/>
  <c r="I78" i="6"/>
  <c r="J78" i="6" s="1"/>
  <c r="AC78" i="6" s="1"/>
  <c r="I80" i="6"/>
  <c r="AB80" i="6" s="1"/>
  <c r="AA58" i="6"/>
  <c r="Z58" i="6"/>
  <c r="Y58" i="6"/>
  <c r="X58" i="6"/>
  <c r="U58" i="6"/>
  <c r="R58" i="6"/>
  <c r="I58" i="6"/>
  <c r="J58" i="6" s="1"/>
  <c r="AC58" i="6" s="1"/>
  <c r="Y92" i="6"/>
  <c r="X92" i="6"/>
  <c r="Y91" i="6"/>
  <c r="X91" i="6"/>
  <c r="U92" i="6"/>
  <c r="U91" i="6"/>
  <c r="R92" i="6"/>
  <c r="I92" i="6"/>
  <c r="J92" i="6" s="1"/>
  <c r="AC92" i="6" s="1"/>
  <c r="Z92" i="6"/>
  <c r="I91" i="6"/>
  <c r="J91" i="6" s="1"/>
  <c r="AC91" i="6" s="1"/>
  <c r="Z91" i="6"/>
  <c r="Z90" i="6"/>
  <c r="Y90" i="6"/>
  <c r="X90" i="6"/>
  <c r="U90" i="6"/>
  <c r="I90" i="6"/>
  <c r="AB90" i="6" s="1"/>
  <c r="Z87" i="6"/>
  <c r="Y87" i="6"/>
  <c r="X87" i="6"/>
  <c r="R87" i="6"/>
  <c r="U87" i="6"/>
  <c r="I87" i="6"/>
  <c r="AB87" i="6" s="1"/>
  <c r="Y89" i="6"/>
  <c r="X89" i="6"/>
  <c r="Y88" i="6"/>
  <c r="X88" i="6"/>
  <c r="U89" i="6"/>
  <c r="I89" i="6"/>
  <c r="AB89" i="6" s="1"/>
  <c r="Z89" i="6"/>
  <c r="U88" i="6"/>
  <c r="R88" i="6"/>
  <c r="R89" i="6"/>
  <c r="R90" i="6"/>
  <c r="R91" i="6"/>
  <c r="I88" i="6"/>
  <c r="J88" i="6" s="1"/>
  <c r="AC88" i="6" s="1"/>
  <c r="Z88" i="6"/>
  <c r="X84" i="6"/>
  <c r="Y84" i="6"/>
  <c r="R84" i="6"/>
  <c r="U84" i="6"/>
  <c r="I84" i="6"/>
  <c r="J84" i="6" s="1"/>
  <c r="AC84" i="6" s="1"/>
  <c r="Z84" i="6"/>
  <c r="X82" i="6"/>
  <c r="Y82" i="6"/>
  <c r="Z82" i="6"/>
  <c r="X83" i="6"/>
  <c r="Y83" i="6"/>
  <c r="Z83" i="6"/>
  <c r="X85" i="6"/>
  <c r="Y85" i="6"/>
  <c r="Z85" i="6"/>
  <c r="X86" i="6"/>
  <c r="Y86" i="6"/>
  <c r="Z86" i="6"/>
  <c r="X93" i="6"/>
  <c r="Y93" i="6"/>
  <c r="Z93" i="6"/>
  <c r="U82" i="6"/>
  <c r="U83" i="6"/>
  <c r="U85" i="6"/>
  <c r="U86" i="6"/>
  <c r="U93" i="6"/>
  <c r="I83" i="6"/>
  <c r="J83" i="6" s="1"/>
  <c r="AC83" i="6" s="1"/>
  <c r="I85" i="6"/>
  <c r="J85" i="6" s="1"/>
  <c r="AC85" i="6" s="1"/>
  <c r="I86" i="6"/>
  <c r="AB86" i="6" s="1"/>
  <c r="I93" i="6"/>
  <c r="AB93" i="6" s="1"/>
  <c r="R82" i="6"/>
  <c r="R83" i="6"/>
  <c r="R85" i="6"/>
  <c r="R86" i="6"/>
  <c r="R93" i="6"/>
  <c r="Z76" i="6"/>
  <c r="Y76" i="6"/>
  <c r="X76" i="6"/>
  <c r="U76" i="6"/>
  <c r="Z80" i="6"/>
  <c r="Y80" i="6"/>
  <c r="X80" i="6"/>
  <c r="Z78" i="6"/>
  <c r="Y78" i="6"/>
  <c r="X78" i="6"/>
  <c r="Z74" i="6"/>
  <c r="Y74" i="6"/>
  <c r="X74" i="6"/>
  <c r="Z72" i="6"/>
  <c r="Y72" i="6"/>
  <c r="X72" i="6"/>
  <c r="Z70" i="6"/>
  <c r="Y70" i="6"/>
  <c r="X70" i="6"/>
  <c r="Z68" i="6"/>
  <c r="Y68" i="6"/>
  <c r="X68" i="6"/>
  <c r="U68" i="6"/>
  <c r="U70" i="6"/>
  <c r="U72" i="6"/>
  <c r="U74" i="6"/>
  <c r="U78" i="6"/>
  <c r="U80" i="6"/>
  <c r="I82" i="6"/>
  <c r="J82" i="6" s="1"/>
  <c r="AC82" i="6" s="1"/>
  <c r="X64" i="6"/>
  <c r="Y64" i="6"/>
  <c r="Z64" i="6"/>
  <c r="X66" i="6"/>
  <c r="Y66" i="6"/>
  <c r="Z66" i="6"/>
  <c r="U64" i="6"/>
  <c r="U66" i="6"/>
  <c r="R64" i="6"/>
  <c r="I64" i="6"/>
  <c r="J64" i="6" s="1"/>
  <c r="AC64" i="6" s="1"/>
  <c r="AA57" i="6"/>
  <c r="Z57" i="6"/>
  <c r="Y57" i="6"/>
  <c r="X57" i="6"/>
  <c r="U57" i="6"/>
  <c r="R57" i="6"/>
  <c r="I57" i="6"/>
  <c r="J57" i="6" s="1"/>
  <c r="AC57" i="6" s="1"/>
  <c r="N62" i="6"/>
  <c r="U62" i="6" s="1"/>
  <c r="N63" i="6"/>
  <c r="R63" i="6" s="1"/>
  <c r="Z63" i="6"/>
  <c r="Y63" i="6"/>
  <c r="X63" i="6"/>
  <c r="Z62" i="6"/>
  <c r="Y62" i="6"/>
  <c r="X62" i="6"/>
  <c r="I62" i="6"/>
  <c r="J62" i="6" s="1"/>
  <c r="AC62" i="6" s="1"/>
  <c r="I63" i="6"/>
  <c r="AB63" i="6" s="1"/>
  <c r="X59" i="6"/>
  <c r="Y59" i="6"/>
  <c r="X60" i="6"/>
  <c r="Y60" i="6"/>
  <c r="X61" i="6"/>
  <c r="Y61" i="6"/>
  <c r="U61" i="6"/>
  <c r="U60" i="6"/>
  <c r="U59" i="6"/>
  <c r="R61" i="6"/>
  <c r="R60" i="6"/>
  <c r="R59" i="6"/>
  <c r="I61" i="6"/>
  <c r="AB61" i="6" s="1"/>
  <c r="Z61" i="6"/>
  <c r="I60" i="6"/>
  <c r="J60" i="6" s="1"/>
  <c r="AC60" i="6" s="1"/>
  <c r="Z60" i="6"/>
  <c r="I59" i="6"/>
  <c r="J59" i="6" s="1"/>
  <c r="AC59" i="6" s="1"/>
  <c r="Z59" i="6"/>
  <c r="AA56" i="6"/>
  <c r="Z56" i="6"/>
  <c r="Y56" i="6"/>
  <c r="X56" i="6"/>
  <c r="U56" i="6"/>
  <c r="R56" i="6"/>
  <c r="I56" i="6"/>
  <c r="J56" i="6" s="1"/>
  <c r="AC56" i="6" s="1"/>
  <c r="N55" i="6"/>
  <c r="N54" i="6"/>
  <c r="AA55" i="6"/>
  <c r="Z55" i="6"/>
  <c r="Y55" i="6"/>
  <c r="X55" i="6"/>
  <c r="AA54" i="6"/>
  <c r="Z54" i="6"/>
  <c r="Y54" i="6"/>
  <c r="X54" i="6"/>
  <c r="I55" i="6"/>
  <c r="J55" i="6" s="1"/>
  <c r="AC55" i="6" s="1"/>
  <c r="I54" i="6"/>
  <c r="J54" i="6" s="1"/>
  <c r="AC54" i="6" s="1"/>
  <c r="AA53" i="6"/>
  <c r="Z53" i="6"/>
  <c r="Y53" i="6"/>
  <c r="X53" i="6"/>
  <c r="U53" i="6"/>
  <c r="R53" i="6"/>
  <c r="I53" i="6"/>
  <c r="J53" i="6" s="1"/>
  <c r="AC53" i="6" s="1"/>
  <c r="AA52" i="6"/>
  <c r="Z52" i="6"/>
  <c r="Y52" i="6"/>
  <c r="X52" i="6"/>
  <c r="U52" i="6"/>
  <c r="R52" i="6"/>
  <c r="I52" i="6"/>
  <c r="AB52" i="6" s="1"/>
  <c r="AA51" i="6"/>
  <c r="Z51" i="6"/>
  <c r="Y51" i="6"/>
  <c r="X51" i="6"/>
  <c r="U51" i="6"/>
  <c r="R51" i="6"/>
  <c r="I51" i="6"/>
  <c r="J51" i="6" s="1"/>
  <c r="AC51" i="6" s="1"/>
  <c r="AA50" i="6"/>
  <c r="Z50" i="6"/>
  <c r="Y50" i="6"/>
  <c r="X50" i="6"/>
  <c r="U50" i="6"/>
  <c r="R50" i="6"/>
  <c r="I50" i="6"/>
  <c r="J50" i="6" s="1"/>
  <c r="AC50" i="6" s="1"/>
  <c r="AA49" i="6"/>
  <c r="Z49" i="6"/>
  <c r="Y49" i="6"/>
  <c r="X49" i="6"/>
  <c r="U49" i="6"/>
  <c r="R49" i="6"/>
  <c r="I49" i="6"/>
  <c r="J49" i="6" s="1"/>
  <c r="AC49" i="6" s="1"/>
  <c r="AA48" i="6"/>
  <c r="AA47" i="6"/>
  <c r="Y48" i="6"/>
  <c r="X48" i="6"/>
  <c r="Y47" i="6"/>
  <c r="X47" i="6"/>
  <c r="Z48" i="6"/>
  <c r="Z47" i="6"/>
  <c r="AA46" i="6"/>
  <c r="Z46" i="6"/>
  <c r="Y46" i="6"/>
  <c r="X46" i="6"/>
  <c r="U46" i="6"/>
  <c r="R46" i="6"/>
  <c r="I46" i="6"/>
  <c r="AB46" i="6" s="1"/>
  <c r="AA45" i="6"/>
  <c r="Y45" i="6"/>
  <c r="X45" i="6"/>
  <c r="AA44" i="6"/>
  <c r="Y44" i="6"/>
  <c r="X44" i="6"/>
  <c r="AA43" i="6"/>
  <c r="Y43" i="6"/>
  <c r="X43" i="6"/>
  <c r="N43" i="6"/>
  <c r="AF43" i="6" s="1"/>
  <c r="I43" i="6"/>
  <c r="J43" i="6" s="1"/>
  <c r="AA42" i="6"/>
  <c r="Y42" i="6"/>
  <c r="X42" i="6"/>
  <c r="N41" i="6"/>
  <c r="AA41" i="6"/>
  <c r="Z41" i="6"/>
  <c r="Y41" i="6"/>
  <c r="X41" i="6"/>
  <c r="I41" i="6"/>
  <c r="AB41" i="6" s="1"/>
  <c r="AA40" i="6"/>
  <c r="Y40" i="6"/>
  <c r="X40" i="6"/>
  <c r="N39" i="6"/>
  <c r="AA39" i="6"/>
  <c r="Z39" i="6"/>
  <c r="Y39" i="6"/>
  <c r="X39" i="6"/>
  <c r="I39" i="6"/>
  <c r="AB39" i="6" s="1"/>
  <c r="AA38" i="6"/>
  <c r="Y38" i="6"/>
  <c r="X38" i="6"/>
  <c r="N37" i="6"/>
  <c r="I37" i="6"/>
  <c r="J37" i="6" s="1"/>
  <c r="AC37" i="6" s="1"/>
  <c r="X37" i="6"/>
  <c r="Y37" i="6"/>
  <c r="Z37" i="6"/>
  <c r="AA37" i="6"/>
  <c r="AA36" i="6"/>
  <c r="Y36" i="6"/>
  <c r="X36" i="6"/>
  <c r="AA35" i="6"/>
  <c r="Z35" i="6"/>
  <c r="Y35" i="6"/>
  <c r="X35" i="6"/>
  <c r="N35" i="6"/>
  <c r="I35" i="6"/>
  <c r="J35" i="6" s="1"/>
  <c r="AC35" i="6" s="1"/>
  <c r="AA24" i="6"/>
  <c r="Y24" i="6"/>
  <c r="X24" i="6"/>
  <c r="AA21" i="6"/>
  <c r="Y21" i="6"/>
  <c r="X21" i="6"/>
  <c r="AA34" i="6"/>
  <c r="Y34" i="6"/>
  <c r="X34" i="6"/>
  <c r="N33" i="6"/>
  <c r="AA33" i="6"/>
  <c r="Z33" i="6"/>
  <c r="Y33" i="6"/>
  <c r="X33" i="6"/>
  <c r="I33" i="6"/>
  <c r="J33" i="6" s="1"/>
  <c r="AC33" i="6" s="1"/>
  <c r="AA100" i="6"/>
  <c r="Z100" i="6"/>
  <c r="Y100" i="6"/>
  <c r="X100" i="6"/>
  <c r="U100" i="6"/>
  <c r="R100" i="6"/>
  <c r="I100" i="6"/>
  <c r="AB100" i="6" s="1"/>
  <c r="AA99" i="6"/>
  <c r="Z99" i="6"/>
  <c r="Y99" i="6"/>
  <c r="X99" i="6"/>
  <c r="U99" i="6"/>
  <c r="R99" i="6"/>
  <c r="I99" i="6"/>
  <c r="AB99" i="6" s="1"/>
  <c r="R97" i="6"/>
  <c r="N96" i="6"/>
  <c r="R95" i="6"/>
  <c r="N94" i="6"/>
  <c r="I95" i="6"/>
  <c r="J95" i="6" s="1"/>
  <c r="U32" i="6"/>
  <c r="U31" i="6"/>
  <c r="AA27" i="6"/>
  <c r="Z27" i="6"/>
  <c r="Y27" i="6"/>
  <c r="X27" i="6"/>
  <c r="I27" i="6"/>
  <c r="J27" i="6" s="1"/>
  <c r="AC27" i="6" s="1"/>
  <c r="R27" i="6"/>
  <c r="I13" i="6"/>
  <c r="J13" i="6" s="1"/>
  <c r="AC47" i="6" l="1"/>
  <c r="AB47" i="6"/>
  <c r="AC48" i="6"/>
  <c r="AB48" i="6"/>
  <c r="AB59" i="6"/>
  <c r="AB84" i="6"/>
  <c r="AB88" i="6"/>
  <c r="J89" i="6"/>
  <c r="AC89" i="6" s="1"/>
  <c r="U54" i="6"/>
  <c r="AF54" i="6"/>
  <c r="U39" i="6"/>
  <c r="AF39" i="6"/>
  <c r="U33" i="6"/>
  <c r="AF33" i="6"/>
  <c r="R55" i="6"/>
  <c r="AF55" i="6"/>
  <c r="R35" i="6"/>
  <c r="AF35" i="6"/>
  <c r="U63" i="6"/>
  <c r="R37" i="6"/>
  <c r="AF37" i="6"/>
  <c r="U41" i="6"/>
  <c r="AF41" i="6"/>
  <c r="U55" i="6"/>
  <c r="J86" i="6"/>
  <c r="AC86" i="6" s="1"/>
  <c r="AC36" i="5"/>
  <c r="AC20" i="5"/>
  <c r="R54" i="6"/>
  <c r="AB62" i="6"/>
  <c r="AB85" i="6"/>
  <c r="J90" i="6"/>
  <c r="AC90" i="6" s="1"/>
  <c r="AB92" i="6"/>
  <c r="AB55" i="6"/>
  <c r="J63" i="6"/>
  <c r="AC63" i="6" s="1"/>
  <c r="J87" i="6"/>
  <c r="AC87" i="6" s="1"/>
  <c r="AB91" i="6"/>
  <c r="J80" i="6"/>
  <c r="AC80" i="6" s="1"/>
  <c r="J76" i="6"/>
  <c r="AC76" i="6" s="1"/>
  <c r="J93" i="6"/>
  <c r="AC93" i="6" s="1"/>
  <c r="AB58" i="6"/>
  <c r="AB74" i="6"/>
  <c r="AB82" i="6"/>
  <c r="AB83" i="6"/>
  <c r="AB68" i="6"/>
  <c r="AB78" i="6"/>
  <c r="AB72" i="6"/>
  <c r="AB70" i="6"/>
  <c r="R62" i="6"/>
  <c r="J46" i="6"/>
  <c r="AC46" i="6" s="1"/>
  <c r="AB66" i="6"/>
  <c r="AB64" i="6"/>
  <c r="AB57" i="6"/>
  <c r="U35" i="6"/>
  <c r="U37" i="6"/>
  <c r="AB60" i="6"/>
  <c r="J61" i="6"/>
  <c r="AC61" i="6" s="1"/>
  <c r="AB33" i="6"/>
  <c r="AB35" i="6"/>
  <c r="R43" i="6"/>
  <c r="AB54" i="6"/>
  <c r="AB49" i="6"/>
  <c r="R33" i="6"/>
  <c r="U43" i="6"/>
  <c r="AB56" i="6"/>
  <c r="AB53" i="6"/>
  <c r="J52" i="6"/>
  <c r="AC52" i="6" s="1"/>
  <c r="AB51" i="6"/>
  <c r="AB50" i="6"/>
  <c r="J41" i="6"/>
  <c r="AC41" i="6" s="1"/>
  <c r="R41" i="6"/>
  <c r="J39" i="6"/>
  <c r="AC39" i="6" s="1"/>
  <c r="R39" i="6"/>
  <c r="AB37" i="6"/>
  <c r="J99" i="6"/>
  <c r="AC99" i="6" s="1"/>
  <c r="J100" i="6"/>
  <c r="AC100" i="6" s="1"/>
  <c r="AB27" i="6"/>
  <c r="AF105" i="6" l="1"/>
  <c r="I77" i="7" l="1"/>
  <c r="J77" i="7" s="1"/>
  <c r="I13" i="7"/>
  <c r="J13" i="7" s="1"/>
  <c r="AA69" i="7"/>
  <c r="Z69" i="7"/>
  <c r="Y69" i="7"/>
  <c r="X69" i="7"/>
  <c r="U69" i="7"/>
  <c r="R69" i="7"/>
  <c r="I69" i="7"/>
  <c r="J69" i="7" s="1"/>
  <c r="AC69" i="7" s="1"/>
  <c r="AJ166" i="13"/>
  <c r="AJ165" i="13"/>
  <c r="AJ164" i="13"/>
  <c r="AJ158" i="13"/>
  <c r="AJ157" i="13"/>
  <c r="AJ155" i="13"/>
  <c r="AJ153" i="13"/>
  <c r="AJ152" i="13"/>
  <c r="AJ151" i="13"/>
  <c r="AJ142" i="13"/>
  <c r="AJ141" i="13"/>
  <c r="AJ139" i="13"/>
  <c r="AJ135" i="13"/>
  <c r="AJ134" i="13"/>
  <c r="AJ133" i="13"/>
  <c r="AJ129" i="13"/>
  <c r="AJ125" i="13"/>
  <c r="AJ124" i="13"/>
  <c r="AJ123" i="13"/>
  <c r="AJ121" i="13"/>
  <c r="AJ119" i="13"/>
  <c r="AJ118" i="13"/>
  <c r="AJ117" i="13"/>
  <c r="AJ116" i="13"/>
  <c r="AJ115" i="13"/>
  <c r="AJ114" i="13"/>
  <c r="AJ113" i="13"/>
  <c r="AJ112" i="13"/>
  <c r="AJ111" i="13"/>
  <c r="AJ110" i="13"/>
  <c r="AJ109" i="13"/>
  <c r="AJ108" i="13"/>
  <c r="AJ105" i="13"/>
  <c r="AJ104" i="13"/>
  <c r="AJ103" i="13"/>
  <c r="AJ101" i="13"/>
  <c r="AJ100" i="13"/>
  <c r="AJ99" i="13"/>
  <c r="AJ98" i="13"/>
  <c r="AJ97" i="13"/>
  <c r="AJ96" i="13"/>
  <c r="AJ95" i="13"/>
  <c r="AJ94" i="13"/>
  <c r="AJ92" i="13"/>
  <c r="AJ91" i="13"/>
  <c r="AJ89" i="13"/>
  <c r="AJ86" i="13"/>
  <c r="AJ84" i="13"/>
  <c r="AJ83" i="13"/>
  <c r="AJ82" i="13"/>
  <c r="AJ81" i="13"/>
  <c r="AJ80" i="13"/>
  <c r="AJ78" i="13"/>
  <c r="AJ77" i="13"/>
  <c r="AJ76" i="13"/>
  <c r="AJ75" i="13"/>
  <c r="AJ74" i="13"/>
  <c r="AJ73" i="13"/>
  <c r="AJ72" i="13"/>
  <c r="AJ71" i="13"/>
  <c r="AJ68" i="13"/>
  <c r="AJ67" i="13"/>
  <c r="AJ66" i="13"/>
  <c r="AJ63" i="13"/>
  <c r="AJ62" i="13"/>
  <c r="AJ61" i="13"/>
  <c r="AJ60" i="13"/>
  <c r="AJ59" i="13"/>
  <c r="AJ58" i="13"/>
  <c r="AJ57" i="13"/>
  <c r="AJ56" i="13"/>
  <c r="AJ55" i="13"/>
  <c r="AJ54" i="13"/>
  <c r="AJ53" i="13"/>
  <c r="AJ52" i="13"/>
  <c r="AJ45" i="13"/>
  <c r="AJ44" i="13"/>
  <c r="AJ43" i="13"/>
  <c r="AJ42" i="13"/>
  <c r="AJ41" i="13"/>
  <c r="AJ40" i="13"/>
  <c r="AJ39" i="13"/>
  <c r="AJ38" i="13"/>
  <c r="AJ37" i="13"/>
  <c r="AJ36" i="13"/>
  <c r="AJ33" i="13"/>
  <c r="AJ28" i="13"/>
  <c r="AJ25" i="13"/>
  <c r="AJ24" i="13"/>
  <c r="AJ23" i="13"/>
  <c r="AJ22" i="13"/>
  <c r="AJ21" i="13"/>
  <c r="AJ20" i="13"/>
  <c r="AJ18" i="13"/>
  <c r="AJ16" i="13"/>
  <c r="AF115" i="11"/>
  <c r="AF114" i="11"/>
  <c r="AF113" i="11"/>
  <c r="AF112" i="11"/>
  <c r="AF111" i="11"/>
  <c r="AF107" i="11"/>
  <c r="AF106" i="11"/>
  <c r="AF89" i="11"/>
  <c r="AF88" i="11"/>
  <c r="AF87" i="11"/>
  <c r="AF86" i="11"/>
  <c r="AF85" i="11"/>
  <c r="AF84" i="11"/>
  <c r="AF83" i="11"/>
  <c r="AF82" i="11"/>
  <c r="AF81" i="11"/>
  <c r="AF80" i="11"/>
  <c r="AF79" i="11"/>
  <c r="AF78" i="11"/>
  <c r="AF77" i="11"/>
  <c r="AF76" i="11"/>
  <c r="AF75" i="11"/>
  <c r="AF74" i="11"/>
  <c r="AF73" i="11"/>
  <c r="AF72" i="11"/>
  <c r="AF70" i="11"/>
  <c r="AF69" i="11"/>
  <c r="AF68" i="11"/>
  <c r="AF67" i="11"/>
  <c r="AF66" i="11"/>
  <c r="AF65" i="11"/>
  <c r="AF64" i="11"/>
  <c r="AF60" i="11"/>
  <c r="AF55" i="11"/>
  <c r="AF50" i="11"/>
  <c r="AF49" i="11"/>
  <c r="AF48" i="11"/>
  <c r="AF47" i="11"/>
  <c r="AF46" i="11"/>
  <c r="AF45" i="11"/>
  <c r="AF44" i="11"/>
  <c r="AF43" i="11"/>
  <c r="AF42" i="11"/>
  <c r="AF41" i="11"/>
  <c r="AF40" i="11"/>
  <c r="AF39" i="11"/>
  <c r="AF38" i="11"/>
  <c r="AF37" i="11"/>
  <c r="AF36" i="11"/>
  <c r="AF33" i="11"/>
  <c r="AF28" i="11"/>
  <c r="AF27" i="11"/>
  <c r="AF26" i="11"/>
  <c r="AF24" i="11"/>
  <c r="AF23" i="11"/>
  <c r="AF22" i="11"/>
  <c r="AF21" i="11"/>
  <c r="AF20" i="11"/>
  <c r="AF19" i="11"/>
  <c r="AF18" i="11"/>
  <c r="AF17" i="11"/>
  <c r="AF16" i="11"/>
  <c r="AF15" i="11"/>
  <c r="AF14" i="11"/>
  <c r="AF13" i="11"/>
  <c r="AF12" i="11"/>
  <c r="AF107" i="10"/>
  <c r="AF106" i="10"/>
  <c r="AF105" i="10"/>
  <c r="AF104" i="10"/>
  <c r="AF103" i="10"/>
  <c r="AF102" i="10"/>
  <c r="AF101" i="10"/>
  <c r="AF99" i="10"/>
  <c r="AF98" i="10"/>
  <c r="AF95" i="10"/>
  <c r="AF94" i="10"/>
  <c r="AF93" i="10"/>
  <c r="AF90" i="10"/>
  <c r="AF87" i="10"/>
  <c r="AF86" i="10"/>
  <c r="AF85" i="10"/>
  <c r="AF84" i="10"/>
  <c r="AF83" i="10"/>
  <c r="AF82" i="10"/>
  <c r="AF81" i="10"/>
  <c r="AF79" i="10"/>
  <c r="AF78" i="10"/>
  <c r="AF77" i="10"/>
  <c r="AF76" i="10"/>
  <c r="AF75" i="10"/>
  <c r="AF61" i="10"/>
  <c r="AF60" i="10"/>
  <c r="AF59" i="10"/>
  <c r="AF58" i="10"/>
  <c r="AF57" i="10"/>
  <c r="AF56" i="10"/>
  <c r="AF55" i="10"/>
  <c r="AF54" i="10"/>
  <c r="AF53" i="10"/>
  <c r="AF52" i="10"/>
  <c r="AF51" i="10"/>
  <c r="AF31" i="10"/>
  <c r="AF30" i="10"/>
  <c r="AF29" i="10"/>
  <c r="AF26" i="10"/>
  <c r="AF24" i="10"/>
  <c r="AF19" i="10"/>
  <c r="AF18" i="10"/>
  <c r="AF17" i="10"/>
  <c r="AF16" i="10"/>
  <c r="AF15" i="10"/>
  <c r="AF74" i="8"/>
  <c r="AF72" i="8"/>
  <c r="AF71" i="8"/>
  <c r="AF70" i="8"/>
  <c r="AF69" i="8"/>
  <c r="AF68" i="8"/>
  <c r="AF67" i="8"/>
  <c r="AF66" i="8"/>
  <c r="AF65" i="8"/>
  <c r="AF64" i="8"/>
  <c r="AF63" i="8"/>
  <c r="AF62" i="8"/>
  <c r="AF60" i="8"/>
  <c r="AF58" i="8"/>
  <c r="AF56" i="8"/>
  <c r="AF54" i="8"/>
  <c r="AF52" i="8"/>
  <c r="AF50" i="8"/>
  <c r="AF45" i="8"/>
  <c r="AF44" i="8"/>
  <c r="AF43" i="8"/>
  <c r="AF42" i="8"/>
  <c r="AF41" i="8"/>
  <c r="AF40" i="8"/>
  <c r="AF39" i="8"/>
  <c r="AF38" i="8"/>
  <c r="AF37" i="8"/>
  <c r="AF34" i="8"/>
  <c r="AF33" i="8"/>
  <c r="AF32" i="8"/>
  <c r="AF30" i="8"/>
  <c r="AF29" i="8"/>
  <c r="AF28" i="8"/>
  <c r="AF27" i="8"/>
  <c r="AF23" i="8"/>
  <c r="AF22" i="8"/>
  <c r="AF21" i="8"/>
  <c r="AF20" i="8"/>
  <c r="AF19" i="8"/>
  <c r="AF18" i="8"/>
  <c r="AF12" i="8"/>
  <c r="N79" i="7"/>
  <c r="AF79" i="7" s="1"/>
  <c r="AA22" i="7"/>
  <c r="Y22" i="7"/>
  <c r="X22" i="7"/>
  <c r="AA15" i="7"/>
  <c r="Y15" i="7"/>
  <c r="X15" i="7"/>
  <c r="AA68" i="7"/>
  <c r="Z68" i="7"/>
  <c r="Y68" i="7"/>
  <c r="X68" i="7"/>
  <c r="R68" i="7"/>
  <c r="I68" i="7"/>
  <c r="J68" i="7" s="1"/>
  <c r="AC68" i="7" s="1"/>
  <c r="AA67" i="7"/>
  <c r="Z67" i="7"/>
  <c r="Y67" i="7"/>
  <c r="X67" i="7"/>
  <c r="U67" i="7"/>
  <c r="R67" i="7"/>
  <c r="I67" i="7"/>
  <c r="AB67" i="7" s="1"/>
  <c r="AA66" i="7"/>
  <c r="Z66" i="7"/>
  <c r="Y66" i="7"/>
  <c r="X66" i="7"/>
  <c r="U66" i="7"/>
  <c r="R66" i="7"/>
  <c r="I66" i="7"/>
  <c r="J66" i="7" s="1"/>
  <c r="AC66" i="7" s="1"/>
  <c r="AA65" i="7"/>
  <c r="Z65" i="7"/>
  <c r="Y65" i="7"/>
  <c r="X65" i="7"/>
  <c r="U65" i="7"/>
  <c r="R65" i="7"/>
  <c r="I65" i="7"/>
  <c r="J65" i="7" s="1"/>
  <c r="AC65" i="7" s="1"/>
  <c r="AA64" i="7"/>
  <c r="Z64" i="7"/>
  <c r="Y64" i="7"/>
  <c r="X64" i="7"/>
  <c r="U64" i="7"/>
  <c r="R64" i="7"/>
  <c r="I64" i="7"/>
  <c r="J64" i="7" s="1"/>
  <c r="AC64" i="7" s="1"/>
  <c r="AA63" i="7"/>
  <c r="Z63" i="7"/>
  <c r="Y63" i="7"/>
  <c r="X63" i="7"/>
  <c r="U63" i="7"/>
  <c r="R63" i="7"/>
  <c r="I63" i="7"/>
  <c r="AB63" i="7" s="1"/>
  <c r="AA62" i="7"/>
  <c r="Z62" i="7"/>
  <c r="Y62" i="7"/>
  <c r="X62" i="7"/>
  <c r="U62" i="7"/>
  <c r="R62" i="7"/>
  <c r="I62" i="7"/>
  <c r="AB62" i="7" s="1"/>
  <c r="AA61" i="7"/>
  <c r="Z61" i="7"/>
  <c r="Y61" i="7"/>
  <c r="X61" i="7"/>
  <c r="U61" i="7"/>
  <c r="R61" i="7"/>
  <c r="I61" i="7"/>
  <c r="AB61" i="7" s="1"/>
  <c r="R60" i="7"/>
  <c r="AA59" i="7"/>
  <c r="Z59" i="7"/>
  <c r="Y59" i="7"/>
  <c r="X59" i="7"/>
  <c r="U59" i="7"/>
  <c r="R59" i="7"/>
  <c r="I59" i="7"/>
  <c r="AB59" i="7" s="1"/>
  <c r="R58" i="7"/>
  <c r="AA57" i="7"/>
  <c r="Z57" i="7"/>
  <c r="Y57" i="7"/>
  <c r="X57" i="7"/>
  <c r="U57" i="7"/>
  <c r="R57" i="7"/>
  <c r="I57" i="7"/>
  <c r="AB57" i="7" s="1"/>
  <c r="R56" i="7"/>
  <c r="AA55" i="7"/>
  <c r="Z55" i="7"/>
  <c r="Y55" i="7"/>
  <c r="X55" i="7"/>
  <c r="U55" i="7"/>
  <c r="R55" i="7"/>
  <c r="I55" i="7"/>
  <c r="AB55" i="7" s="1"/>
  <c r="R54" i="7"/>
  <c r="AA53" i="7"/>
  <c r="Z53" i="7"/>
  <c r="Y53" i="7"/>
  <c r="X53" i="7"/>
  <c r="U53" i="7"/>
  <c r="R53" i="7"/>
  <c r="I53" i="7"/>
  <c r="AB53" i="7" s="1"/>
  <c r="AA52" i="7"/>
  <c r="Y52" i="7"/>
  <c r="X52" i="7"/>
  <c r="AA51" i="7"/>
  <c r="Z51" i="7"/>
  <c r="Y51" i="7"/>
  <c r="X51" i="7"/>
  <c r="U51" i="7"/>
  <c r="R51" i="7"/>
  <c r="I51" i="7"/>
  <c r="J51" i="7" s="1"/>
  <c r="AC51" i="7" s="1"/>
  <c r="AA50" i="7"/>
  <c r="Y50" i="7"/>
  <c r="X50" i="7"/>
  <c r="AA49" i="7"/>
  <c r="Y49" i="7"/>
  <c r="X49" i="7"/>
  <c r="AA48" i="7"/>
  <c r="Z48" i="7"/>
  <c r="Y48" i="7"/>
  <c r="X48" i="7"/>
  <c r="N48" i="7"/>
  <c r="AF48" i="7" s="1"/>
  <c r="I48" i="7"/>
  <c r="AB48" i="7" s="1"/>
  <c r="AA47" i="7"/>
  <c r="Z47" i="7"/>
  <c r="Y47" i="7"/>
  <c r="X47" i="7"/>
  <c r="N47" i="7"/>
  <c r="AF47" i="7" s="1"/>
  <c r="I47" i="7"/>
  <c r="AB47" i="7" s="1"/>
  <c r="AA46" i="7"/>
  <c r="Z46" i="7"/>
  <c r="Y46" i="7"/>
  <c r="X46" i="7"/>
  <c r="U46" i="7"/>
  <c r="R46" i="7"/>
  <c r="I46" i="7"/>
  <c r="AB46" i="7" s="1"/>
  <c r="AA45" i="7"/>
  <c r="Z45" i="7"/>
  <c r="Y45" i="7"/>
  <c r="X45" i="7"/>
  <c r="U45" i="7"/>
  <c r="R45" i="7"/>
  <c r="I45" i="7"/>
  <c r="J45" i="7" s="1"/>
  <c r="AC45" i="7" s="1"/>
  <c r="AA44" i="7"/>
  <c r="Z44" i="7"/>
  <c r="Y44" i="7"/>
  <c r="X44" i="7"/>
  <c r="U44" i="7"/>
  <c r="R44" i="7"/>
  <c r="I44" i="7"/>
  <c r="AB44" i="7" s="1"/>
  <c r="AA43" i="7"/>
  <c r="Z43" i="7"/>
  <c r="Y43" i="7"/>
  <c r="X43" i="7"/>
  <c r="U43" i="7"/>
  <c r="R43" i="7"/>
  <c r="I43" i="7"/>
  <c r="J43" i="7" s="1"/>
  <c r="AC43" i="7" s="1"/>
  <c r="AA42" i="7"/>
  <c r="Z42" i="7"/>
  <c r="Y42" i="7"/>
  <c r="X42" i="7"/>
  <c r="U42" i="7"/>
  <c r="R42" i="7"/>
  <c r="I42" i="7"/>
  <c r="AB42" i="7" s="1"/>
  <c r="AA41" i="7"/>
  <c r="Z41" i="7"/>
  <c r="Y41" i="7"/>
  <c r="X41" i="7"/>
  <c r="U41" i="7"/>
  <c r="R41" i="7"/>
  <c r="I41" i="7"/>
  <c r="J41" i="7" s="1"/>
  <c r="AC41" i="7" s="1"/>
  <c r="AA40" i="7"/>
  <c r="Z40" i="7"/>
  <c r="Y40" i="7"/>
  <c r="X40" i="7"/>
  <c r="U40" i="7"/>
  <c r="R40" i="7"/>
  <c r="I40" i="7"/>
  <c r="AB40" i="7" s="1"/>
  <c r="AA39" i="7"/>
  <c r="Z39" i="7"/>
  <c r="Y39" i="7"/>
  <c r="X39" i="7"/>
  <c r="U39" i="7"/>
  <c r="R39" i="7"/>
  <c r="I39" i="7"/>
  <c r="J39" i="7" s="1"/>
  <c r="AC39" i="7" s="1"/>
  <c r="AA38" i="7"/>
  <c r="Z38" i="7"/>
  <c r="Y38" i="7"/>
  <c r="X38" i="7"/>
  <c r="U38" i="7"/>
  <c r="R38" i="7"/>
  <c r="I38" i="7"/>
  <c r="AB38" i="7" s="1"/>
  <c r="AA37" i="7"/>
  <c r="Y37" i="7"/>
  <c r="X37" i="7"/>
  <c r="AA36" i="7"/>
  <c r="Y36" i="7"/>
  <c r="X36" i="7"/>
  <c r="AA35" i="7"/>
  <c r="Z35" i="7"/>
  <c r="Y35" i="7"/>
  <c r="X35" i="7"/>
  <c r="U35" i="7"/>
  <c r="R35" i="7"/>
  <c r="I35" i="7"/>
  <c r="J35" i="7" s="1"/>
  <c r="AC35" i="7" s="1"/>
  <c r="AA34" i="7"/>
  <c r="Z34" i="7"/>
  <c r="Y34" i="7"/>
  <c r="X34" i="7"/>
  <c r="U34" i="7"/>
  <c r="R34" i="7"/>
  <c r="I34" i="7"/>
  <c r="AB34" i="7" s="1"/>
  <c r="AA33" i="7"/>
  <c r="Z33" i="7"/>
  <c r="Y33" i="7"/>
  <c r="X33" i="7"/>
  <c r="U33" i="7"/>
  <c r="R33" i="7"/>
  <c r="I33" i="7"/>
  <c r="AB33" i="7" s="1"/>
  <c r="AA31" i="7"/>
  <c r="Z31" i="7"/>
  <c r="Y31" i="7"/>
  <c r="X31" i="7"/>
  <c r="U31" i="7"/>
  <c r="R31" i="7"/>
  <c r="I31" i="7"/>
  <c r="AB31" i="7" s="1"/>
  <c r="AA30" i="7"/>
  <c r="Z30" i="7"/>
  <c r="Y30" i="7"/>
  <c r="X30" i="7"/>
  <c r="U30" i="7"/>
  <c r="R30" i="7"/>
  <c r="I30" i="7"/>
  <c r="AB30" i="7" s="1"/>
  <c r="U70" i="7"/>
  <c r="U71" i="7"/>
  <c r="N73" i="7"/>
  <c r="AF73" i="7" s="1"/>
  <c r="N80" i="7"/>
  <c r="AF80" i="7" s="1"/>
  <c r="AA82" i="7"/>
  <c r="Y82" i="7"/>
  <c r="X82" i="7"/>
  <c r="AA81" i="7"/>
  <c r="Y81" i="7"/>
  <c r="X81" i="7"/>
  <c r="R26" i="7"/>
  <c r="U19" i="7"/>
  <c r="U18" i="7"/>
  <c r="N14" i="7"/>
  <c r="AF14" i="7" s="1"/>
  <c r="AF84" i="7" l="1"/>
  <c r="J46" i="7"/>
  <c r="AC46" i="7" s="1"/>
  <c r="J38" i="7"/>
  <c r="AC38" i="7" s="1"/>
  <c r="U47" i="7"/>
  <c r="J42" i="7"/>
  <c r="AC42" i="7" s="1"/>
  <c r="J63" i="7"/>
  <c r="AC63" i="7" s="1"/>
  <c r="AB69" i="7"/>
  <c r="J34" i="7"/>
  <c r="AC34" i="7" s="1"/>
  <c r="J40" i="7"/>
  <c r="AC40" i="7" s="1"/>
  <c r="U48" i="7"/>
  <c r="J55" i="7"/>
  <c r="AC55" i="7" s="1"/>
  <c r="J67" i="7"/>
  <c r="AC67" i="7" s="1"/>
  <c r="J30" i="7"/>
  <c r="AC30" i="7" s="1"/>
  <c r="J44" i="7"/>
  <c r="AC44" i="7" s="1"/>
  <c r="J53" i="7"/>
  <c r="AC53" i="7" s="1"/>
  <c r="J61" i="7"/>
  <c r="AC61" i="7" s="1"/>
  <c r="AB39" i="7"/>
  <c r="AB43" i="7"/>
  <c r="AB51" i="7"/>
  <c r="AB66" i="7"/>
  <c r="J31" i="7"/>
  <c r="AC31" i="7" s="1"/>
  <c r="J33" i="7"/>
  <c r="AC33" i="7" s="1"/>
  <c r="J47" i="7"/>
  <c r="AC47" i="7" s="1"/>
  <c r="J48" i="7"/>
  <c r="AC48" i="7" s="1"/>
  <c r="J57" i="7"/>
  <c r="AC57" i="7" s="1"/>
  <c r="J59" i="7"/>
  <c r="AC59" i="7" s="1"/>
  <c r="J62" i="7"/>
  <c r="AC62" i="7" s="1"/>
  <c r="AB65" i="7"/>
  <c r="AB68" i="7"/>
  <c r="AB35" i="7"/>
  <c r="AB41" i="7"/>
  <c r="AB45" i="7"/>
  <c r="AB64" i="7"/>
  <c r="R47" i="7"/>
  <c r="R48" i="7"/>
  <c r="AD32" i="13"/>
  <c r="AE32" i="13"/>
  <c r="I138" i="13"/>
  <c r="J138" i="13" s="1"/>
  <c r="I128" i="13"/>
  <c r="J128" i="13" s="1"/>
  <c r="I30" i="13"/>
  <c r="J30" i="13" s="1"/>
  <c r="I129" i="12"/>
  <c r="J129" i="12" s="1"/>
  <c r="Z100" i="12"/>
  <c r="I100" i="12"/>
  <c r="J100" i="12" s="1"/>
  <c r="Z30" i="12"/>
  <c r="I30" i="12"/>
  <c r="J30" i="12" s="1"/>
  <c r="I117" i="11"/>
  <c r="J117" i="11"/>
  <c r="I59" i="11"/>
  <c r="J59" i="11" s="1"/>
  <c r="I109" i="10"/>
  <c r="J109" i="10" s="1"/>
  <c r="I28" i="10"/>
  <c r="J28" i="10" s="1"/>
  <c r="I85" i="9"/>
  <c r="J85" i="9" s="1"/>
  <c r="I93" i="9"/>
  <c r="J93" i="9" s="1"/>
  <c r="Z79" i="9"/>
  <c r="I79" i="9"/>
  <c r="J79" i="9" s="1"/>
  <c r="AA51" i="8"/>
  <c r="Y51" i="8"/>
  <c r="X51" i="8"/>
  <c r="X48" i="8"/>
  <c r="Y48" i="8"/>
  <c r="AA48" i="8"/>
  <c r="X49" i="8"/>
  <c r="Y49" i="8"/>
  <c r="AA49" i="8"/>
  <c r="X80" i="8"/>
  <c r="Y80" i="8"/>
  <c r="AA80" i="8"/>
  <c r="X24" i="8"/>
  <c r="Y24" i="8"/>
  <c r="AA24" i="8"/>
  <c r="X35" i="8"/>
  <c r="Y35" i="8"/>
  <c r="AA35" i="8"/>
  <c r="X36" i="8"/>
  <c r="Y36" i="8"/>
  <c r="AA36" i="8"/>
  <c r="X82" i="8"/>
  <c r="Y82" i="8"/>
  <c r="AA82" i="8"/>
  <c r="X83" i="8"/>
  <c r="Y83" i="8"/>
  <c r="AA83" i="8"/>
  <c r="X16" i="8"/>
  <c r="Y16" i="8"/>
  <c r="AA16" i="8"/>
  <c r="I14" i="8" l="1"/>
  <c r="J14" i="8" s="1"/>
  <c r="I76" i="8"/>
  <c r="J76" i="8" s="1"/>
  <c r="AA81" i="8"/>
  <c r="Z81" i="8"/>
  <c r="Y81" i="8"/>
  <c r="X81" i="8"/>
  <c r="U72" i="8"/>
  <c r="U71" i="8"/>
  <c r="U70" i="8"/>
  <c r="AA69" i="8"/>
  <c r="Z69" i="8"/>
  <c r="Y69" i="8"/>
  <c r="X69" i="8"/>
  <c r="X66" i="8"/>
  <c r="Y66" i="8"/>
  <c r="Z66" i="8"/>
  <c r="AA66" i="8"/>
  <c r="X67" i="8"/>
  <c r="Y67" i="8"/>
  <c r="Z67" i="8"/>
  <c r="AA67" i="8"/>
  <c r="X68" i="8"/>
  <c r="Y68" i="8"/>
  <c r="Z68" i="8"/>
  <c r="AA68" i="8"/>
  <c r="U68" i="8"/>
  <c r="U67" i="8"/>
  <c r="U66" i="8"/>
  <c r="U65" i="8"/>
  <c r="U64" i="8"/>
  <c r="U63" i="8"/>
  <c r="U62" i="8"/>
  <c r="U60" i="8"/>
  <c r="U58" i="8"/>
  <c r="AA56" i="8"/>
  <c r="Z56" i="8"/>
  <c r="Y56" i="8"/>
  <c r="X56" i="8"/>
  <c r="U56" i="8"/>
  <c r="AA54" i="8"/>
  <c r="Z54" i="8"/>
  <c r="Y54" i="8"/>
  <c r="X54" i="8"/>
  <c r="U54" i="8"/>
  <c r="U52" i="8"/>
  <c r="U50" i="8"/>
  <c r="U45" i="8"/>
  <c r="U44" i="8"/>
  <c r="U43" i="8"/>
  <c r="U42" i="8"/>
  <c r="U41" i="8"/>
  <c r="U40" i="8"/>
  <c r="U39" i="8"/>
  <c r="U38" i="8"/>
  <c r="U37" i="8"/>
  <c r="U34" i="8"/>
  <c r="U33" i="8"/>
  <c r="U32" i="8"/>
  <c r="U30" i="8"/>
  <c r="U29" i="8"/>
  <c r="U28" i="8"/>
  <c r="AA21" i="8"/>
  <c r="Z21" i="8"/>
  <c r="Y21" i="8"/>
  <c r="X21" i="8"/>
  <c r="AA20" i="8"/>
  <c r="Z20" i="8"/>
  <c r="Y20" i="8"/>
  <c r="X20" i="8"/>
  <c r="U21" i="8"/>
  <c r="U20" i="8"/>
  <c r="U19" i="8"/>
  <c r="R61" i="8"/>
  <c r="R59" i="8"/>
  <c r="R57" i="8"/>
  <c r="R55" i="8"/>
  <c r="R53" i="8"/>
  <c r="R31" i="8"/>
  <c r="R68" i="8"/>
  <c r="R67" i="8"/>
  <c r="I67" i="8"/>
  <c r="J67" i="8" s="1"/>
  <c r="AC67" i="8" s="1"/>
  <c r="I68" i="8"/>
  <c r="J68" i="8" s="1"/>
  <c r="AC68" i="8" s="1"/>
  <c r="R66" i="8"/>
  <c r="I66" i="8"/>
  <c r="AB66" i="8" s="1"/>
  <c r="N81" i="8"/>
  <c r="I81" i="8"/>
  <c r="J81" i="8" s="1"/>
  <c r="AC81" i="8" s="1"/>
  <c r="N15" i="8"/>
  <c r="AF15" i="8" s="1"/>
  <c r="N17" i="8"/>
  <c r="AF17" i="8" s="1"/>
  <c r="R21" i="8"/>
  <c r="I21" i="8"/>
  <c r="J21" i="8" s="1"/>
  <c r="AC21" i="8" s="1"/>
  <c r="R69" i="8"/>
  <c r="R56" i="8"/>
  <c r="I56" i="8"/>
  <c r="J56" i="8" s="1"/>
  <c r="AC56" i="8" s="1"/>
  <c r="R54" i="8"/>
  <c r="I54" i="8"/>
  <c r="J54" i="8" s="1"/>
  <c r="N47" i="8"/>
  <c r="AF47" i="8" s="1"/>
  <c r="N46" i="8"/>
  <c r="R46" i="8" s="1"/>
  <c r="I69" i="8"/>
  <c r="J69" i="8" s="1"/>
  <c r="AC69" i="8" s="1"/>
  <c r="N79" i="8"/>
  <c r="AF79" i="8" s="1"/>
  <c r="R20" i="8"/>
  <c r="I20" i="8"/>
  <c r="J20" i="8" s="1"/>
  <c r="AC20" i="8" s="1"/>
  <c r="X29" i="8"/>
  <c r="Y29" i="8"/>
  <c r="Z29" i="8"/>
  <c r="AA29" i="8"/>
  <c r="X30" i="8"/>
  <c r="Y30" i="8"/>
  <c r="Z30" i="8"/>
  <c r="AA30" i="8"/>
  <c r="X32" i="8"/>
  <c r="Y32" i="8"/>
  <c r="Z32" i="8"/>
  <c r="AA32" i="8"/>
  <c r="X33" i="8"/>
  <c r="Y33" i="8"/>
  <c r="Z33" i="8"/>
  <c r="AA33" i="8"/>
  <c r="X34" i="8"/>
  <c r="Y34" i="8"/>
  <c r="Z34" i="8"/>
  <c r="AA34" i="8"/>
  <c r="X37" i="8"/>
  <c r="Y37" i="8"/>
  <c r="Z37" i="8"/>
  <c r="AA37" i="8"/>
  <c r="X38" i="8"/>
  <c r="Y38" i="8"/>
  <c r="Z38" i="8"/>
  <c r="AA38" i="8"/>
  <c r="X39" i="8"/>
  <c r="Y39" i="8"/>
  <c r="Z39" i="8"/>
  <c r="AA39" i="8"/>
  <c r="X40" i="8"/>
  <c r="Y40" i="8"/>
  <c r="Z40" i="8"/>
  <c r="AA40" i="8"/>
  <c r="X41" i="8"/>
  <c r="Y41" i="8"/>
  <c r="Z41" i="8"/>
  <c r="AA41" i="8"/>
  <c r="X42" i="8"/>
  <c r="Y42" i="8"/>
  <c r="Z42" i="8"/>
  <c r="AA42" i="8"/>
  <c r="X43" i="8"/>
  <c r="Y43" i="8"/>
  <c r="Z43" i="8"/>
  <c r="AA43" i="8"/>
  <c r="X44" i="8"/>
  <c r="Y44" i="8"/>
  <c r="Z44" i="8"/>
  <c r="AA44" i="8"/>
  <c r="X45" i="8"/>
  <c r="Y45" i="8"/>
  <c r="Z45" i="8"/>
  <c r="AA45" i="8"/>
  <c r="X46" i="8"/>
  <c r="Y46" i="8"/>
  <c r="Z46" i="8"/>
  <c r="AA46" i="8"/>
  <c r="X47" i="8"/>
  <c r="Y47" i="8"/>
  <c r="Z47" i="8"/>
  <c r="AA47" i="8"/>
  <c r="X50" i="8"/>
  <c r="Y50" i="8"/>
  <c r="Z50" i="8"/>
  <c r="AA50" i="8"/>
  <c r="X52" i="8"/>
  <c r="Y52" i="8"/>
  <c r="Z52" i="8"/>
  <c r="AA52" i="8"/>
  <c r="X58" i="8"/>
  <c r="Y58" i="8"/>
  <c r="Z58" i="8"/>
  <c r="AA58" i="8"/>
  <c r="X60" i="8"/>
  <c r="Y60" i="8"/>
  <c r="Z60" i="8"/>
  <c r="AA60" i="8"/>
  <c r="X62" i="8"/>
  <c r="Y62" i="8"/>
  <c r="Z62" i="8"/>
  <c r="AA62" i="8"/>
  <c r="X63" i="8"/>
  <c r="Y63" i="8"/>
  <c r="Z63" i="8"/>
  <c r="AA63" i="8"/>
  <c r="X64" i="8"/>
  <c r="Y64" i="8"/>
  <c r="Z64" i="8"/>
  <c r="AA64" i="8"/>
  <c r="X65" i="8"/>
  <c r="Y65" i="8"/>
  <c r="Z65" i="8"/>
  <c r="AA65" i="8"/>
  <c r="R29" i="8"/>
  <c r="R30" i="8"/>
  <c r="R32" i="8"/>
  <c r="R33" i="8"/>
  <c r="R34" i="8"/>
  <c r="R37" i="8"/>
  <c r="R38" i="8"/>
  <c r="R39" i="8"/>
  <c r="R40" i="8"/>
  <c r="R41" i="8"/>
  <c r="R42" i="8"/>
  <c r="R43" i="8"/>
  <c r="R44" i="8"/>
  <c r="R45" i="8"/>
  <c r="R47" i="8"/>
  <c r="R50" i="8"/>
  <c r="R52" i="8"/>
  <c r="R58" i="8"/>
  <c r="R60" i="8"/>
  <c r="R62" i="8"/>
  <c r="R63" i="8"/>
  <c r="R64" i="8"/>
  <c r="R65" i="8"/>
  <c r="I65" i="8"/>
  <c r="J65" i="8" s="1"/>
  <c r="AC65" i="8" s="1"/>
  <c r="I64" i="8"/>
  <c r="J64" i="8" s="1"/>
  <c r="AC64" i="8" s="1"/>
  <c r="I63" i="8"/>
  <c r="J63" i="8" s="1"/>
  <c r="AC63" i="8" s="1"/>
  <c r="I62" i="8"/>
  <c r="J62" i="8" s="1"/>
  <c r="AC62" i="8" s="1"/>
  <c r="I60" i="8"/>
  <c r="J60" i="8" s="1"/>
  <c r="AC60" i="8" s="1"/>
  <c r="I58" i="8"/>
  <c r="J58" i="8" s="1"/>
  <c r="AC58" i="8" s="1"/>
  <c r="I52" i="8"/>
  <c r="J52" i="8" s="1"/>
  <c r="AC52" i="8" s="1"/>
  <c r="I50" i="8"/>
  <c r="J50" i="8" s="1"/>
  <c r="AC50" i="8" s="1"/>
  <c r="I47" i="8"/>
  <c r="J47" i="8" s="1"/>
  <c r="AC47" i="8" s="1"/>
  <c r="I46" i="8"/>
  <c r="J46" i="8" s="1"/>
  <c r="AC46" i="8" s="1"/>
  <c r="I45" i="8"/>
  <c r="J45" i="8" s="1"/>
  <c r="AC45" i="8" s="1"/>
  <c r="I44" i="8"/>
  <c r="J44" i="8" s="1"/>
  <c r="I43" i="8"/>
  <c r="J43" i="8" s="1"/>
  <c r="AC43" i="8" s="1"/>
  <c r="I42" i="8"/>
  <c r="J42" i="8" s="1"/>
  <c r="I41" i="8"/>
  <c r="J41" i="8" s="1"/>
  <c r="AC41" i="8" s="1"/>
  <c r="I40" i="8"/>
  <c r="J40" i="8" s="1"/>
  <c r="AC40" i="8" s="1"/>
  <c r="I39" i="8"/>
  <c r="J39" i="8" s="1"/>
  <c r="AC39" i="8" s="1"/>
  <c r="I38" i="8"/>
  <c r="J38" i="8" s="1"/>
  <c r="AC38" i="8" s="1"/>
  <c r="I37" i="8"/>
  <c r="J37" i="8" s="1"/>
  <c r="AC37" i="8" s="1"/>
  <c r="I34" i="8"/>
  <c r="J34" i="8" s="1"/>
  <c r="AC34" i="8" s="1"/>
  <c r="I33" i="8"/>
  <c r="J33" i="8" s="1"/>
  <c r="AC33" i="8" s="1"/>
  <c r="I32" i="8"/>
  <c r="J32" i="8" s="1"/>
  <c r="AC32" i="8" s="1"/>
  <c r="I30" i="8"/>
  <c r="J30" i="8" s="1"/>
  <c r="AC30" i="8" s="1"/>
  <c r="I29" i="8"/>
  <c r="J29" i="8" s="1"/>
  <c r="AC29" i="8" s="1"/>
  <c r="U47" i="8" l="1"/>
  <c r="U46" i="8"/>
  <c r="AF46" i="8"/>
  <c r="AF88" i="8" s="1"/>
  <c r="R81" i="8"/>
  <c r="AF81" i="8"/>
  <c r="AB54" i="8"/>
  <c r="F122" i="8"/>
  <c r="N113" i="8"/>
  <c r="AC44" i="8"/>
  <c r="AC42" i="8"/>
  <c r="AC54" i="8"/>
  <c r="AB67" i="8"/>
  <c r="U81" i="8"/>
  <c r="AB69" i="8"/>
  <c r="AB20" i="8"/>
  <c r="AB56" i="8"/>
  <c r="AB68" i="8"/>
  <c r="AB81" i="8"/>
  <c r="AB21" i="8"/>
  <c r="J66" i="8"/>
  <c r="AC66" i="8" s="1"/>
  <c r="AB50" i="8"/>
  <c r="AB64" i="8"/>
  <c r="AB34" i="8"/>
  <c r="AB46" i="8"/>
  <c r="AB44" i="8"/>
  <c r="AB42" i="8"/>
  <c r="AB40" i="8"/>
  <c r="AB38" i="8"/>
  <c r="AB32" i="8"/>
  <c r="AB63" i="8"/>
  <c r="AB60" i="8"/>
  <c r="AB58" i="8"/>
  <c r="AB30" i="8"/>
  <c r="AB65" i="8"/>
  <c r="AB52" i="8"/>
  <c r="AB47" i="8"/>
  <c r="AB45" i="8"/>
  <c r="AB43" i="8"/>
  <c r="AB41" i="8"/>
  <c r="AB39" i="8"/>
  <c r="AB37" i="8"/>
  <c r="AB33" i="8"/>
  <c r="AB62" i="8"/>
  <c r="AB29" i="8"/>
  <c r="X136" i="11" l="1"/>
  <c r="X133" i="11"/>
  <c r="X132" i="11"/>
  <c r="X131" i="11"/>
  <c r="X130" i="11"/>
  <c r="X129" i="11"/>
  <c r="X138" i="11" s="1"/>
  <c r="R28" i="9"/>
  <c r="AF28" i="9"/>
  <c r="R12" i="9"/>
  <c r="R13" i="9"/>
  <c r="R14" i="9"/>
  <c r="R15" i="9"/>
  <c r="R16" i="9"/>
  <c r="R17" i="9"/>
  <c r="R18" i="9"/>
  <c r="R19" i="9"/>
  <c r="R20" i="9"/>
  <c r="N41" i="9"/>
  <c r="AF41" i="9" s="1"/>
  <c r="AF38" i="9"/>
  <c r="N36" i="9"/>
  <c r="AF36" i="9" s="1"/>
  <c r="N33" i="9"/>
  <c r="AF33" i="9" s="1"/>
  <c r="N32" i="9"/>
  <c r="AF32" i="9" s="1"/>
  <c r="AF40" i="9"/>
  <c r="AF39" i="9"/>
  <c r="AF37" i="9"/>
  <c r="AF35" i="9"/>
  <c r="AF34" i="9"/>
  <c r="AF31" i="9"/>
  <c r="AF30" i="9"/>
  <c r="AF29" i="9"/>
  <c r="AF27" i="9"/>
  <c r="X38" i="9"/>
  <c r="Y38" i="9"/>
  <c r="Z38" i="9"/>
  <c r="AA38" i="9"/>
  <c r="AA41" i="9"/>
  <c r="Z41" i="9"/>
  <c r="Y41" i="9"/>
  <c r="X41" i="9"/>
  <c r="AA40" i="9"/>
  <c r="Z40" i="9"/>
  <c r="Y40" i="9"/>
  <c r="X40" i="9"/>
  <c r="AA39" i="9"/>
  <c r="Z39" i="9"/>
  <c r="Y39" i="9"/>
  <c r="X39" i="9"/>
  <c r="AA37" i="9"/>
  <c r="Z37" i="9"/>
  <c r="Y37" i="9"/>
  <c r="X37" i="9"/>
  <c r="AA36" i="9"/>
  <c r="Z36" i="9"/>
  <c r="Y36" i="9"/>
  <c r="X36" i="9"/>
  <c r="AA35" i="9"/>
  <c r="Z35" i="9"/>
  <c r="Y35" i="9"/>
  <c r="X35" i="9"/>
  <c r="AA34" i="9"/>
  <c r="Z34" i="9"/>
  <c r="Y34" i="9"/>
  <c r="X34" i="9"/>
  <c r="AA33" i="9"/>
  <c r="Z33" i="9"/>
  <c r="Y33" i="9"/>
  <c r="X33" i="9"/>
  <c r="AA32" i="9"/>
  <c r="Z32" i="9"/>
  <c r="Y32" i="9"/>
  <c r="X32" i="9"/>
  <c r="AA31" i="9"/>
  <c r="Z31" i="9"/>
  <c r="Y31" i="9"/>
  <c r="X31" i="9"/>
  <c r="AA30" i="9"/>
  <c r="Z30" i="9"/>
  <c r="Y30" i="9"/>
  <c r="X30" i="9"/>
  <c r="AA29" i="9"/>
  <c r="Z29" i="9"/>
  <c r="Y29" i="9"/>
  <c r="X29" i="9"/>
  <c r="AA27" i="9"/>
  <c r="Z27" i="9"/>
  <c r="Y27" i="9"/>
  <c r="X27" i="9"/>
  <c r="U40" i="9"/>
  <c r="U39" i="9"/>
  <c r="U37" i="9"/>
  <c r="U35" i="9"/>
  <c r="U34" i="9"/>
  <c r="U31" i="9"/>
  <c r="U30" i="9"/>
  <c r="U29" i="9"/>
  <c r="U27" i="9"/>
  <c r="R27" i="9"/>
  <c r="R29" i="9"/>
  <c r="R30" i="9"/>
  <c r="R31" i="9"/>
  <c r="R34" i="9"/>
  <c r="R35" i="9"/>
  <c r="R37" i="9"/>
  <c r="R38" i="9"/>
  <c r="R39" i="9"/>
  <c r="R40" i="9"/>
  <c r="I27" i="9"/>
  <c r="J27" i="9" s="1"/>
  <c r="AC27" i="9" s="1"/>
  <c r="I29" i="9"/>
  <c r="AB29" i="9" s="1"/>
  <c r="I30" i="9"/>
  <c r="J30" i="9" s="1"/>
  <c r="AC30" i="9" s="1"/>
  <c r="I31" i="9"/>
  <c r="AB31" i="9" s="1"/>
  <c r="I32" i="9"/>
  <c r="J32" i="9" s="1"/>
  <c r="AC32" i="9" s="1"/>
  <c r="I33" i="9"/>
  <c r="J33" i="9" s="1"/>
  <c r="AC33" i="9" s="1"/>
  <c r="I34" i="9"/>
  <c r="J34" i="9" s="1"/>
  <c r="AC34" i="9" s="1"/>
  <c r="I35" i="9"/>
  <c r="J35" i="9" s="1"/>
  <c r="AC35" i="9" s="1"/>
  <c r="I36" i="9"/>
  <c r="J36" i="9" s="1"/>
  <c r="AC36" i="9" s="1"/>
  <c r="I37" i="9"/>
  <c r="AB37" i="9" s="1"/>
  <c r="I38" i="9"/>
  <c r="J38" i="9" s="1"/>
  <c r="AC38" i="9" s="1"/>
  <c r="I39" i="9"/>
  <c r="AB39" i="9" s="1"/>
  <c r="I40" i="9"/>
  <c r="J40" i="9" s="1"/>
  <c r="AC40" i="9" s="1"/>
  <c r="I41" i="9"/>
  <c r="J41" i="9" s="1"/>
  <c r="AC41" i="9" s="1"/>
  <c r="R64" i="9"/>
  <c r="U64" i="9"/>
  <c r="X64" i="9"/>
  <c r="Y64" i="9"/>
  <c r="AF64" i="9"/>
  <c r="I64" i="9"/>
  <c r="AB64" i="9" s="1"/>
  <c r="Z64" i="9"/>
  <c r="AF74" i="9"/>
  <c r="AF73" i="9"/>
  <c r="AF72" i="9"/>
  <c r="AF71" i="9"/>
  <c r="Z74" i="9"/>
  <c r="Y74" i="9"/>
  <c r="X74" i="9"/>
  <c r="Z73" i="9"/>
  <c r="Y73" i="9"/>
  <c r="X73" i="9"/>
  <c r="Z72" i="9"/>
  <c r="Y72" i="9"/>
  <c r="X72" i="9"/>
  <c r="Z71" i="9"/>
  <c r="Y71" i="9"/>
  <c r="X71" i="9"/>
  <c r="R71" i="9"/>
  <c r="R72" i="9"/>
  <c r="R73" i="9"/>
  <c r="R74" i="9"/>
  <c r="I71" i="9"/>
  <c r="AB71" i="9" s="1"/>
  <c r="I72" i="9"/>
  <c r="J72" i="9" s="1"/>
  <c r="AC72" i="9" s="1"/>
  <c r="I73" i="9"/>
  <c r="AB73" i="9" s="1"/>
  <c r="I74" i="9"/>
  <c r="AB74" i="9" s="1"/>
  <c r="AF13" i="9"/>
  <c r="AF15" i="9"/>
  <c r="AF17" i="9"/>
  <c r="AF19" i="9"/>
  <c r="AF21" i="9"/>
  <c r="AF22" i="9"/>
  <c r="AF23" i="9"/>
  <c r="AF24" i="9"/>
  <c r="AF25" i="9"/>
  <c r="AF26" i="9"/>
  <c r="AF42" i="9"/>
  <c r="AF43" i="9"/>
  <c r="AF44" i="9"/>
  <c r="AF45" i="9"/>
  <c r="AF46" i="9"/>
  <c r="AF47" i="9"/>
  <c r="AF48" i="9"/>
  <c r="AF49" i="9"/>
  <c r="AF50" i="9"/>
  <c r="AF51" i="9"/>
  <c r="AF52" i="9"/>
  <c r="AF54" i="9"/>
  <c r="AF56" i="9"/>
  <c r="AF58" i="9"/>
  <c r="AF59" i="9"/>
  <c r="AF62" i="9"/>
  <c r="AF63" i="9"/>
  <c r="AF65" i="9"/>
  <c r="AF66" i="9"/>
  <c r="AF67" i="9"/>
  <c r="AF69" i="9"/>
  <c r="AF70" i="9"/>
  <c r="AF76" i="9"/>
  <c r="AF77" i="9"/>
  <c r="AF82" i="9"/>
  <c r="AF83" i="9"/>
  <c r="AF86" i="9"/>
  <c r="AF88" i="9"/>
  <c r="AF89" i="9"/>
  <c r="AF90" i="9"/>
  <c r="AF91" i="9"/>
  <c r="AF94" i="9"/>
  <c r="AF11" i="9"/>
  <c r="Z52" i="9"/>
  <c r="Y52" i="9"/>
  <c r="X52" i="9"/>
  <c r="Z51" i="9"/>
  <c r="Y51" i="9"/>
  <c r="X51" i="9"/>
  <c r="Z50" i="9"/>
  <c r="Y50" i="9"/>
  <c r="X50" i="9"/>
  <c r="Z49" i="9"/>
  <c r="Y49" i="9"/>
  <c r="X49" i="9"/>
  <c r="Z48" i="9"/>
  <c r="Y48" i="9"/>
  <c r="X48" i="9"/>
  <c r="Z47" i="9"/>
  <c r="Y47" i="9"/>
  <c r="X47" i="9"/>
  <c r="Z46" i="9"/>
  <c r="Y46" i="9"/>
  <c r="X46" i="9"/>
  <c r="U52" i="9"/>
  <c r="U51" i="9"/>
  <c r="U50" i="9"/>
  <c r="U49" i="9"/>
  <c r="U48" i="9"/>
  <c r="U47" i="9"/>
  <c r="U46" i="9"/>
  <c r="R46" i="9"/>
  <c r="R47" i="9"/>
  <c r="R48" i="9"/>
  <c r="R49" i="9"/>
  <c r="R50" i="9"/>
  <c r="R51" i="9"/>
  <c r="R52" i="9"/>
  <c r="I46" i="9"/>
  <c r="AB46" i="9" s="1"/>
  <c r="I47" i="9"/>
  <c r="AB47" i="9" s="1"/>
  <c r="I48" i="9"/>
  <c r="AB48" i="9" s="1"/>
  <c r="I49" i="9"/>
  <c r="J49" i="9" s="1"/>
  <c r="AC49" i="9" s="1"/>
  <c r="I50" i="9"/>
  <c r="AB50" i="9" s="1"/>
  <c r="I51" i="9"/>
  <c r="AB51" i="9" s="1"/>
  <c r="I52" i="9"/>
  <c r="AB52" i="9" s="1"/>
  <c r="U36" i="9" l="1"/>
  <c r="M105" i="9"/>
  <c r="M122" i="9"/>
  <c r="J31" i="9"/>
  <c r="AC31" i="9" s="1"/>
  <c r="R32" i="9"/>
  <c r="U41" i="9"/>
  <c r="R41" i="9"/>
  <c r="U32" i="9"/>
  <c r="J50" i="9"/>
  <c r="AC50" i="9" s="1"/>
  <c r="J74" i="9"/>
  <c r="AC74" i="9" s="1"/>
  <c r="J64" i="9"/>
  <c r="AC64" i="9" s="1"/>
  <c r="R36" i="9"/>
  <c r="AB35" i="9"/>
  <c r="J73" i="9"/>
  <c r="AC73" i="9" s="1"/>
  <c r="AB38" i="9"/>
  <c r="AB41" i="9"/>
  <c r="AB40" i="9"/>
  <c r="J39" i="9"/>
  <c r="AC39" i="9" s="1"/>
  <c r="J37" i="9"/>
  <c r="AC37" i="9" s="1"/>
  <c r="AB36" i="9"/>
  <c r="AB34" i="9"/>
  <c r="U33" i="9"/>
  <c r="R33" i="9"/>
  <c r="AB33" i="9"/>
  <c r="AB32" i="9"/>
  <c r="AB30" i="9"/>
  <c r="J29" i="9"/>
  <c r="AC29" i="9" s="1"/>
  <c r="AB27" i="9"/>
  <c r="J46" i="9"/>
  <c r="AC46" i="9" s="1"/>
  <c r="AB72" i="9"/>
  <c r="J71" i="9"/>
  <c r="J47" i="9"/>
  <c r="AC47" i="9" s="1"/>
  <c r="AB49" i="9"/>
  <c r="J51" i="9"/>
  <c r="AC51" i="9" s="1"/>
  <c r="J52" i="9"/>
  <c r="AC52" i="9" s="1"/>
  <c r="J48" i="9"/>
  <c r="AC48" i="9" s="1"/>
  <c r="X23" i="9"/>
  <c r="Y23" i="9"/>
  <c r="Z23" i="9"/>
  <c r="R23" i="9"/>
  <c r="U23" i="9"/>
  <c r="I23" i="9"/>
  <c r="AB23" i="9" s="1"/>
  <c r="X17" i="9"/>
  <c r="Y17" i="9"/>
  <c r="Z17" i="9"/>
  <c r="AA17" i="9"/>
  <c r="U17" i="9"/>
  <c r="X21" i="9"/>
  <c r="Y21" i="9"/>
  <c r="X22" i="9"/>
  <c r="Y22" i="9"/>
  <c r="R22" i="9"/>
  <c r="Z22" i="9"/>
  <c r="U22" i="9"/>
  <c r="I22" i="9"/>
  <c r="J22" i="9" s="1"/>
  <c r="AC22" i="9" s="1"/>
  <c r="R21" i="9"/>
  <c r="U21" i="9"/>
  <c r="I21" i="9"/>
  <c r="J21" i="9" s="1"/>
  <c r="Z21" i="9"/>
  <c r="AA19" i="9"/>
  <c r="Z19" i="9"/>
  <c r="Y19" i="9"/>
  <c r="X19" i="9"/>
  <c r="U19" i="9"/>
  <c r="I17" i="9"/>
  <c r="J17" i="9" s="1"/>
  <c r="AC17" i="9" s="1"/>
  <c r="I19" i="9"/>
  <c r="J19" i="9" s="1"/>
  <c r="AC19" i="9" s="1"/>
  <c r="Z68" i="9"/>
  <c r="Y68" i="9"/>
  <c r="X68" i="9"/>
  <c r="Y70" i="9"/>
  <c r="X70" i="9"/>
  <c r="Y69" i="9"/>
  <c r="X69" i="9"/>
  <c r="N68" i="9"/>
  <c r="I68" i="9"/>
  <c r="AB68" i="9" s="1"/>
  <c r="X67" i="9"/>
  <c r="Y67" i="9"/>
  <c r="Y66" i="9"/>
  <c r="X66" i="9"/>
  <c r="X65" i="9"/>
  <c r="Y65" i="9"/>
  <c r="U65" i="9"/>
  <c r="R65" i="9"/>
  <c r="Z65" i="9"/>
  <c r="I65" i="9"/>
  <c r="J65" i="9" s="1"/>
  <c r="AC65" i="9" s="1"/>
  <c r="Z63" i="9"/>
  <c r="Y63" i="9"/>
  <c r="X63" i="9"/>
  <c r="U63" i="9"/>
  <c r="R63" i="9"/>
  <c r="Y62" i="9"/>
  <c r="X62" i="9"/>
  <c r="X61" i="9"/>
  <c r="Y61" i="9"/>
  <c r="Z61" i="9"/>
  <c r="I63" i="9"/>
  <c r="J63" i="9" s="1"/>
  <c r="AC63" i="9" s="1"/>
  <c r="N61" i="9"/>
  <c r="I61" i="9"/>
  <c r="J61" i="9" s="1"/>
  <c r="AC61" i="9" s="1"/>
  <c r="N60" i="9"/>
  <c r="AF60" i="9" s="1"/>
  <c r="Z60" i="9"/>
  <c r="Y60" i="9"/>
  <c r="X60" i="9"/>
  <c r="R60" i="9"/>
  <c r="I60" i="9"/>
  <c r="AB60" i="9" s="1"/>
  <c r="X59" i="9"/>
  <c r="Y59" i="9"/>
  <c r="X58" i="9"/>
  <c r="Y58" i="9"/>
  <c r="Z57" i="9"/>
  <c r="Y57" i="9"/>
  <c r="X57" i="9"/>
  <c r="N57" i="9"/>
  <c r="I57" i="9"/>
  <c r="AB57" i="9" s="1"/>
  <c r="Y56" i="9"/>
  <c r="X56" i="9"/>
  <c r="X55" i="9"/>
  <c r="Z55" i="9"/>
  <c r="Y55" i="9"/>
  <c r="N55" i="9"/>
  <c r="AF55" i="9" s="1"/>
  <c r="I55" i="9"/>
  <c r="AB55" i="9" s="1"/>
  <c r="AA54" i="9"/>
  <c r="Y54" i="9"/>
  <c r="X54" i="9"/>
  <c r="N53" i="9"/>
  <c r="I53" i="9"/>
  <c r="J53" i="9" s="1"/>
  <c r="AC53" i="9" s="1"/>
  <c r="X53" i="9"/>
  <c r="Y53" i="9"/>
  <c r="Z53" i="9"/>
  <c r="X88" i="9"/>
  <c r="Y88" i="9"/>
  <c r="AA88" i="9"/>
  <c r="X90" i="9"/>
  <c r="Y90" i="9"/>
  <c r="N87" i="9"/>
  <c r="AF87" i="9" s="1"/>
  <c r="X44" i="9"/>
  <c r="Y44" i="9"/>
  <c r="Z44" i="9"/>
  <c r="X45" i="9"/>
  <c r="Y45" i="9"/>
  <c r="Z45" i="9"/>
  <c r="U44" i="9"/>
  <c r="U45" i="9"/>
  <c r="R44" i="9"/>
  <c r="R45" i="9"/>
  <c r="I44" i="9"/>
  <c r="J44" i="9" s="1"/>
  <c r="AC44" i="9" s="1"/>
  <c r="I45" i="9"/>
  <c r="AB45" i="9" s="1"/>
  <c r="X43" i="9"/>
  <c r="Y43" i="9"/>
  <c r="U43" i="9"/>
  <c r="I43" i="9"/>
  <c r="AB43" i="9" s="1"/>
  <c r="Z43" i="9"/>
  <c r="X42" i="9"/>
  <c r="Y42" i="9"/>
  <c r="U42" i="9"/>
  <c r="R42" i="9"/>
  <c r="R43" i="9"/>
  <c r="I42" i="9"/>
  <c r="AB42" i="9" s="1"/>
  <c r="Z42" i="9"/>
  <c r="AA26" i="9"/>
  <c r="Z26" i="9"/>
  <c r="Y26" i="9"/>
  <c r="X26" i="9"/>
  <c r="AA25" i="9"/>
  <c r="Z25" i="9"/>
  <c r="Y25" i="9"/>
  <c r="X25" i="9"/>
  <c r="AA24" i="9"/>
  <c r="Z24" i="9"/>
  <c r="Y24" i="9"/>
  <c r="X24" i="9"/>
  <c r="U24" i="9"/>
  <c r="U25" i="9"/>
  <c r="U26" i="9"/>
  <c r="R24" i="9"/>
  <c r="R25" i="9"/>
  <c r="R26" i="9"/>
  <c r="I24" i="9"/>
  <c r="J24" i="9" s="1"/>
  <c r="I25" i="9"/>
  <c r="J25" i="9" s="1"/>
  <c r="AC25" i="9" s="1"/>
  <c r="I26" i="9"/>
  <c r="J26" i="9" s="1"/>
  <c r="AC26" i="9" s="1"/>
  <c r="X15" i="9"/>
  <c r="Y15" i="9"/>
  <c r="Z15" i="9"/>
  <c r="AA15" i="9"/>
  <c r="U15" i="9"/>
  <c r="I15" i="9"/>
  <c r="J15" i="9" s="1"/>
  <c r="AC15" i="9" s="1"/>
  <c r="X11" i="9"/>
  <c r="Y11" i="9"/>
  <c r="Z11" i="9"/>
  <c r="AA11" i="9"/>
  <c r="X13" i="9"/>
  <c r="Y13" i="9"/>
  <c r="Z13" i="9"/>
  <c r="AA13" i="9"/>
  <c r="U11" i="9"/>
  <c r="U13" i="9"/>
  <c r="R11" i="9"/>
  <c r="I11" i="9"/>
  <c r="J11" i="9" s="1"/>
  <c r="I13" i="9"/>
  <c r="AB13" i="9" s="1"/>
  <c r="AA78" i="9"/>
  <c r="Z78" i="9"/>
  <c r="Y78" i="9"/>
  <c r="X78" i="9"/>
  <c r="U78" i="9"/>
  <c r="R78" i="9"/>
  <c r="I78" i="9"/>
  <c r="J78" i="9" s="1"/>
  <c r="R75" i="9"/>
  <c r="M103" i="9" l="1"/>
  <c r="AC78" i="9"/>
  <c r="AC24" i="9"/>
  <c r="AC71" i="9"/>
  <c r="AC21" i="9"/>
  <c r="F127" i="9"/>
  <c r="AC11" i="9"/>
  <c r="J68" i="9"/>
  <c r="U60" i="9"/>
  <c r="R53" i="9"/>
  <c r="AF53" i="9"/>
  <c r="R57" i="9"/>
  <c r="AF57" i="9"/>
  <c r="R61" i="9"/>
  <c r="AF61" i="9"/>
  <c r="U68" i="9"/>
  <c r="AF68" i="9"/>
  <c r="U53" i="9"/>
  <c r="AC68" i="9"/>
  <c r="J23" i="9"/>
  <c r="AC23" i="9" s="1"/>
  <c r="J55" i="9"/>
  <c r="AC55" i="9" s="1"/>
  <c r="J60" i="9"/>
  <c r="AC60" i="9" s="1"/>
  <c r="J43" i="9"/>
  <c r="AC43" i="9" s="1"/>
  <c r="AB63" i="9"/>
  <c r="R68" i="9"/>
  <c r="AB19" i="9"/>
  <c r="AB21" i="9"/>
  <c r="AB17" i="9"/>
  <c r="U61" i="9"/>
  <c r="AB61" i="9"/>
  <c r="AB44" i="9"/>
  <c r="U57" i="9"/>
  <c r="AB65" i="9"/>
  <c r="AB22" i="9"/>
  <c r="R55" i="9"/>
  <c r="J57" i="9"/>
  <c r="AC57" i="9" s="1"/>
  <c r="U55" i="9"/>
  <c r="AB53" i="9"/>
  <c r="J42" i="9"/>
  <c r="AC42" i="9" s="1"/>
  <c r="J45" i="9"/>
  <c r="AC45" i="9" s="1"/>
  <c r="J13" i="9"/>
  <c r="AC13" i="9" s="1"/>
  <c r="AB78" i="9"/>
  <c r="AB26" i="9"/>
  <c r="AB25" i="9"/>
  <c r="AB24" i="9"/>
  <c r="AB15" i="9"/>
  <c r="AB11" i="9"/>
  <c r="AE107" i="13"/>
  <c r="AC107" i="13"/>
  <c r="AB107" i="13"/>
  <c r="AE131" i="13"/>
  <c r="AC131" i="13"/>
  <c r="AB131" i="13"/>
  <c r="AB70" i="13"/>
  <c r="AC70" i="13"/>
  <c r="AE70" i="13"/>
  <c r="AF42" i="12"/>
  <c r="X16" i="12"/>
  <c r="Y16" i="12"/>
  <c r="Z16" i="12"/>
  <c r="N16" i="12"/>
  <c r="R16" i="12" s="1"/>
  <c r="I16" i="12"/>
  <c r="J16" i="12" s="1"/>
  <c r="AC16" i="12" s="1"/>
  <c r="Y111" i="12"/>
  <c r="X111" i="12"/>
  <c r="Y38" i="12"/>
  <c r="X38" i="12"/>
  <c r="Y123" i="12"/>
  <c r="X123" i="12"/>
  <c r="Y121" i="12"/>
  <c r="X121" i="12"/>
  <c r="Y120" i="12"/>
  <c r="X120" i="12"/>
  <c r="Y118" i="12"/>
  <c r="X118" i="12"/>
  <c r="Y117" i="12"/>
  <c r="X117" i="12"/>
  <c r="Y114" i="12"/>
  <c r="X114" i="12"/>
  <c r="Y113" i="12"/>
  <c r="X113" i="12"/>
  <c r="Y109" i="12"/>
  <c r="X109" i="12"/>
  <c r="Y108" i="12"/>
  <c r="X108" i="12"/>
  <c r="Y104" i="12"/>
  <c r="X104" i="12"/>
  <c r="Y91" i="12"/>
  <c r="X91" i="12"/>
  <c r="Y67" i="12"/>
  <c r="X67" i="12"/>
  <c r="Y54" i="12"/>
  <c r="X54" i="12"/>
  <c r="Y37" i="12"/>
  <c r="X37" i="12"/>
  <c r="X13" i="12"/>
  <c r="Y13" i="12"/>
  <c r="AA123" i="11"/>
  <c r="AA122" i="11"/>
  <c r="AA120" i="11"/>
  <c r="AA119" i="11"/>
  <c r="AA110" i="11"/>
  <c r="AA109" i="11"/>
  <c r="AA98" i="11"/>
  <c r="AA96" i="11"/>
  <c r="AA94" i="11"/>
  <c r="AA93" i="11"/>
  <c r="AA91" i="11"/>
  <c r="AA35" i="11"/>
  <c r="AA34" i="11"/>
  <c r="AA30" i="11"/>
  <c r="AA31" i="11"/>
  <c r="I92" i="11"/>
  <c r="J92" i="11" s="1"/>
  <c r="I95" i="11"/>
  <c r="J95" i="11" s="1"/>
  <c r="I97" i="11"/>
  <c r="J97" i="11" s="1"/>
  <c r="Y97" i="10"/>
  <c r="X97" i="10"/>
  <c r="Y92" i="10"/>
  <c r="X92" i="10"/>
  <c r="Y74" i="10"/>
  <c r="X74" i="10"/>
  <c r="Y73" i="10"/>
  <c r="X73" i="10"/>
  <c r="X71" i="10"/>
  <c r="Y71" i="10"/>
  <c r="Y70" i="10"/>
  <c r="X70" i="10"/>
  <c r="Y89" i="10"/>
  <c r="X89" i="10"/>
  <c r="Y112" i="10"/>
  <c r="X112" i="10"/>
  <c r="Y111" i="10"/>
  <c r="X111" i="10"/>
  <c r="Y66" i="10"/>
  <c r="X66" i="10"/>
  <c r="X68" i="10"/>
  <c r="Y68" i="10"/>
  <c r="Y63" i="10"/>
  <c r="X63" i="10"/>
  <c r="Y49" i="10"/>
  <c r="X49" i="10"/>
  <c r="Y46" i="10"/>
  <c r="X46" i="10"/>
  <c r="Y45" i="10"/>
  <c r="X45" i="10"/>
  <c r="Y42" i="10"/>
  <c r="X42" i="10"/>
  <c r="Y40" i="10"/>
  <c r="X40" i="10"/>
  <c r="Y39" i="10"/>
  <c r="X39" i="10"/>
  <c r="X35" i="10"/>
  <c r="Y35" i="10"/>
  <c r="X21" i="10"/>
  <c r="Y21" i="10"/>
  <c r="AA21" i="10"/>
  <c r="X22" i="10"/>
  <c r="Y22" i="10"/>
  <c r="AA22" i="10"/>
  <c r="X56" i="10"/>
  <c r="Y56" i="10"/>
  <c r="R56" i="10"/>
  <c r="U56" i="10"/>
  <c r="I56" i="10"/>
  <c r="J56" i="10" s="1"/>
  <c r="AC56" i="10" s="1"/>
  <c r="Z56" i="10"/>
  <c r="X67" i="10"/>
  <c r="Y67" i="10"/>
  <c r="N67" i="10"/>
  <c r="Z67" i="10"/>
  <c r="X65" i="10"/>
  <c r="Y65" i="10"/>
  <c r="N65" i="10"/>
  <c r="Z65" i="10"/>
  <c r="N64" i="10"/>
  <c r="N62" i="10"/>
  <c r="AF62" i="10" s="1"/>
  <c r="U61" i="10"/>
  <c r="U60" i="10"/>
  <c r="U59" i="10"/>
  <c r="U58" i="10"/>
  <c r="I58" i="10"/>
  <c r="J58" i="10" s="1"/>
  <c r="AC58" i="10" s="1"/>
  <c r="U57" i="10"/>
  <c r="U54" i="10"/>
  <c r="U52" i="10"/>
  <c r="I65" i="10"/>
  <c r="J65" i="10" s="1"/>
  <c r="AC65" i="10" s="1"/>
  <c r="I67" i="10"/>
  <c r="J67" i="10" s="1"/>
  <c r="AC67" i="10" s="1"/>
  <c r="X47" i="10"/>
  <c r="Y47" i="10"/>
  <c r="N47" i="10"/>
  <c r="R47" i="10" s="1"/>
  <c r="I47" i="10"/>
  <c r="AB47" i="10" s="1"/>
  <c r="Z47" i="10"/>
  <c r="N50" i="10"/>
  <c r="N48" i="10"/>
  <c r="AF48" i="10" s="1"/>
  <c r="N44" i="10"/>
  <c r="AF44" i="10" s="1"/>
  <c r="N43" i="10"/>
  <c r="AF43" i="10" s="1"/>
  <c r="N41" i="10"/>
  <c r="X52" i="10"/>
  <c r="Y52" i="10"/>
  <c r="X53" i="10"/>
  <c r="Y53" i="10"/>
  <c r="X54" i="10"/>
  <c r="Y54" i="10"/>
  <c r="X55" i="10"/>
  <c r="Y55" i="10"/>
  <c r="X57" i="10"/>
  <c r="Y57" i="10"/>
  <c r="X58" i="10"/>
  <c r="Y58" i="10"/>
  <c r="X59" i="10"/>
  <c r="Y59" i="10"/>
  <c r="X60" i="10"/>
  <c r="Y60" i="10"/>
  <c r="X61" i="10"/>
  <c r="Y61" i="10"/>
  <c r="X62" i="10"/>
  <c r="Y62" i="10"/>
  <c r="X64" i="10"/>
  <c r="Y64" i="10"/>
  <c r="Z41" i="10"/>
  <c r="Z43" i="10"/>
  <c r="Z44" i="10"/>
  <c r="Z48" i="10"/>
  <c r="Z50" i="10"/>
  <c r="Z51" i="10"/>
  <c r="Z52" i="10"/>
  <c r="Z53" i="10"/>
  <c r="Z54" i="10"/>
  <c r="Z55" i="10"/>
  <c r="Z57" i="10"/>
  <c r="Z58" i="10"/>
  <c r="Z59" i="10"/>
  <c r="Z60" i="10"/>
  <c r="Z61" i="10"/>
  <c r="Z62" i="10"/>
  <c r="Z64" i="10"/>
  <c r="X38" i="10"/>
  <c r="Y38" i="10"/>
  <c r="X41" i="10"/>
  <c r="Y41" i="10"/>
  <c r="X43" i="10"/>
  <c r="Y43" i="10"/>
  <c r="X44" i="10"/>
  <c r="Y44" i="10"/>
  <c r="X48" i="10"/>
  <c r="Y48" i="10"/>
  <c r="X50" i="10"/>
  <c r="Y50" i="10"/>
  <c r="N38" i="10"/>
  <c r="Z38" i="10"/>
  <c r="AA37" i="10"/>
  <c r="Y37" i="10"/>
  <c r="X37" i="10"/>
  <c r="N37" i="10"/>
  <c r="AF37" i="10" s="1"/>
  <c r="Z37" i="10"/>
  <c r="AA36" i="10"/>
  <c r="Y36" i="10"/>
  <c r="X36" i="10"/>
  <c r="N36" i="10"/>
  <c r="Z36" i="10"/>
  <c r="N34" i="10"/>
  <c r="AF34" i="10" s="1"/>
  <c r="N33" i="10"/>
  <c r="X32" i="10"/>
  <c r="Y32" i="10"/>
  <c r="Z32" i="10"/>
  <c r="AA32" i="10"/>
  <c r="X33" i="10"/>
  <c r="Y33" i="10"/>
  <c r="Z33" i="10"/>
  <c r="AA33" i="10"/>
  <c r="N32" i="10"/>
  <c r="R58" i="10"/>
  <c r="I33" i="10"/>
  <c r="AB33" i="10" s="1"/>
  <c r="I32" i="10"/>
  <c r="J32" i="10" s="1"/>
  <c r="AC32" i="10" s="1"/>
  <c r="R48" i="10"/>
  <c r="R51" i="10"/>
  <c r="R52" i="10"/>
  <c r="R53" i="10"/>
  <c r="R54" i="10"/>
  <c r="R55" i="10"/>
  <c r="R57" i="10"/>
  <c r="R59" i="10"/>
  <c r="R60" i="10"/>
  <c r="R61" i="10"/>
  <c r="I36" i="10"/>
  <c r="J36" i="10" s="1"/>
  <c r="AC36" i="10" s="1"/>
  <c r="I37" i="10"/>
  <c r="AB37" i="10" s="1"/>
  <c r="I38" i="10"/>
  <c r="J38" i="10" s="1"/>
  <c r="AC38" i="10" s="1"/>
  <c r="I41" i="10"/>
  <c r="J41" i="10" s="1"/>
  <c r="AC41" i="10" s="1"/>
  <c r="I43" i="10"/>
  <c r="J43" i="10" s="1"/>
  <c r="AC43" i="10" s="1"/>
  <c r="I44" i="10"/>
  <c r="AB44" i="10" s="1"/>
  <c r="I48" i="10"/>
  <c r="J48" i="10" s="1"/>
  <c r="AC48" i="10" s="1"/>
  <c r="I50" i="10"/>
  <c r="J50" i="10" s="1"/>
  <c r="AC50" i="10" s="1"/>
  <c r="I51" i="10"/>
  <c r="J51" i="10" s="1"/>
  <c r="AC51" i="10" s="1"/>
  <c r="I52" i="10"/>
  <c r="J52" i="10" s="1"/>
  <c r="AC52" i="10" s="1"/>
  <c r="I53" i="10"/>
  <c r="J53" i="10" s="1"/>
  <c r="AC53" i="10" s="1"/>
  <c r="I54" i="10"/>
  <c r="J54" i="10" s="1"/>
  <c r="AC54" i="10" s="1"/>
  <c r="I55" i="10"/>
  <c r="J55" i="10" s="1"/>
  <c r="I57" i="10"/>
  <c r="J57" i="10" s="1"/>
  <c r="AC57" i="10" s="1"/>
  <c r="I59" i="10"/>
  <c r="J59" i="10" s="1"/>
  <c r="AC59" i="10" s="1"/>
  <c r="I60" i="10"/>
  <c r="J60" i="10" s="1"/>
  <c r="AC60" i="10" s="1"/>
  <c r="I61" i="10"/>
  <c r="J61" i="10" s="1"/>
  <c r="AC61" i="10" s="1"/>
  <c r="I62" i="10"/>
  <c r="J62" i="10" s="1"/>
  <c r="AC62" i="10" s="1"/>
  <c r="I64" i="10"/>
  <c r="J64" i="10" s="1"/>
  <c r="AC64" i="10" s="1"/>
  <c r="U106" i="10"/>
  <c r="U105" i="10"/>
  <c r="N14" i="10"/>
  <c r="X14" i="10"/>
  <c r="Y14" i="10"/>
  <c r="Z14" i="10"/>
  <c r="AA14" i="10"/>
  <c r="I14" i="10"/>
  <c r="AB14" i="10" s="1"/>
  <c r="N100" i="10"/>
  <c r="AF100" i="10" s="1"/>
  <c r="U99" i="10"/>
  <c r="U98" i="10"/>
  <c r="U96" i="10"/>
  <c r="U91" i="10"/>
  <c r="U88" i="10"/>
  <c r="U86" i="10"/>
  <c r="U85" i="10"/>
  <c r="U84" i="10"/>
  <c r="N80" i="10"/>
  <c r="AF80" i="10" s="1"/>
  <c r="U78" i="10"/>
  <c r="U77" i="10"/>
  <c r="U76" i="10"/>
  <c r="N72" i="10"/>
  <c r="AF72" i="10" s="1"/>
  <c r="U24" i="10"/>
  <c r="N20" i="10"/>
  <c r="AF20" i="10" s="1"/>
  <c r="U17" i="10"/>
  <c r="U16" i="10"/>
  <c r="N13" i="10"/>
  <c r="AF13" i="10" s="1"/>
  <c r="N12" i="10"/>
  <c r="AF12" i="10" s="1"/>
  <c r="U16" i="12" l="1"/>
  <c r="U48" i="10"/>
  <c r="R44" i="10"/>
  <c r="U44" i="10"/>
  <c r="U37" i="10"/>
  <c r="U62" i="10"/>
  <c r="R62" i="10"/>
  <c r="R37" i="10"/>
  <c r="J37" i="10"/>
  <c r="AC37" i="10" s="1"/>
  <c r="U50" i="10"/>
  <c r="AF50" i="10"/>
  <c r="U14" i="10"/>
  <c r="AF14" i="10"/>
  <c r="J44" i="10"/>
  <c r="AC44" i="10" s="1"/>
  <c r="U32" i="10"/>
  <c r="AF32" i="10"/>
  <c r="AB50" i="10"/>
  <c r="U65" i="10"/>
  <c r="AF65" i="10"/>
  <c r="U67" i="10"/>
  <c r="AF67" i="10"/>
  <c r="U33" i="10"/>
  <c r="AF33" i="10"/>
  <c r="R36" i="10"/>
  <c r="AF36" i="10"/>
  <c r="AB36" i="10"/>
  <c r="AB41" i="10"/>
  <c r="U41" i="10"/>
  <c r="AF41" i="10"/>
  <c r="AB16" i="12"/>
  <c r="AF16" i="12"/>
  <c r="R38" i="10"/>
  <c r="AF38" i="10"/>
  <c r="R33" i="10"/>
  <c r="U36" i="10"/>
  <c r="U47" i="10"/>
  <c r="AF47" i="10"/>
  <c r="U64" i="10"/>
  <c r="AF64" i="10"/>
  <c r="AF97" i="9"/>
  <c r="AI104" i="9" s="1"/>
  <c r="R32" i="10"/>
  <c r="R41" i="10"/>
  <c r="U38" i="10"/>
  <c r="J47" i="10"/>
  <c r="AC47" i="10" s="1"/>
  <c r="R67" i="10"/>
  <c r="AB56" i="10"/>
  <c r="AB62" i="10"/>
  <c r="R50" i="10"/>
  <c r="AB54" i="10"/>
  <c r="AB38" i="10"/>
  <c r="AB61" i="10"/>
  <c r="AB65" i="10"/>
  <c r="AB32" i="10"/>
  <c r="AB58" i="10"/>
  <c r="AB67" i="10"/>
  <c r="R65" i="10"/>
  <c r="R64" i="10"/>
  <c r="AB64" i="10"/>
  <c r="AB60" i="10"/>
  <c r="AB59" i="10"/>
  <c r="AB57" i="10"/>
  <c r="AB53" i="10"/>
  <c r="AB52" i="10"/>
  <c r="AB51" i="10"/>
  <c r="AB48" i="10"/>
  <c r="U43" i="10"/>
  <c r="R43" i="10"/>
  <c r="AB43" i="10"/>
  <c r="J33" i="10"/>
  <c r="AC33" i="10" s="1"/>
  <c r="R14" i="10"/>
  <c r="J14" i="10"/>
  <c r="AC14" i="10" s="1"/>
  <c r="U55" i="10"/>
  <c r="U53" i="10"/>
  <c r="U51" i="10"/>
  <c r="U34" i="10"/>
  <c r="U31" i="10"/>
  <c r="U30" i="10"/>
  <c r="U29" i="10"/>
  <c r="AA55" i="10"/>
  <c r="AA53" i="10"/>
  <c r="AA51" i="10"/>
  <c r="Y51" i="10"/>
  <c r="X51" i="10"/>
  <c r="AA34" i="10"/>
  <c r="Z34" i="10"/>
  <c r="Y34" i="10"/>
  <c r="X34" i="10"/>
  <c r="AA31" i="10"/>
  <c r="Z31" i="10"/>
  <c r="Y31" i="10"/>
  <c r="X31" i="10"/>
  <c r="AA30" i="10"/>
  <c r="Z30" i="10"/>
  <c r="Y30" i="10"/>
  <c r="X30" i="10"/>
  <c r="AA29" i="10"/>
  <c r="Z29" i="10"/>
  <c r="Y29" i="10"/>
  <c r="X29" i="10"/>
  <c r="R34" i="10"/>
  <c r="R31" i="10"/>
  <c r="R30" i="10"/>
  <c r="R29" i="10"/>
  <c r="AC55" i="10"/>
  <c r="I34" i="10"/>
  <c r="J34" i="10" s="1"/>
  <c r="I31" i="10"/>
  <c r="J31" i="10" s="1"/>
  <c r="AC31" i="10" s="1"/>
  <c r="I30" i="10"/>
  <c r="J30" i="10" s="1"/>
  <c r="AC30" i="10" s="1"/>
  <c r="I29" i="10"/>
  <c r="J29" i="10" s="1"/>
  <c r="AF113" i="10" l="1"/>
  <c r="AI118" i="10" s="1"/>
  <c r="AC34" i="10"/>
  <c r="AC29" i="10"/>
  <c r="AB31" i="10"/>
  <c r="AB55" i="10"/>
  <c r="AB30" i="10"/>
  <c r="AB34" i="10"/>
  <c r="AB29" i="10"/>
  <c r="N53" i="11" l="1"/>
  <c r="AF53" i="11" s="1"/>
  <c r="Z53" i="11"/>
  <c r="AA53" i="11"/>
  <c r="U53" i="11"/>
  <c r="R53" i="11"/>
  <c r="I53" i="11"/>
  <c r="J53" i="11" s="1"/>
  <c r="AC53" i="11" s="1"/>
  <c r="AA42" i="11"/>
  <c r="AA43" i="11"/>
  <c r="AA44" i="11"/>
  <c r="AA45" i="11"/>
  <c r="AA46" i="11"/>
  <c r="AA47" i="11"/>
  <c r="AA48" i="11"/>
  <c r="AA49" i="11"/>
  <c r="AA50" i="11"/>
  <c r="AA51" i="11"/>
  <c r="AA52" i="11"/>
  <c r="N52" i="11"/>
  <c r="AF52" i="11" s="1"/>
  <c r="N51" i="11"/>
  <c r="Z52" i="11"/>
  <c r="Z51" i="11"/>
  <c r="Z50" i="11"/>
  <c r="Z49" i="11"/>
  <c r="Z48" i="11"/>
  <c r="Z47" i="11"/>
  <c r="Z46" i="11"/>
  <c r="Z45" i="11"/>
  <c r="Z44" i="11"/>
  <c r="Z43" i="11"/>
  <c r="Z42" i="11"/>
  <c r="U42" i="11"/>
  <c r="U43" i="11"/>
  <c r="U44" i="11"/>
  <c r="U45" i="11"/>
  <c r="U46" i="11"/>
  <c r="U47" i="11"/>
  <c r="U48" i="11"/>
  <c r="U49" i="11"/>
  <c r="U50" i="11"/>
  <c r="R42" i="11"/>
  <c r="R43" i="11"/>
  <c r="R44" i="11"/>
  <c r="R45" i="11"/>
  <c r="R46" i="11"/>
  <c r="R47" i="11"/>
  <c r="R48" i="11"/>
  <c r="R49" i="11"/>
  <c r="R50" i="11"/>
  <c r="I42" i="11"/>
  <c r="J42" i="11" s="1"/>
  <c r="AC42" i="11" s="1"/>
  <c r="I43" i="11"/>
  <c r="J43" i="11" s="1"/>
  <c r="AC43" i="11" s="1"/>
  <c r="I44" i="11"/>
  <c r="J44" i="11" s="1"/>
  <c r="AC44" i="11" s="1"/>
  <c r="I45" i="11"/>
  <c r="AB45" i="11" s="1"/>
  <c r="I46" i="11"/>
  <c r="J46" i="11" s="1"/>
  <c r="AC46" i="11" s="1"/>
  <c r="I47" i="11"/>
  <c r="J47" i="11" s="1"/>
  <c r="AC47" i="11" s="1"/>
  <c r="I48" i="11"/>
  <c r="J48" i="11" s="1"/>
  <c r="AC48" i="11" s="1"/>
  <c r="I49" i="11"/>
  <c r="J49" i="11" s="1"/>
  <c r="AC49" i="11" s="1"/>
  <c r="I50" i="11"/>
  <c r="J50" i="11" s="1"/>
  <c r="AC50" i="11" s="1"/>
  <c r="I51" i="11"/>
  <c r="J51" i="11" s="1"/>
  <c r="AC51" i="11" s="1"/>
  <c r="I52" i="11"/>
  <c r="J52" i="11" s="1"/>
  <c r="AC52" i="11" s="1"/>
  <c r="AA39" i="11"/>
  <c r="AA40" i="11"/>
  <c r="AA41" i="11"/>
  <c r="Z41" i="11"/>
  <c r="U41" i="11"/>
  <c r="R41" i="11"/>
  <c r="I41" i="11"/>
  <c r="J41" i="11" s="1"/>
  <c r="AC41" i="11" s="1"/>
  <c r="U40" i="11"/>
  <c r="R40" i="11"/>
  <c r="Z40" i="11"/>
  <c r="I40" i="11"/>
  <c r="AB40" i="11" s="1"/>
  <c r="N25" i="11"/>
  <c r="U25" i="11" s="1"/>
  <c r="I25" i="11"/>
  <c r="AB25" i="11" s="1"/>
  <c r="Z25" i="11"/>
  <c r="AA24" i="11"/>
  <c r="U24" i="11"/>
  <c r="U23" i="11"/>
  <c r="Z24" i="11"/>
  <c r="R24" i="11"/>
  <c r="I24" i="11"/>
  <c r="J24" i="11" s="1"/>
  <c r="AC24" i="11" s="1"/>
  <c r="AA28" i="11"/>
  <c r="Z28" i="11"/>
  <c r="I28" i="11"/>
  <c r="J28" i="11" s="1"/>
  <c r="AC28" i="11" s="1"/>
  <c r="R28" i="11"/>
  <c r="AA89" i="11"/>
  <c r="Z89" i="11"/>
  <c r="U89" i="11"/>
  <c r="R89" i="11"/>
  <c r="I89" i="11"/>
  <c r="J89" i="11" s="1"/>
  <c r="AC89" i="11" s="1"/>
  <c r="Z88" i="11"/>
  <c r="AA87" i="11"/>
  <c r="AA88" i="11"/>
  <c r="R88" i="11"/>
  <c r="U88" i="11"/>
  <c r="R87" i="11"/>
  <c r="U87" i="11"/>
  <c r="Z87" i="11"/>
  <c r="I87" i="11"/>
  <c r="J87" i="11" s="1"/>
  <c r="AC87" i="11" s="1"/>
  <c r="I88" i="11"/>
  <c r="J88" i="11" s="1"/>
  <c r="AC88" i="11" s="1"/>
  <c r="U106" i="11"/>
  <c r="U107" i="11"/>
  <c r="U68" i="11"/>
  <c r="U69" i="11"/>
  <c r="U70" i="11"/>
  <c r="U71" i="11"/>
  <c r="U67" i="11"/>
  <c r="U66" i="11"/>
  <c r="U65" i="11"/>
  <c r="R65" i="11"/>
  <c r="R66" i="11"/>
  <c r="R67" i="11"/>
  <c r="R68" i="11"/>
  <c r="R69" i="11"/>
  <c r="R70" i="11"/>
  <c r="R71" i="11"/>
  <c r="I71" i="11"/>
  <c r="J71" i="11" s="1"/>
  <c r="AC71" i="11" s="1"/>
  <c r="Z71" i="11"/>
  <c r="I70" i="11"/>
  <c r="AB70" i="11" s="1"/>
  <c r="Z70" i="11"/>
  <c r="I69" i="11"/>
  <c r="AB69" i="11" s="1"/>
  <c r="Z69" i="11"/>
  <c r="I68" i="11"/>
  <c r="AB68" i="11" s="1"/>
  <c r="Z68" i="11"/>
  <c r="I67" i="11"/>
  <c r="AB67" i="11" s="1"/>
  <c r="Z67" i="11"/>
  <c r="I66" i="11"/>
  <c r="J66" i="11" s="1"/>
  <c r="AC66" i="11" s="1"/>
  <c r="Z66" i="11"/>
  <c r="I65" i="11"/>
  <c r="J65" i="11" s="1"/>
  <c r="AC65" i="11" s="1"/>
  <c r="Z65" i="11"/>
  <c r="AA103" i="11"/>
  <c r="AA104" i="11"/>
  <c r="AA101" i="11"/>
  <c r="N104" i="11"/>
  <c r="AF104" i="11" s="1"/>
  <c r="Z104" i="11"/>
  <c r="N103" i="11"/>
  <c r="AF103" i="11" s="1"/>
  <c r="Z103" i="11"/>
  <c r="N101" i="11"/>
  <c r="Z101" i="11"/>
  <c r="I101" i="11"/>
  <c r="J101" i="11" s="1"/>
  <c r="AC101" i="11" s="1"/>
  <c r="I103" i="11"/>
  <c r="J103" i="11" s="1"/>
  <c r="AC103" i="11" s="1"/>
  <c r="I104" i="11"/>
  <c r="J104" i="11" s="1"/>
  <c r="AC104" i="11" s="1"/>
  <c r="AA108" i="11"/>
  <c r="AA99" i="11"/>
  <c r="AA100" i="11"/>
  <c r="N100" i="11"/>
  <c r="AF100" i="11" s="1"/>
  <c r="Z100" i="11"/>
  <c r="I100" i="11"/>
  <c r="AB100" i="11" s="1"/>
  <c r="N99" i="11"/>
  <c r="N108" i="11"/>
  <c r="Z108" i="11"/>
  <c r="I108" i="11"/>
  <c r="J108" i="11" s="1"/>
  <c r="AC108" i="11" s="1"/>
  <c r="AA121" i="11"/>
  <c r="Z121" i="11"/>
  <c r="AA118" i="11"/>
  <c r="Z118" i="11"/>
  <c r="Y118" i="11"/>
  <c r="X118" i="11"/>
  <c r="U118" i="11"/>
  <c r="I118" i="11"/>
  <c r="J118" i="11" s="1"/>
  <c r="AC118" i="11" s="1"/>
  <c r="R118" i="11"/>
  <c r="AA92" i="11"/>
  <c r="Z92" i="11"/>
  <c r="Y92" i="11"/>
  <c r="X92" i="11"/>
  <c r="U92" i="11"/>
  <c r="R92" i="11"/>
  <c r="AB92" i="11"/>
  <c r="Z99" i="11"/>
  <c r="I99" i="11"/>
  <c r="J99" i="11" s="1"/>
  <c r="AC99" i="11" s="1"/>
  <c r="N90" i="11"/>
  <c r="AF90" i="11" s="1"/>
  <c r="AA90" i="11"/>
  <c r="Z90" i="11"/>
  <c r="I90" i="11"/>
  <c r="J90" i="11" s="1"/>
  <c r="AC90" i="11" s="1"/>
  <c r="N121" i="11"/>
  <c r="AF121" i="11" s="1"/>
  <c r="N97" i="11"/>
  <c r="AB97" i="11"/>
  <c r="AA97" i="11"/>
  <c r="Z97" i="11"/>
  <c r="AC97" i="11"/>
  <c r="N95" i="11"/>
  <c r="AF95" i="11" s="1"/>
  <c r="U114" i="11"/>
  <c r="U113" i="11"/>
  <c r="U75" i="11"/>
  <c r="U74" i="11"/>
  <c r="U76" i="11"/>
  <c r="AA84" i="11"/>
  <c r="U84" i="11"/>
  <c r="Z84" i="11"/>
  <c r="I84" i="11"/>
  <c r="J84" i="11" s="1"/>
  <c r="AC84" i="11" s="1"/>
  <c r="R84" i="11"/>
  <c r="U85" i="11"/>
  <c r="U86" i="11"/>
  <c r="AA78" i="11"/>
  <c r="AA79" i="11"/>
  <c r="U78" i="11"/>
  <c r="Z78" i="11"/>
  <c r="I78" i="11"/>
  <c r="J78" i="11" s="1"/>
  <c r="AC78" i="11" s="1"/>
  <c r="R78" i="11"/>
  <c r="Z63" i="11"/>
  <c r="AA63" i="11"/>
  <c r="AA62" i="11"/>
  <c r="Z62" i="11"/>
  <c r="AA61" i="11"/>
  <c r="Z61" i="11"/>
  <c r="N63" i="11"/>
  <c r="N62" i="11"/>
  <c r="N61" i="11"/>
  <c r="I61" i="11"/>
  <c r="J61" i="11" s="1"/>
  <c r="AC61" i="11" s="1"/>
  <c r="I62" i="11"/>
  <c r="J62" i="11" s="1"/>
  <c r="AC62" i="11" s="1"/>
  <c r="I63" i="11"/>
  <c r="J63" i="11" s="1"/>
  <c r="AC63" i="11" s="1"/>
  <c r="N57" i="11"/>
  <c r="AF57" i="11" s="1"/>
  <c r="U55" i="11"/>
  <c r="R39" i="11"/>
  <c r="U39" i="11"/>
  <c r="I39" i="11"/>
  <c r="AB39" i="11" s="1"/>
  <c r="Z39" i="11"/>
  <c r="AA38" i="11"/>
  <c r="AA37" i="11"/>
  <c r="AA36" i="11"/>
  <c r="Z38" i="11"/>
  <c r="Z37" i="11"/>
  <c r="Z36" i="11"/>
  <c r="U38" i="11"/>
  <c r="U37" i="11"/>
  <c r="U36" i="11"/>
  <c r="R36" i="11"/>
  <c r="R37" i="11"/>
  <c r="R38" i="11"/>
  <c r="I33" i="11"/>
  <c r="J33" i="11" s="1"/>
  <c r="AC33" i="11" s="1"/>
  <c r="I36" i="11"/>
  <c r="J36" i="11" s="1"/>
  <c r="I37" i="11"/>
  <c r="J37" i="11" s="1"/>
  <c r="AC37" i="11" s="1"/>
  <c r="I38" i="11"/>
  <c r="AB38" i="11" s="1"/>
  <c r="U33" i="11"/>
  <c r="Z33" i="11"/>
  <c r="AA33" i="11"/>
  <c r="R33" i="11"/>
  <c r="Z32" i="11"/>
  <c r="AA32" i="11"/>
  <c r="N32" i="11"/>
  <c r="AF32" i="11" s="1"/>
  <c r="I32" i="11"/>
  <c r="J32" i="11" s="1"/>
  <c r="AC32" i="11" s="1"/>
  <c r="N29" i="11"/>
  <c r="AF29" i="11" s="1"/>
  <c r="U26" i="11"/>
  <c r="U22" i="11"/>
  <c r="U21" i="11"/>
  <c r="U20" i="11"/>
  <c r="U19" i="11"/>
  <c r="R90" i="11" l="1"/>
  <c r="J40" i="11"/>
  <c r="AC40" i="11" s="1"/>
  <c r="U61" i="11"/>
  <c r="AF61" i="11"/>
  <c r="R97" i="11"/>
  <c r="AF97" i="11"/>
  <c r="R51" i="11"/>
  <c r="AF51" i="11"/>
  <c r="R99" i="11"/>
  <c r="AF99" i="11"/>
  <c r="U62" i="11"/>
  <c r="AF62" i="11"/>
  <c r="U63" i="11"/>
  <c r="AF63" i="11"/>
  <c r="R108" i="11"/>
  <c r="AF108" i="11"/>
  <c r="U101" i="11"/>
  <c r="AF101" i="11"/>
  <c r="U99" i="11"/>
  <c r="AC36" i="11"/>
  <c r="R32" i="11"/>
  <c r="R25" i="11"/>
  <c r="U52" i="11"/>
  <c r="U32" i="11"/>
  <c r="U100" i="11"/>
  <c r="R104" i="11"/>
  <c r="U104" i="11"/>
  <c r="U51" i="11"/>
  <c r="J100" i="11"/>
  <c r="AC100" i="11" s="1"/>
  <c r="R101" i="11"/>
  <c r="J68" i="11"/>
  <c r="AC68" i="11" s="1"/>
  <c r="AB104" i="11"/>
  <c r="AB71" i="11"/>
  <c r="AB66" i="11"/>
  <c r="J69" i="11"/>
  <c r="AC69" i="11" s="1"/>
  <c r="J70" i="11"/>
  <c r="AC70" i="11" s="1"/>
  <c r="U103" i="11"/>
  <c r="AB50" i="11"/>
  <c r="AB32" i="11"/>
  <c r="AB84" i="11"/>
  <c r="AB90" i="11"/>
  <c r="U108" i="11"/>
  <c r="AB103" i="11"/>
  <c r="R52" i="11"/>
  <c r="AB46" i="11"/>
  <c r="R61" i="11"/>
  <c r="AB28" i="11"/>
  <c r="R62" i="11"/>
  <c r="AB78" i="11"/>
  <c r="U90" i="11"/>
  <c r="AC92" i="11"/>
  <c r="AB118" i="11"/>
  <c r="AB108" i="11"/>
  <c r="R103" i="11"/>
  <c r="AB101" i="11"/>
  <c r="J67" i="11"/>
  <c r="AC67" i="11" s="1"/>
  <c r="AB53" i="11"/>
  <c r="AB42" i="11"/>
  <c r="AB51" i="11"/>
  <c r="AB47" i="11"/>
  <c r="AB43" i="11"/>
  <c r="AB52" i="11"/>
  <c r="AB48" i="11"/>
  <c r="AB44" i="11"/>
  <c r="J45" i="11"/>
  <c r="AC45" i="11" s="1"/>
  <c r="AB49" i="11"/>
  <c r="J25" i="11"/>
  <c r="AB41" i="11"/>
  <c r="AB24" i="11"/>
  <c r="AB89" i="11"/>
  <c r="AB87" i="11"/>
  <c r="AB88" i="11"/>
  <c r="AB65" i="11"/>
  <c r="R100" i="11"/>
  <c r="AB99" i="11"/>
  <c r="J38" i="11"/>
  <c r="AC38" i="11" s="1"/>
  <c r="U97" i="11"/>
  <c r="J39" i="11"/>
  <c r="AC39" i="11" s="1"/>
  <c r="AB63" i="11"/>
  <c r="AB61" i="11"/>
  <c r="AB62" i="11"/>
  <c r="R63" i="11"/>
  <c r="AB37" i="11"/>
  <c r="AB36" i="11"/>
  <c r="AB33" i="11"/>
  <c r="Y129" i="13"/>
  <c r="Y153" i="13"/>
  <c r="Y155" i="13"/>
  <c r="Y157" i="13"/>
  <c r="Y158" i="13"/>
  <c r="Y148" i="13"/>
  <c r="Y149" i="13"/>
  <c r="Y150" i="13"/>
  <c r="Y139" i="13"/>
  <c r="Y141" i="13"/>
  <c r="Y142" i="13"/>
  <c r="Y143" i="13"/>
  <c r="Y113" i="13"/>
  <c r="Y114" i="13"/>
  <c r="Y115" i="13"/>
  <c r="Y116" i="13"/>
  <c r="Y117" i="13"/>
  <c r="Y118" i="13"/>
  <c r="Y119" i="13"/>
  <c r="Y121" i="13"/>
  <c r="Y123" i="13"/>
  <c r="Y124" i="13"/>
  <c r="Y101" i="13"/>
  <c r="Y103" i="13"/>
  <c r="Y104" i="13"/>
  <c r="Y105" i="13"/>
  <c r="Y108" i="13"/>
  <c r="Y109" i="13"/>
  <c r="Y89" i="13"/>
  <c r="Y83" i="13"/>
  <c r="Y84" i="13"/>
  <c r="Y74" i="13"/>
  <c r="Y75" i="13"/>
  <c r="Y76" i="13"/>
  <c r="Y77" i="13"/>
  <c r="Y73" i="13"/>
  <c r="Y66" i="13"/>
  <c r="Y61" i="13"/>
  <c r="Y59" i="13"/>
  <c r="Y52" i="13"/>
  <c r="Y53" i="13"/>
  <c r="Y54" i="13"/>
  <c r="Y55" i="13"/>
  <c r="Y56" i="13"/>
  <c r="Y57" i="13"/>
  <c r="Y45" i="13"/>
  <c r="Y44" i="13"/>
  <c r="Y43" i="13"/>
  <c r="Y42" i="13"/>
  <c r="Y41" i="13"/>
  <c r="Y40" i="13"/>
  <c r="Y33" i="13"/>
  <c r="Y26" i="13"/>
  <c r="Y27" i="13"/>
  <c r="Y28" i="13"/>
  <c r="Y14" i="13"/>
  <c r="Y15" i="13"/>
  <c r="Y16" i="13"/>
  <c r="Y17" i="13"/>
  <c r="U128" i="12"/>
  <c r="U99" i="12"/>
  <c r="U93" i="12"/>
  <c r="U94" i="12"/>
  <c r="U95" i="12"/>
  <c r="U96" i="12"/>
  <c r="U97" i="12"/>
  <c r="U92" i="12"/>
  <c r="U80" i="12"/>
  <c r="U76" i="12"/>
  <c r="U77" i="12"/>
  <c r="U78" i="12"/>
  <c r="U65" i="12"/>
  <c r="U29" i="12"/>
  <c r="U25" i="12"/>
  <c r="U86" i="12"/>
  <c r="Y12" i="13"/>
  <c r="Y21" i="13"/>
  <c r="Y29" i="13"/>
  <c r="Y37" i="13"/>
  <c r="Y46" i="13"/>
  <c r="Y47" i="13"/>
  <c r="Y48" i="13"/>
  <c r="Y49" i="13"/>
  <c r="Y50" i="13"/>
  <c r="Y51" i="13"/>
  <c r="Y62" i="13"/>
  <c r="Y63" i="13"/>
  <c r="Y64" i="13"/>
  <c r="Y65" i="13"/>
  <c r="Y67" i="13"/>
  <c r="Y72" i="13"/>
  <c r="Y78" i="13"/>
  <c r="Y81" i="13"/>
  <c r="Y82" i="13"/>
  <c r="Y110" i="13"/>
  <c r="Y111" i="13"/>
  <c r="Y127" i="13"/>
  <c r="Y133" i="13"/>
  <c r="Y134" i="13"/>
  <c r="Y135" i="13"/>
  <c r="Y137" i="13"/>
  <c r="Y144" i="13"/>
  <c r="Y145" i="13"/>
  <c r="Y146" i="13"/>
  <c r="Y151" i="13"/>
  <c r="Y152" i="13"/>
  <c r="Y159" i="13"/>
  <c r="Y160" i="13"/>
  <c r="Y161" i="13"/>
  <c r="Y162" i="13"/>
  <c r="Y163" i="13"/>
  <c r="Y164" i="13"/>
  <c r="Y165" i="13"/>
  <c r="U83" i="12"/>
  <c r="U84" i="12"/>
  <c r="U81" i="12"/>
  <c r="U62" i="12"/>
  <c r="U63" i="12"/>
  <c r="U64" i="12"/>
  <c r="U60" i="12"/>
  <c r="U55" i="12"/>
  <c r="U56" i="12"/>
  <c r="U50" i="12"/>
  <c r="U49" i="12"/>
  <c r="U42" i="12"/>
  <c r="U32" i="12"/>
  <c r="U22" i="12"/>
  <c r="U12" i="11"/>
  <c r="U13" i="11"/>
  <c r="AF19" i="12"/>
  <c r="AF125" i="11" l="1"/>
  <c r="F197" i="13"/>
  <c r="F195" i="13"/>
  <c r="AC25" i="11"/>
  <c r="I135" i="12" l="1"/>
  <c r="J135" i="12" s="1"/>
  <c r="R130" i="12"/>
  <c r="R131" i="12"/>
  <c r="R132" i="12"/>
  <c r="R133" i="12"/>
  <c r="R134" i="12"/>
  <c r="I133" i="12"/>
  <c r="J133" i="12" s="1"/>
  <c r="I132" i="12"/>
  <c r="J132" i="12" s="1"/>
  <c r="I131" i="12"/>
  <c r="J131" i="12" s="1"/>
  <c r="I130" i="12"/>
  <c r="J130" i="12" s="1"/>
  <c r="AF18" i="12"/>
  <c r="AF17" i="12"/>
  <c r="AF15" i="12"/>
  <c r="X14" i="12"/>
  <c r="Y14" i="12"/>
  <c r="Z14" i="12"/>
  <c r="X15" i="12"/>
  <c r="Y15" i="12"/>
  <c r="Z15" i="12"/>
  <c r="X17" i="12"/>
  <c r="Y17" i="12"/>
  <c r="Z17" i="12"/>
  <c r="X18" i="12"/>
  <c r="Y18" i="12"/>
  <c r="Z18" i="12"/>
  <c r="U18" i="12"/>
  <c r="U17" i="12"/>
  <c r="U15" i="12"/>
  <c r="U14" i="12"/>
  <c r="R18" i="12"/>
  <c r="R14" i="12"/>
  <c r="R15" i="12"/>
  <c r="R17" i="12"/>
  <c r="I12" i="12"/>
  <c r="J12" i="12"/>
  <c r="I14" i="12"/>
  <c r="AB14" i="12" s="1"/>
  <c r="I15" i="12"/>
  <c r="AB15" i="12" s="1"/>
  <c r="J15" i="12"/>
  <c r="AC15" i="12" s="1"/>
  <c r="I17" i="12"/>
  <c r="J17" i="12" s="1"/>
  <c r="AC17" i="12" s="1"/>
  <c r="I18" i="12"/>
  <c r="J18" i="12" s="1"/>
  <c r="AC18" i="12" s="1"/>
  <c r="R12" i="12"/>
  <c r="N11" i="12"/>
  <c r="AF11" i="12" s="1"/>
  <c r="Z60" i="12"/>
  <c r="Y60" i="12"/>
  <c r="X60" i="12"/>
  <c r="AF60" i="12"/>
  <c r="R60" i="12"/>
  <c r="I60" i="12"/>
  <c r="J60" i="12" s="1"/>
  <c r="AC60" i="12" s="1"/>
  <c r="AF46" i="12"/>
  <c r="AF45" i="12"/>
  <c r="AF44" i="12"/>
  <c r="AF43" i="12"/>
  <c r="AF41" i="12"/>
  <c r="AF40" i="12"/>
  <c r="Z39" i="12"/>
  <c r="Z40" i="12"/>
  <c r="Z41" i="12"/>
  <c r="Z42" i="12"/>
  <c r="Z43" i="12"/>
  <c r="Z44" i="12"/>
  <c r="Z45" i="12"/>
  <c r="Z46" i="12"/>
  <c r="X35" i="12"/>
  <c r="Y35" i="12"/>
  <c r="X36" i="12"/>
  <c r="Y36" i="12"/>
  <c r="X39" i="12"/>
  <c r="Y39" i="12"/>
  <c r="X40" i="12"/>
  <c r="Y40" i="12"/>
  <c r="X41" i="12"/>
  <c r="Y41" i="12"/>
  <c r="X42" i="12"/>
  <c r="Y42" i="12"/>
  <c r="X43" i="12"/>
  <c r="Y43" i="12"/>
  <c r="X44" i="12"/>
  <c r="Y44" i="12"/>
  <c r="X45" i="12"/>
  <c r="Y45" i="12"/>
  <c r="X46" i="12"/>
  <c r="Y46" i="12"/>
  <c r="I39" i="12"/>
  <c r="J39" i="12" s="1"/>
  <c r="AC39" i="12" s="1"/>
  <c r="N39" i="12"/>
  <c r="U39" i="12" s="1"/>
  <c r="N36" i="12"/>
  <c r="AF36" i="12" s="1"/>
  <c r="Z36" i="12"/>
  <c r="Z35" i="12"/>
  <c r="U46" i="12"/>
  <c r="U45" i="12"/>
  <c r="U44" i="12"/>
  <c r="U43" i="12"/>
  <c r="U41" i="12"/>
  <c r="U40" i="12"/>
  <c r="U35" i="12"/>
  <c r="I35" i="12"/>
  <c r="J35" i="12" s="1"/>
  <c r="AC35" i="12" s="1"/>
  <c r="I36" i="12"/>
  <c r="AB36" i="12" s="1"/>
  <c r="I40" i="12"/>
  <c r="J40" i="12" s="1"/>
  <c r="AC40" i="12" s="1"/>
  <c r="I41" i="12"/>
  <c r="J41" i="12" s="1"/>
  <c r="AC41" i="12" s="1"/>
  <c r="I42" i="12"/>
  <c r="J42" i="12" s="1"/>
  <c r="AC42" i="12" s="1"/>
  <c r="I43" i="12"/>
  <c r="J43" i="12" s="1"/>
  <c r="AC43" i="12" s="1"/>
  <c r="I44" i="12"/>
  <c r="J44" i="12" s="1"/>
  <c r="AC44" i="12" s="1"/>
  <c r="I45" i="12"/>
  <c r="J45" i="12" s="1"/>
  <c r="AC45" i="12" s="1"/>
  <c r="I46" i="12"/>
  <c r="J46" i="12" s="1"/>
  <c r="AC46" i="12" s="1"/>
  <c r="R35" i="12"/>
  <c r="R40" i="12"/>
  <c r="R41" i="12"/>
  <c r="R42" i="12"/>
  <c r="R43" i="12"/>
  <c r="R44" i="12"/>
  <c r="R45" i="12"/>
  <c r="R46" i="12"/>
  <c r="AF84" i="12"/>
  <c r="AF83" i="12"/>
  <c r="X83" i="12"/>
  <c r="Y83" i="12"/>
  <c r="Z83" i="12"/>
  <c r="AA83" i="12"/>
  <c r="X84" i="12"/>
  <c r="Y84" i="12"/>
  <c r="Z84" i="12"/>
  <c r="AA84" i="12"/>
  <c r="R84" i="12"/>
  <c r="I83" i="12"/>
  <c r="J83" i="12" s="1"/>
  <c r="AC83" i="12" s="1"/>
  <c r="I84" i="12"/>
  <c r="AB84" i="12" s="1"/>
  <c r="R83" i="12"/>
  <c r="AA76" i="12"/>
  <c r="Z76" i="12"/>
  <c r="Y76" i="12"/>
  <c r="X76" i="12"/>
  <c r="I76" i="12"/>
  <c r="AB76" i="12" s="1"/>
  <c r="R76" i="12"/>
  <c r="AF74" i="12"/>
  <c r="AA74" i="12"/>
  <c r="Z74" i="12"/>
  <c r="Y74" i="12"/>
  <c r="X74" i="12"/>
  <c r="U74" i="12"/>
  <c r="R74" i="12"/>
  <c r="I74" i="12"/>
  <c r="J74" i="12" s="1"/>
  <c r="AC74" i="12" s="1"/>
  <c r="Z73" i="12"/>
  <c r="Y73" i="12"/>
  <c r="X73" i="12"/>
  <c r="U73" i="12"/>
  <c r="R73" i="12"/>
  <c r="I73" i="12"/>
  <c r="AB73" i="12" s="1"/>
  <c r="Y72" i="12"/>
  <c r="X72" i="12"/>
  <c r="U71" i="12"/>
  <c r="U72" i="12"/>
  <c r="Z72" i="12"/>
  <c r="R72" i="12"/>
  <c r="I72" i="12"/>
  <c r="AB72" i="12" s="1"/>
  <c r="AC90" i="12"/>
  <c r="AA90" i="12"/>
  <c r="Z90" i="12"/>
  <c r="Y90" i="12"/>
  <c r="X90" i="12"/>
  <c r="N90" i="12"/>
  <c r="R90" i="12" s="1"/>
  <c r="I90" i="12"/>
  <c r="AB90" i="12" s="1"/>
  <c r="Y105" i="12"/>
  <c r="X105" i="12"/>
  <c r="N105" i="12"/>
  <c r="U105" i="12" s="1"/>
  <c r="Z105" i="12"/>
  <c r="I105" i="12"/>
  <c r="J105" i="12" s="1"/>
  <c r="AC105" i="12" s="1"/>
  <c r="N51" i="12"/>
  <c r="AF51" i="12" s="1"/>
  <c r="Z51" i="12"/>
  <c r="Y51" i="12"/>
  <c r="X51" i="12"/>
  <c r="I51" i="12"/>
  <c r="J51" i="12" s="1"/>
  <c r="AC51" i="12" s="1"/>
  <c r="Y103" i="12"/>
  <c r="X103" i="12"/>
  <c r="N103" i="12"/>
  <c r="U103" i="12" s="1"/>
  <c r="Z103" i="12"/>
  <c r="I103" i="12"/>
  <c r="J103" i="12" s="1"/>
  <c r="AC103" i="12" s="1"/>
  <c r="Y102" i="12"/>
  <c r="X102" i="12"/>
  <c r="R102" i="12"/>
  <c r="U102" i="12"/>
  <c r="AF102" i="12"/>
  <c r="Z102" i="12"/>
  <c r="I102" i="12"/>
  <c r="J102" i="12" s="1"/>
  <c r="AC102" i="12" s="1"/>
  <c r="Y101" i="12"/>
  <c r="X101" i="12"/>
  <c r="R101" i="12"/>
  <c r="U101" i="12"/>
  <c r="AF101" i="12"/>
  <c r="Z101" i="12"/>
  <c r="I101" i="12"/>
  <c r="J101" i="12" s="1"/>
  <c r="AC101" i="12" s="1"/>
  <c r="Y106" i="12"/>
  <c r="X106" i="12"/>
  <c r="U106" i="12"/>
  <c r="AF106" i="12"/>
  <c r="Z106" i="12"/>
  <c r="R106" i="12"/>
  <c r="I106" i="12"/>
  <c r="J106" i="12" s="1"/>
  <c r="AC106" i="12" s="1"/>
  <c r="Y107" i="12"/>
  <c r="X107" i="12"/>
  <c r="N107" i="12"/>
  <c r="R107" i="12" s="1"/>
  <c r="Z107" i="12"/>
  <c r="I107" i="12"/>
  <c r="J107" i="12" s="1"/>
  <c r="AC107" i="12" s="1"/>
  <c r="N110" i="12"/>
  <c r="U110" i="12" s="1"/>
  <c r="Y110" i="12"/>
  <c r="X110" i="12"/>
  <c r="Z110" i="12"/>
  <c r="I110" i="12"/>
  <c r="AB110" i="12" s="1"/>
  <c r="Y112" i="12"/>
  <c r="X112" i="12"/>
  <c r="N112" i="12"/>
  <c r="U112" i="12" s="1"/>
  <c r="Z112" i="12"/>
  <c r="I112" i="12"/>
  <c r="J112" i="12" s="1"/>
  <c r="AC112" i="12" s="1"/>
  <c r="Y115" i="12"/>
  <c r="X115" i="12"/>
  <c r="N115" i="12"/>
  <c r="U115" i="12" s="1"/>
  <c r="Z115" i="12"/>
  <c r="I115" i="12"/>
  <c r="J115" i="12" s="1"/>
  <c r="AC115" i="12" s="1"/>
  <c r="N116" i="12"/>
  <c r="R116" i="12" s="1"/>
  <c r="Y119" i="12"/>
  <c r="X119" i="12"/>
  <c r="N119" i="12"/>
  <c r="AF119" i="12" s="1"/>
  <c r="I119" i="12"/>
  <c r="J119" i="12" s="1"/>
  <c r="AC119" i="12" s="1"/>
  <c r="Z119" i="12"/>
  <c r="X116" i="12"/>
  <c r="Y116" i="12"/>
  <c r="Z116" i="12"/>
  <c r="I116" i="12"/>
  <c r="J116" i="12" s="1"/>
  <c r="AF124" i="12"/>
  <c r="X124" i="12"/>
  <c r="Y124" i="12"/>
  <c r="U124" i="12"/>
  <c r="Z124" i="12"/>
  <c r="I124" i="12"/>
  <c r="J124" i="12" s="1"/>
  <c r="AC124" i="12" s="1"/>
  <c r="R124" i="12"/>
  <c r="N122" i="12"/>
  <c r="AF122" i="12" s="1"/>
  <c r="U59" i="12"/>
  <c r="AF59" i="12"/>
  <c r="Z59" i="12"/>
  <c r="X59" i="12"/>
  <c r="Y59" i="12"/>
  <c r="R59" i="12"/>
  <c r="I59" i="12"/>
  <c r="J59" i="12" s="1"/>
  <c r="AC59" i="12" s="1"/>
  <c r="AB17" i="12" l="1"/>
  <c r="J14" i="12"/>
  <c r="AC14" i="12" s="1"/>
  <c r="R119" i="12"/>
  <c r="U119" i="12"/>
  <c r="U36" i="12"/>
  <c r="R105" i="12"/>
  <c r="R36" i="12"/>
  <c r="U107" i="12"/>
  <c r="J36" i="12"/>
  <c r="AC36" i="12" s="1"/>
  <c r="J72" i="12"/>
  <c r="AC72" i="12" s="1"/>
  <c r="J73" i="12"/>
  <c r="AC73" i="12" s="1"/>
  <c r="AB18" i="12"/>
  <c r="AC116" i="12"/>
  <c r="AB60" i="12"/>
  <c r="R39" i="12"/>
  <c r="R115" i="12"/>
  <c r="AF112" i="12"/>
  <c r="AB46" i="12"/>
  <c r="AB44" i="12"/>
  <c r="AB42" i="12"/>
  <c r="AB40" i="12"/>
  <c r="AF115" i="12"/>
  <c r="R110" i="12"/>
  <c r="AF105" i="12"/>
  <c r="AF110" i="12"/>
  <c r="AB119" i="12"/>
  <c r="J110" i="12"/>
  <c r="AC110" i="12" s="1"/>
  <c r="AF107" i="12"/>
  <c r="J76" i="12"/>
  <c r="AC76" i="12" s="1"/>
  <c r="J84" i="12"/>
  <c r="AC84" i="12" s="1"/>
  <c r="AB45" i="12"/>
  <c r="AB43" i="12"/>
  <c r="AB41" i="12"/>
  <c r="AB39" i="12"/>
  <c r="AB35" i="12"/>
  <c r="AB107" i="12"/>
  <c r="AB102" i="12"/>
  <c r="AB83" i="12"/>
  <c r="AB124" i="12"/>
  <c r="AB116" i="12"/>
  <c r="AB106" i="12"/>
  <c r="R103" i="12"/>
  <c r="AF103" i="12"/>
  <c r="U90" i="12"/>
  <c r="AB115" i="12"/>
  <c r="AB103" i="12"/>
  <c r="AF90" i="12"/>
  <c r="AB74" i="12"/>
  <c r="AF116" i="12"/>
  <c r="R112" i="12"/>
  <c r="AB112" i="12"/>
  <c r="AB101" i="12"/>
  <c r="AB51" i="12"/>
  <c r="AB105" i="12"/>
  <c r="U51" i="12"/>
  <c r="R51" i="12"/>
  <c r="U116" i="12"/>
  <c r="AB59" i="12"/>
  <c r="AF22" i="12"/>
  <c r="X22" i="12"/>
  <c r="Y22" i="12"/>
  <c r="Z22" i="12"/>
  <c r="R22" i="12"/>
  <c r="I22" i="12"/>
  <c r="J22" i="12" s="1"/>
  <c r="U85" i="12"/>
  <c r="U82" i="12"/>
  <c r="AF79" i="12"/>
  <c r="U79" i="12"/>
  <c r="AF66" i="12"/>
  <c r="U57" i="12"/>
  <c r="U58" i="12"/>
  <c r="AF127" i="12"/>
  <c r="AF98" i="12"/>
  <c r="AF89" i="12"/>
  <c r="AF87" i="12"/>
  <c r="AF81" i="12"/>
  <c r="AF75" i="12"/>
  <c r="AF71" i="12"/>
  <c r="AF70" i="12"/>
  <c r="AF69" i="12"/>
  <c r="AF68" i="12"/>
  <c r="AF55" i="12"/>
  <c r="AF56" i="12"/>
  <c r="AF57" i="12"/>
  <c r="AF58" i="12"/>
  <c r="AF61" i="12"/>
  <c r="AF62" i="12"/>
  <c r="AF63" i="12"/>
  <c r="AF64" i="12"/>
  <c r="AF26" i="12"/>
  <c r="AF28" i="12"/>
  <c r="AF31" i="12"/>
  <c r="AF32" i="12"/>
  <c r="AF33" i="12"/>
  <c r="AF34" i="12"/>
  <c r="AF47" i="12"/>
  <c r="AF48" i="12"/>
  <c r="AF50" i="12"/>
  <c r="AF52" i="12"/>
  <c r="AF49" i="12"/>
  <c r="Z50" i="12"/>
  <c r="Y50" i="12"/>
  <c r="X50" i="12"/>
  <c r="R50" i="12"/>
  <c r="I50" i="12"/>
  <c r="AB50" i="12" s="1"/>
  <c r="X48" i="12"/>
  <c r="Y48" i="12"/>
  <c r="U48" i="12"/>
  <c r="Z48" i="12"/>
  <c r="R48" i="12"/>
  <c r="I48" i="12"/>
  <c r="J48" i="12" s="1"/>
  <c r="AC48" i="12" s="1"/>
  <c r="U33" i="12"/>
  <c r="U24" i="12"/>
  <c r="Z21" i="12"/>
  <c r="X21" i="12"/>
  <c r="Y21" i="12"/>
  <c r="N21" i="12"/>
  <c r="AF21" i="12" s="1"/>
  <c r="I21" i="12"/>
  <c r="J21" i="12" s="1"/>
  <c r="AC21" i="12" s="1"/>
  <c r="U23" i="12"/>
  <c r="Z19" i="12"/>
  <c r="X19" i="12"/>
  <c r="Y19" i="12"/>
  <c r="U19" i="12"/>
  <c r="R20" i="12"/>
  <c r="R19" i="12"/>
  <c r="I19" i="12"/>
  <c r="J19" i="12" s="1"/>
  <c r="AC19" i="12" s="1"/>
  <c r="AF136" i="12" l="1"/>
  <c r="AC22" i="12"/>
  <c r="J50" i="12"/>
  <c r="AC50" i="12" s="1"/>
  <c r="AB22" i="12"/>
  <c r="AB48" i="12"/>
  <c r="AB21" i="12"/>
  <c r="AB19" i="12"/>
  <c r="U21" i="12"/>
  <c r="R21" i="12"/>
  <c r="AD160" i="13"/>
  <c r="AD161" i="13"/>
  <c r="AD162" i="13"/>
  <c r="AD163" i="13"/>
  <c r="AD148" i="13"/>
  <c r="AE148" i="13"/>
  <c r="AD149" i="13"/>
  <c r="AE149" i="13"/>
  <c r="AD150" i="13"/>
  <c r="AE150" i="13"/>
  <c r="AD140" i="13"/>
  <c r="AD141" i="13"/>
  <c r="AD142" i="13"/>
  <c r="AD143" i="13"/>
  <c r="AD75" i="13"/>
  <c r="AE75" i="13"/>
  <c r="AD76" i="13"/>
  <c r="AE76" i="13"/>
  <c r="AD77" i="13"/>
  <c r="AE77" i="13"/>
  <c r="AD78" i="13"/>
  <c r="AE78" i="13"/>
  <c r="AD79" i="13"/>
  <c r="AE79" i="13"/>
  <c r="AD67" i="13"/>
  <c r="AD61" i="13"/>
  <c r="AE61" i="13"/>
  <c r="AD62" i="13"/>
  <c r="AE62" i="13"/>
  <c r="AD59" i="13"/>
  <c r="AE59" i="13"/>
  <c r="AD52" i="13"/>
  <c r="AE52" i="13"/>
  <c r="AD53" i="13"/>
  <c r="AE53" i="13"/>
  <c r="AD54" i="13"/>
  <c r="AE54" i="13"/>
  <c r="AD55" i="13"/>
  <c r="AE55" i="13"/>
  <c r="AD56" i="13"/>
  <c r="AE56" i="13"/>
  <c r="AD57" i="13"/>
  <c r="AE57" i="13"/>
  <c r="AD46" i="13"/>
  <c r="AE46" i="13"/>
  <c r="AD43" i="13"/>
  <c r="AE43" i="13"/>
  <c r="AD44" i="13"/>
  <c r="AE44" i="13"/>
  <c r="AD45" i="13"/>
  <c r="AE45" i="13"/>
  <c r="AD40" i="13"/>
  <c r="AE40" i="13"/>
  <c r="AD41" i="13"/>
  <c r="AE41" i="13"/>
  <c r="AD26" i="13"/>
  <c r="AD27" i="13"/>
  <c r="AE74" i="13"/>
  <c r="AD84" i="13"/>
  <c r="AD85" i="13"/>
  <c r="AD123" i="13"/>
  <c r="AD124" i="13"/>
  <c r="AB46" i="13"/>
  <c r="AC46" i="13"/>
  <c r="AB32" i="13"/>
  <c r="AC32" i="13"/>
  <c r="AB39" i="13"/>
  <c r="AC39" i="13"/>
  <c r="AB40" i="13"/>
  <c r="AC40" i="13"/>
  <c r="AB41" i="13"/>
  <c r="AC41" i="13"/>
  <c r="AB43" i="13"/>
  <c r="AC43" i="13"/>
  <c r="AB44" i="13"/>
  <c r="AC44" i="13"/>
  <c r="AB45" i="13"/>
  <c r="AC45" i="13"/>
  <c r="AB52" i="13"/>
  <c r="AC52" i="13"/>
  <c r="AB53" i="13"/>
  <c r="AC53" i="13"/>
  <c r="AB54" i="13"/>
  <c r="AC54" i="13"/>
  <c r="AB55" i="13"/>
  <c r="AC55" i="13"/>
  <c r="AB56" i="13"/>
  <c r="AC56" i="13"/>
  <c r="AB57" i="13"/>
  <c r="AC57" i="13"/>
  <c r="AB59" i="13"/>
  <c r="AC59" i="13"/>
  <c r="AB66" i="13"/>
  <c r="AC66" i="13"/>
  <c r="AB67" i="13"/>
  <c r="AC67" i="13"/>
  <c r="AB61" i="13"/>
  <c r="AC61" i="13"/>
  <c r="AB62" i="13"/>
  <c r="AC62" i="13"/>
  <c r="AB74" i="13"/>
  <c r="AC74" i="13"/>
  <c r="AB75" i="13"/>
  <c r="AC75" i="13"/>
  <c r="AB76" i="13"/>
  <c r="AC76" i="13"/>
  <c r="AB77" i="13"/>
  <c r="AC77" i="13"/>
  <c r="AB78" i="13"/>
  <c r="AC78" i="13"/>
  <c r="AB79" i="13"/>
  <c r="AC79" i="13"/>
  <c r="AB83" i="13"/>
  <c r="AC83" i="13"/>
  <c r="AB84" i="13"/>
  <c r="AC84" i="13"/>
  <c r="AB85" i="13"/>
  <c r="AC85" i="13"/>
  <c r="AB92" i="13"/>
  <c r="AC92" i="13"/>
  <c r="AB102" i="13"/>
  <c r="AC102" i="13"/>
  <c r="AB103" i="13"/>
  <c r="AC103" i="13"/>
  <c r="AB104" i="13"/>
  <c r="AC104" i="13"/>
  <c r="AB105" i="13"/>
  <c r="AC105" i="13"/>
  <c r="AB106" i="13"/>
  <c r="AC106" i="13"/>
  <c r="AB108" i="13"/>
  <c r="AC108" i="13"/>
  <c r="AB112" i="13"/>
  <c r="AC112" i="13"/>
  <c r="AB113" i="13"/>
  <c r="AC113" i="13"/>
  <c r="AB114" i="13"/>
  <c r="AC114" i="13"/>
  <c r="AB116" i="13"/>
  <c r="AC116" i="13"/>
  <c r="AB117" i="13"/>
  <c r="AC117" i="13"/>
  <c r="AB118" i="13"/>
  <c r="AC118" i="13"/>
  <c r="AB119" i="13"/>
  <c r="AC119" i="13"/>
  <c r="AB120" i="13"/>
  <c r="AC120" i="13"/>
  <c r="AB122" i="13"/>
  <c r="AC122" i="13"/>
  <c r="AB123" i="13"/>
  <c r="AC123" i="13"/>
  <c r="AB124" i="13"/>
  <c r="AC124" i="13"/>
  <c r="AB133" i="13"/>
  <c r="AC133" i="13"/>
  <c r="AB140" i="13"/>
  <c r="AC140" i="13"/>
  <c r="AB141" i="13"/>
  <c r="AC141" i="13"/>
  <c r="AB142" i="13"/>
  <c r="AC142" i="13"/>
  <c r="AB143" i="13"/>
  <c r="AC143" i="13"/>
  <c r="AB148" i="13"/>
  <c r="AC148" i="13"/>
  <c r="AB149" i="13"/>
  <c r="AC149" i="13"/>
  <c r="AB150" i="13"/>
  <c r="AC150" i="13"/>
  <c r="AC155" i="13"/>
  <c r="AC156" i="13"/>
  <c r="AC157" i="13"/>
  <c r="AC158" i="13"/>
  <c r="AC159" i="13"/>
  <c r="AC160" i="13"/>
  <c r="AC161" i="13"/>
  <c r="AC162" i="13"/>
  <c r="AC163" i="13"/>
  <c r="AB155" i="13"/>
  <c r="AB156" i="13"/>
  <c r="AB157" i="13"/>
  <c r="AB158" i="13"/>
  <c r="AB159" i="13"/>
  <c r="AB160" i="13"/>
  <c r="AB161" i="13"/>
  <c r="AB162" i="13"/>
  <c r="AB163" i="13"/>
  <c r="N147" i="13"/>
  <c r="AD14" i="13"/>
  <c r="AD15" i="13"/>
  <c r="AD16" i="13"/>
  <c r="AD17" i="13"/>
  <c r="AD18" i="13"/>
  <c r="AC26" i="13"/>
  <c r="AC27" i="13"/>
  <c r="AC24" i="13"/>
  <c r="AC25" i="13"/>
  <c r="AB24" i="13"/>
  <c r="AB25" i="13"/>
  <c r="AB26" i="13"/>
  <c r="AB27" i="13"/>
  <c r="AC14" i="13"/>
  <c r="AC15" i="13"/>
  <c r="AC16" i="13"/>
  <c r="AC17" i="13"/>
  <c r="AC18" i="13"/>
  <c r="AC19" i="13"/>
  <c r="AB14" i="13"/>
  <c r="AB15" i="13"/>
  <c r="AB16" i="13"/>
  <c r="AB17" i="13"/>
  <c r="AB18" i="13"/>
  <c r="AB19" i="13"/>
  <c r="AJ147" i="13" l="1"/>
  <c r="Y147" i="13"/>
  <c r="AD113" i="13"/>
  <c r="S113" i="13"/>
  <c r="I113" i="13"/>
  <c r="AD112" i="13"/>
  <c r="S112" i="13"/>
  <c r="I112" i="13"/>
  <c r="AD133" i="13"/>
  <c r="S133" i="13"/>
  <c r="I133" i="13"/>
  <c r="N136" i="13"/>
  <c r="S162" i="13"/>
  <c r="S163" i="13"/>
  <c r="I162" i="13"/>
  <c r="I148" i="13"/>
  <c r="I149" i="13"/>
  <c r="AF149" i="13" s="1"/>
  <c r="I150" i="13"/>
  <c r="S148" i="13"/>
  <c r="S149" i="13"/>
  <c r="S150" i="13"/>
  <c r="N140" i="13"/>
  <c r="I140" i="13"/>
  <c r="AF140" i="13" s="1"/>
  <c r="N106" i="13"/>
  <c r="AD106" i="13"/>
  <c r="I106" i="13"/>
  <c r="AD105" i="13"/>
  <c r="I105" i="13"/>
  <c r="S105" i="13"/>
  <c r="AD104" i="13"/>
  <c r="S104" i="13"/>
  <c r="I104" i="13"/>
  <c r="AD103" i="13"/>
  <c r="S103" i="13"/>
  <c r="I103" i="13"/>
  <c r="V117" i="13"/>
  <c r="AD117" i="13"/>
  <c r="S117" i="13"/>
  <c r="I117" i="13"/>
  <c r="N120" i="13"/>
  <c r="V120" i="13" s="1"/>
  <c r="N122" i="13"/>
  <c r="S124" i="13"/>
  <c r="V124" i="13"/>
  <c r="V123" i="13"/>
  <c r="I124" i="13"/>
  <c r="AD122" i="13"/>
  <c r="I122" i="13"/>
  <c r="I123" i="13"/>
  <c r="S123" i="13"/>
  <c r="I163" i="13"/>
  <c r="I161" i="13"/>
  <c r="S160" i="13"/>
  <c r="S161" i="13"/>
  <c r="I160" i="13"/>
  <c r="I143" i="13"/>
  <c r="S143" i="13"/>
  <c r="V116" i="13"/>
  <c r="AD116" i="13"/>
  <c r="S116" i="13"/>
  <c r="I116" i="13"/>
  <c r="V118" i="13"/>
  <c r="AD118" i="13"/>
  <c r="S118" i="13"/>
  <c r="I118" i="13"/>
  <c r="V119" i="13"/>
  <c r="S119" i="13"/>
  <c r="I119" i="13"/>
  <c r="J119" i="13" s="1"/>
  <c r="AG119" i="13" s="1"/>
  <c r="AD119" i="13"/>
  <c r="I120" i="13"/>
  <c r="AF120" i="13" s="1"/>
  <c r="AD120" i="13"/>
  <c r="S142" i="13"/>
  <c r="I142" i="13"/>
  <c r="AD114" i="13"/>
  <c r="I114" i="13"/>
  <c r="S114" i="13"/>
  <c r="AD108" i="13"/>
  <c r="S108" i="13"/>
  <c r="I108" i="13"/>
  <c r="N102" i="13"/>
  <c r="AD102" i="13"/>
  <c r="I102" i="13"/>
  <c r="S92" i="13"/>
  <c r="I92" i="13"/>
  <c r="AF92" i="13" s="1"/>
  <c r="AD92" i="13"/>
  <c r="N126" i="13"/>
  <c r="N93" i="13"/>
  <c r="AJ93" i="13" s="1"/>
  <c r="N88" i="13"/>
  <c r="AJ88" i="13" s="1"/>
  <c r="N79" i="13"/>
  <c r="I79" i="13"/>
  <c r="I62" i="13"/>
  <c r="S62" i="13"/>
  <c r="I61" i="13"/>
  <c r="AF61" i="13" s="1"/>
  <c r="S61" i="13"/>
  <c r="N90" i="13"/>
  <c r="S89" i="13"/>
  <c r="I89" i="13"/>
  <c r="J89" i="13" s="1"/>
  <c r="S86" i="13"/>
  <c r="I86" i="13"/>
  <c r="J86" i="13" s="1"/>
  <c r="N87" i="13"/>
  <c r="I87" i="13"/>
  <c r="J87" i="13" s="1"/>
  <c r="S78" i="13"/>
  <c r="I78" i="13"/>
  <c r="I76" i="13"/>
  <c r="S76" i="13"/>
  <c r="S75" i="13"/>
  <c r="I75" i="13"/>
  <c r="AD74" i="13"/>
  <c r="S74" i="13"/>
  <c r="I74" i="13"/>
  <c r="S77" i="13"/>
  <c r="I77" i="13"/>
  <c r="N69" i="13"/>
  <c r="N130" i="13"/>
  <c r="Y130" i="13" s="1"/>
  <c r="I53" i="13"/>
  <c r="S53" i="13"/>
  <c r="S120" i="13" l="1"/>
  <c r="J149" i="13"/>
  <c r="AG149" i="13" s="1"/>
  <c r="S87" i="13"/>
  <c r="AJ87" i="13"/>
  <c r="AJ102" i="13"/>
  <c r="Y102" i="13"/>
  <c r="AJ120" i="13"/>
  <c r="Y120" i="13"/>
  <c r="AJ106" i="13"/>
  <c r="Y106" i="13"/>
  <c r="AJ69" i="13"/>
  <c r="Y69" i="13"/>
  <c r="AJ79" i="13"/>
  <c r="Y79" i="13"/>
  <c r="S140" i="13"/>
  <c r="Y140" i="13"/>
  <c r="V122" i="13"/>
  <c r="AJ122" i="13"/>
  <c r="Y122" i="13"/>
  <c r="AJ126" i="13"/>
  <c r="Y126" i="13"/>
  <c r="AJ136" i="13"/>
  <c r="Y136" i="13"/>
  <c r="J61" i="13"/>
  <c r="AG61" i="13" s="1"/>
  <c r="J74" i="13"/>
  <c r="AG74" i="13" s="1"/>
  <c r="AF74" i="13"/>
  <c r="J79" i="13"/>
  <c r="AG79" i="13" s="1"/>
  <c r="AF79" i="13"/>
  <c r="J123" i="13"/>
  <c r="AG123" i="13" s="1"/>
  <c r="AF123" i="13"/>
  <c r="J106" i="13"/>
  <c r="AG106" i="13" s="1"/>
  <c r="AF106" i="13"/>
  <c r="J53" i="13"/>
  <c r="AG53" i="13" s="1"/>
  <c r="AF53" i="13"/>
  <c r="J77" i="13"/>
  <c r="AG77" i="13" s="1"/>
  <c r="AF77" i="13"/>
  <c r="J78" i="13"/>
  <c r="AG78" i="13" s="1"/>
  <c r="AF78" i="13"/>
  <c r="S79" i="13"/>
  <c r="J143" i="13"/>
  <c r="AG143" i="13" s="1"/>
  <c r="AF143" i="13"/>
  <c r="J161" i="13"/>
  <c r="AG161" i="13" s="1"/>
  <c r="AF161" i="13"/>
  <c r="J122" i="13"/>
  <c r="AG122" i="13" s="1"/>
  <c r="AF122" i="13"/>
  <c r="J150" i="13"/>
  <c r="AG150" i="13" s="1"/>
  <c r="AF150" i="13"/>
  <c r="J162" i="13"/>
  <c r="AG162" i="13" s="1"/>
  <c r="AF162" i="13"/>
  <c r="J133" i="13"/>
  <c r="AG133" i="13" s="1"/>
  <c r="AF133" i="13"/>
  <c r="J75" i="13"/>
  <c r="AG75" i="13" s="1"/>
  <c r="AF75" i="13"/>
  <c r="J76" i="13"/>
  <c r="AG76" i="13" s="1"/>
  <c r="AF76" i="13"/>
  <c r="J102" i="13"/>
  <c r="AG102" i="13" s="1"/>
  <c r="AF102" i="13"/>
  <c r="J148" i="13"/>
  <c r="AG148" i="13" s="1"/>
  <c r="AF148" i="13"/>
  <c r="J113" i="13"/>
  <c r="AG113" i="13" s="1"/>
  <c r="AF113" i="13"/>
  <c r="S102" i="13"/>
  <c r="J142" i="13"/>
  <c r="AG142" i="13" s="1"/>
  <c r="AF142" i="13"/>
  <c r="J118" i="13"/>
  <c r="AG118" i="13" s="1"/>
  <c r="AF118" i="13"/>
  <c r="J160" i="13"/>
  <c r="AG160" i="13" s="1"/>
  <c r="AF160" i="13"/>
  <c r="J163" i="13"/>
  <c r="AG163" i="13" s="1"/>
  <c r="AF163" i="13"/>
  <c r="J117" i="13"/>
  <c r="AG117" i="13" s="1"/>
  <c r="AF117" i="13"/>
  <c r="J104" i="13"/>
  <c r="AG104" i="13" s="1"/>
  <c r="AF104" i="13"/>
  <c r="J105" i="13"/>
  <c r="AG105" i="13" s="1"/>
  <c r="AF105" i="13"/>
  <c r="S106" i="13"/>
  <c r="J112" i="13"/>
  <c r="AG112" i="13" s="1"/>
  <c r="AF112" i="13"/>
  <c r="J62" i="13"/>
  <c r="AG62" i="13" s="1"/>
  <c r="AF62" i="13"/>
  <c r="J108" i="13"/>
  <c r="AG108" i="13" s="1"/>
  <c r="AF108" i="13"/>
  <c r="J114" i="13"/>
  <c r="AG114" i="13" s="1"/>
  <c r="AF114" i="13"/>
  <c r="J116" i="13"/>
  <c r="AG116" i="13" s="1"/>
  <c r="AF116" i="13"/>
  <c r="J124" i="13"/>
  <c r="AG124" i="13" s="1"/>
  <c r="AF124" i="13"/>
  <c r="J103" i="13"/>
  <c r="AG103" i="13" s="1"/>
  <c r="AF103" i="13"/>
  <c r="J140" i="13"/>
  <c r="AG140" i="13" s="1"/>
  <c r="S122" i="13"/>
  <c r="J120" i="13"/>
  <c r="AG120" i="13" s="1"/>
  <c r="AF119" i="13"/>
  <c r="J92" i="13"/>
  <c r="AG92" i="13" s="1"/>
  <c r="N132" i="13"/>
  <c r="S158" i="13"/>
  <c r="I158" i="13"/>
  <c r="AF158" i="13" s="1"/>
  <c r="AD158" i="13"/>
  <c r="S157" i="13"/>
  <c r="I157" i="13"/>
  <c r="AF157" i="13" s="1"/>
  <c r="AD157" i="13"/>
  <c r="S155" i="13"/>
  <c r="AD155" i="13"/>
  <c r="I155" i="13"/>
  <c r="N156" i="13"/>
  <c r="N154" i="13"/>
  <c r="I67" i="13"/>
  <c r="S67" i="13"/>
  <c r="S43" i="13"/>
  <c r="I43" i="13"/>
  <c r="S66" i="13"/>
  <c r="AD66" i="13"/>
  <c r="I66" i="13"/>
  <c r="AE31" i="13"/>
  <c r="AD31" i="13"/>
  <c r="AC31" i="13"/>
  <c r="AB31" i="13"/>
  <c r="S41" i="13"/>
  <c r="I41" i="13"/>
  <c r="I46" i="13"/>
  <c r="S46" i="13"/>
  <c r="V57" i="13"/>
  <c r="S57" i="13"/>
  <c r="I57" i="13"/>
  <c r="S56" i="13"/>
  <c r="V56" i="13"/>
  <c r="I56" i="13"/>
  <c r="S84" i="13"/>
  <c r="I84" i="13"/>
  <c r="N85" i="13"/>
  <c r="I85" i="13"/>
  <c r="S59" i="13"/>
  <c r="I59" i="13"/>
  <c r="S45" i="13"/>
  <c r="I45" i="13"/>
  <c r="S83" i="13"/>
  <c r="I83" i="13"/>
  <c r="AF83" i="13" s="1"/>
  <c r="AD83" i="13"/>
  <c r="S55" i="13"/>
  <c r="V55" i="13"/>
  <c r="I55" i="13"/>
  <c r="I54" i="13"/>
  <c r="V54" i="13"/>
  <c r="S54" i="13"/>
  <c r="S52" i="13"/>
  <c r="V52" i="13"/>
  <c r="I52" i="13"/>
  <c r="S44" i="13"/>
  <c r="I44" i="13"/>
  <c r="S17" i="13"/>
  <c r="I17" i="13"/>
  <c r="S16" i="13"/>
  <c r="I16" i="13"/>
  <c r="S15" i="13"/>
  <c r="I15" i="13"/>
  <c r="S14" i="13"/>
  <c r="I14" i="13"/>
  <c r="S18" i="13"/>
  <c r="I18" i="13"/>
  <c r="N32" i="13"/>
  <c r="I32" i="13"/>
  <c r="S31" i="13"/>
  <c r="M183" i="13" s="1"/>
  <c r="I31" i="13"/>
  <c r="J31" i="13" s="1"/>
  <c r="AG31" i="13" s="1"/>
  <c r="S40" i="13"/>
  <c r="I40" i="13"/>
  <c r="N35" i="13"/>
  <c r="AJ35" i="13" s="1"/>
  <c r="S27" i="13"/>
  <c r="I27" i="13"/>
  <c r="I26" i="13"/>
  <c r="S26" i="13"/>
  <c r="S24" i="13"/>
  <c r="I24" i="13"/>
  <c r="J24" i="13" s="1"/>
  <c r="AG24" i="13" s="1"/>
  <c r="AD24" i="13"/>
  <c r="S25" i="13"/>
  <c r="I25" i="13"/>
  <c r="AF25" i="13" s="1"/>
  <c r="AD25" i="13"/>
  <c r="N13" i="13"/>
  <c r="Y13" i="13" s="1"/>
  <c r="N19" i="13"/>
  <c r="AJ19" i="13" s="1"/>
  <c r="AJ32" i="13" l="1"/>
  <c r="Y32" i="13"/>
  <c r="AJ132" i="13"/>
  <c r="Y132" i="13"/>
  <c r="AJ85" i="13"/>
  <c r="Y85" i="13"/>
  <c r="AJ154" i="13"/>
  <c r="Y154" i="13"/>
  <c r="J32" i="13"/>
  <c r="AG32" i="13" s="1"/>
  <c r="AF32" i="13"/>
  <c r="AJ156" i="13"/>
  <c r="Y156" i="13"/>
  <c r="J27" i="13"/>
  <c r="AG27" i="13" s="1"/>
  <c r="AF27" i="13"/>
  <c r="S32" i="13"/>
  <c r="J59" i="13"/>
  <c r="AG59" i="13" s="1"/>
  <c r="AF59" i="13"/>
  <c r="J43" i="13"/>
  <c r="AG43" i="13" s="1"/>
  <c r="AF43" i="13"/>
  <c r="J18" i="13"/>
  <c r="AF18" i="13"/>
  <c r="J52" i="13"/>
  <c r="AG52" i="13" s="1"/>
  <c r="AF52" i="13"/>
  <c r="J57" i="13"/>
  <c r="AG57" i="13" s="1"/>
  <c r="AF57" i="13"/>
  <c r="J46" i="13"/>
  <c r="AG46" i="13" s="1"/>
  <c r="AF46" i="13"/>
  <c r="J66" i="13"/>
  <c r="AG66" i="13" s="1"/>
  <c r="AF66" i="13"/>
  <c r="J84" i="13"/>
  <c r="AG84" i="13" s="1"/>
  <c r="AF84" i="13"/>
  <c r="J54" i="13"/>
  <c r="AG54" i="13" s="1"/>
  <c r="AF54" i="13"/>
  <c r="J45" i="13"/>
  <c r="AG45" i="13" s="1"/>
  <c r="AF45" i="13"/>
  <c r="J85" i="13"/>
  <c r="AG85" i="13" s="1"/>
  <c r="AF85" i="13"/>
  <c r="J56" i="13"/>
  <c r="AG56" i="13" s="1"/>
  <c r="AF56" i="13"/>
  <c r="J41" i="13"/>
  <c r="AG41" i="13" s="1"/>
  <c r="AF41" i="13"/>
  <c r="J155" i="13"/>
  <c r="AG155" i="13" s="1"/>
  <c r="AF155" i="13"/>
  <c r="J15" i="13"/>
  <c r="AG15" i="13" s="1"/>
  <c r="AF15" i="13"/>
  <c r="J17" i="13"/>
  <c r="AG17" i="13" s="1"/>
  <c r="AF17" i="13"/>
  <c r="J26" i="13"/>
  <c r="AG26" i="13" s="1"/>
  <c r="AF26" i="13"/>
  <c r="J40" i="13"/>
  <c r="AG40" i="13" s="1"/>
  <c r="AF40" i="13"/>
  <c r="J14" i="13"/>
  <c r="AG14" i="13" s="1"/>
  <c r="AF14" i="13"/>
  <c r="J16" i="13"/>
  <c r="AF16" i="13"/>
  <c r="J44" i="13"/>
  <c r="AG44" i="13" s="1"/>
  <c r="AF44" i="13"/>
  <c r="J55" i="13"/>
  <c r="AG55" i="13" s="1"/>
  <c r="AF55" i="13"/>
  <c r="S85" i="13"/>
  <c r="J67" i="13"/>
  <c r="AG67" i="13" s="1"/>
  <c r="AF67" i="13"/>
  <c r="J25" i="13"/>
  <c r="AG25" i="13" s="1"/>
  <c r="J157" i="13"/>
  <c r="AG157" i="13" s="1"/>
  <c r="J158" i="13"/>
  <c r="AG158" i="13" s="1"/>
  <c r="J83" i="13"/>
  <c r="AG83" i="13" s="1"/>
  <c r="AF24" i="13"/>
  <c r="AF31" i="13"/>
  <c r="F57" i="3"/>
  <c r="F58" i="3"/>
  <c r="O34" i="3"/>
  <c r="M185" i="13"/>
  <c r="M189" i="13"/>
  <c r="AE154" i="13"/>
  <c r="AD154" i="13"/>
  <c r="AC154" i="13"/>
  <c r="AB154" i="13"/>
  <c r="V154" i="13"/>
  <c r="S154" i="13"/>
  <c r="I154" i="13"/>
  <c r="J154" i="13" s="1"/>
  <c r="AG154" i="13" s="1"/>
  <c r="I166" i="13"/>
  <c r="J166" i="13" s="1"/>
  <c r="AE99" i="13"/>
  <c r="AD99" i="13"/>
  <c r="AC99" i="13"/>
  <c r="AB99" i="13"/>
  <c r="S99" i="13"/>
  <c r="I99" i="13"/>
  <c r="J99" i="13" s="1"/>
  <c r="AG99" i="13" s="1"/>
  <c r="U79" i="11"/>
  <c r="U80" i="11"/>
  <c r="R79" i="11"/>
  <c r="R80" i="11"/>
  <c r="I80" i="11"/>
  <c r="J80" i="11" s="1"/>
  <c r="AC80" i="11" s="1"/>
  <c r="Z80" i="11"/>
  <c r="I79" i="11"/>
  <c r="Z79" i="11"/>
  <c r="Y69" i="10"/>
  <c r="Y72" i="10"/>
  <c r="X69" i="10"/>
  <c r="X72" i="10"/>
  <c r="R69" i="10"/>
  <c r="R72" i="10"/>
  <c r="AB84" i="8"/>
  <c r="AB85" i="8"/>
  <c r="AF84" i="8"/>
  <c r="AF85" i="8"/>
  <c r="Z84" i="8"/>
  <c r="Z85" i="8"/>
  <c r="Y84" i="8"/>
  <c r="Y85" i="8"/>
  <c r="X84" i="8"/>
  <c r="X85" i="8"/>
  <c r="R84" i="8"/>
  <c r="R85" i="8"/>
  <c r="I73" i="4"/>
  <c r="J73" i="4" s="1"/>
  <c r="Y167" i="13" l="1"/>
  <c r="F194" i="13"/>
  <c r="AG18" i="13"/>
  <c r="AG16" i="13"/>
  <c r="J79" i="11"/>
  <c r="AC79" i="11" s="1"/>
  <c r="AB79" i="11"/>
  <c r="AF154" i="13"/>
  <c r="AF99" i="13"/>
  <c r="AB80" i="11"/>
  <c r="U79" i="8" l="1"/>
  <c r="D39" i="2"/>
  <c r="D42" i="2"/>
  <c r="X24" i="3"/>
  <c r="Y24" i="3"/>
  <c r="Z24" i="3"/>
  <c r="X15" i="3"/>
  <c r="Y15" i="3"/>
  <c r="Z15" i="3"/>
  <c r="Z16" i="3"/>
  <c r="X19" i="3"/>
  <c r="Y19" i="3"/>
  <c r="Z19" i="3"/>
  <c r="Z26" i="3"/>
  <c r="Y26" i="3"/>
  <c r="X26" i="3"/>
  <c r="Y16" i="3"/>
  <c r="X16" i="3"/>
  <c r="X17" i="3"/>
  <c r="J84" i="8"/>
  <c r="AC84" i="8" s="1"/>
  <c r="J85" i="8"/>
  <c r="AC85" i="8" s="1"/>
  <c r="Z12" i="11"/>
  <c r="AC33" i="13"/>
  <c r="AC34" i="13"/>
  <c r="AC35" i="13"/>
  <c r="AB33" i="13"/>
  <c r="AB34" i="13"/>
  <c r="AB35" i="13"/>
  <c r="AC151" i="13" l="1"/>
  <c r="AC152" i="13"/>
  <c r="AC153" i="13"/>
  <c r="AC164" i="13"/>
  <c r="AC165" i="13"/>
  <c r="AB151" i="13"/>
  <c r="AB152" i="13"/>
  <c r="AB153" i="13"/>
  <c r="AB164" i="13"/>
  <c r="AB165" i="13"/>
  <c r="AC81" i="13"/>
  <c r="AB81" i="13"/>
  <c r="AC68" i="13"/>
  <c r="AB68" i="13"/>
  <c r="U56" i="4"/>
  <c r="U57" i="4"/>
  <c r="U28" i="6"/>
  <c r="U29" i="6"/>
  <c r="U72" i="11"/>
  <c r="U73" i="11"/>
  <c r="U52" i="12"/>
  <c r="V29" i="13"/>
  <c r="N136" i="12"/>
  <c r="R69" i="12"/>
  <c r="AE129" i="13"/>
  <c r="AD129" i="13"/>
  <c r="AC129" i="13"/>
  <c r="AB129" i="13"/>
  <c r="I129" i="13"/>
  <c r="J129" i="13" s="1"/>
  <c r="AG129" i="13" s="1"/>
  <c r="N34" i="13"/>
  <c r="AJ34" i="13" s="1"/>
  <c r="S35" i="13"/>
  <c r="AD29" i="4"/>
  <c r="AC29" i="4"/>
  <c r="AB29" i="4"/>
  <c r="AA29" i="4"/>
  <c r="U29" i="4"/>
  <c r="R29" i="4"/>
  <c r="I29" i="4"/>
  <c r="J29" i="4" s="1"/>
  <c r="AF29" i="4" s="1"/>
  <c r="AD70" i="4"/>
  <c r="AC70" i="4"/>
  <c r="AB70" i="4"/>
  <c r="AA70" i="4"/>
  <c r="U70" i="4"/>
  <c r="R70" i="4"/>
  <c r="I70" i="4"/>
  <c r="J70" i="4" s="1"/>
  <c r="AF70" i="4" s="1"/>
  <c r="AA16" i="6"/>
  <c r="Z16" i="6"/>
  <c r="Y16" i="6"/>
  <c r="X16" i="6"/>
  <c r="U16" i="6"/>
  <c r="R16" i="6"/>
  <c r="I16" i="6"/>
  <c r="AB16" i="6" s="1"/>
  <c r="AA94" i="6"/>
  <c r="Z94" i="6"/>
  <c r="Y94" i="6"/>
  <c r="X94" i="6"/>
  <c r="U94" i="6"/>
  <c r="R94" i="6"/>
  <c r="I94" i="6"/>
  <c r="AB94" i="6" s="1"/>
  <c r="AA98" i="6"/>
  <c r="Z98" i="6"/>
  <c r="Y98" i="6"/>
  <c r="X98" i="6"/>
  <c r="U98" i="6"/>
  <c r="R98" i="6"/>
  <c r="I98" i="6"/>
  <c r="J98" i="6" s="1"/>
  <c r="AC98" i="6" s="1"/>
  <c r="U80" i="7"/>
  <c r="AA79" i="7"/>
  <c r="Z79" i="7"/>
  <c r="Y79" i="7"/>
  <c r="X79" i="7"/>
  <c r="U79" i="7"/>
  <c r="R79" i="7"/>
  <c r="I79" i="7"/>
  <c r="J79" i="7" s="1"/>
  <c r="AC79" i="7" s="1"/>
  <c r="R73" i="7"/>
  <c r="AA73" i="7"/>
  <c r="Z73" i="7"/>
  <c r="Y73" i="7"/>
  <c r="X73" i="7"/>
  <c r="I73" i="7"/>
  <c r="J73" i="7" s="1"/>
  <c r="AC73" i="7" s="1"/>
  <c r="R14" i="7"/>
  <c r="AA78" i="7"/>
  <c r="Z78" i="7"/>
  <c r="Y78" i="7"/>
  <c r="X78" i="7"/>
  <c r="R78" i="7"/>
  <c r="I78" i="7"/>
  <c r="J78" i="7" s="1"/>
  <c r="AC78" i="7" s="1"/>
  <c r="AA17" i="8"/>
  <c r="Z17" i="8"/>
  <c r="Y17" i="8"/>
  <c r="X17" i="8"/>
  <c r="I17" i="8"/>
  <c r="J17" i="8" s="1"/>
  <c r="AC17" i="8" s="1"/>
  <c r="N88" i="8"/>
  <c r="AA72" i="8"/>
  <c r="Z72" i="8"/>
  <c r="Y72" i="8"/>
  <c r="X72" i="8"/>
  <c r="R72" i="8"/>
  <c r="I72" i="8"/>
  <c r="J72" i="8" s="1"/>
  <c r="I87" i="9"/>
  <c r="U69" i="10"/>
  <c r="U72" i="10"/>
  <c r="Z69" i="10"/>
  <c r="I69" i="10"/>
  <c r="I72" i="10"/>
  <c r="AB72" i="10" s="1"/>
  <c r="Z72" i="10"/>
  <c r="AA29" i="11"/>
  <c r="Z29" i="11"/>
  <c r="Y29" i="11"/>
  <c r="X29" i="11"/>
  <c r="U29" i="11"/>
  <c r="R29" i="11"/>
  <c r="I29" i="11"/>
  <c r="J29" i="11" s="1"/>
  <c r="U11" i="12"/>
  <c r="AA23" i="12"/>
  <c r="Z23" i="12"/>
  <c r="Y23" i="12"/>
  <c r="X23" i="12"/>
  <c r="R23" i="12"/>
  <c r="I23" i="12"/>
  <c r="J23" i="12" s="1"/>
  <c r="AC23" i="12" s="1"/>
  <c r="AA58" i="12"/>
  <c r="Z58" i="12"/>
  <c r="Y58" i="12"/>
  <c r="X58" i="12"/>
  <c r="R58" i="12"/>
  <c r="I58" i="12"/>
  <c r="J58" i="12" s="1"/>
  <c r="AC58" i="12" s="1"/>
  <c r="AA68" i="12"/>
  <c r="Z68" i="12"/>
  <c r="Y68" i="12"/>
  <c r="X68" i="12"/>
  <c r="I68" i="12"/>
  <c r="J68" i="12" s="1"/>
  <c r="AA70" i="12"/>
  <c r="Z70" i="12"/>
  <c r="Y70" i="12"/>
  <c r="X70" i="12"/>
  <c r="R70" i="12"/>
  <c r="I70" i="12"/>
  <c r="J70" i="12" s="1"/>
  <c r="AC70" i="12" s="1"/>
  <c r="AA64" i="12"/>
  <c r="Z64" i="12"/>
  <c r="Y64" i="12"/>
  <c r="X64" i="12"/>
  <c r="R64" i="12"/>
  <c r="I64" i="12"/>
  <c r="J64" i="12" s="1"/>
  <c r="AC64" i="12" s="1"/>
  <c r="AA63" i="12"/>
  <c r="Z63" i="12"/>
  <c r="Y63" i="12"/>
  <c r="X63" i="12"/>
  <c r="R63" i="12"/>
  <c r="I63" i="12"/>
  <c r="J63" i="12" s="1"/>
  <c r="AC63" i="12" s="1"/>
  <c r="AA62" i="12"/>
  <c r="Z62" i="12"/>
  <c r="Y62" i="12"/>
  <c r="X62" i="12"/>
  <c r="R62" i="12"/>
  <c r="I62" i="12"/>
  <c r="J62" i="12" s="1"/>
  <c r="AC62" i="12" s="1"/>
  <c r="AA27" i="12"/>
  <c r="Z27" i="12"/>
  <c r="Y27" i="12"/>
  <c r="X27" i="12"/>
  <c r="R27" i="12"/>
  <c r="I27" i="12"/>
  <c r="J27" i="12" s="1"/>
  <c r="AC27" i="12" s="1"/>
  <c r="AA52" i="12"/>
  <c r="Z52" i="12"/>
  <c r="Y52" i="12"/>
  <c r="X52" i="12"/>
  <c r="R52" i="12"/>
  <c r="I52" i="12"/>
  <c r="J52" i="12" s="1"/>
  <c r="AC52" i="12" s="1"/>
  <c r="Z47" i="12"/>
  <c r="AD164" i="13"/>
  <c r="AD39" i="13"/>
  <c r="AD33" i="13"/>
  <c r="AD34" i="13"/>
  <c r="AD35" i="13"/>
  <c r="V28" i="13"/>
  <c r="S81" i="13"/>
  <c r="S33" i="13"/>
  <c r="I39" i="13"/>
  <c r="AF39" i="13" s="1"/>
  <c r="S63" i="13"/>
  <c r="S151" i="13"/>
  <c r="S152" i="13"/>
  <c r="S156" i="13"/>
  <c r="S164" i="13"/>
  <c r="S165" i="13"/>
  <c r="I164" i="13"/>
  <c r="J164" i="13" s="1"/>
  <c r="AG164" i="13" s="1"/>
  <c r="I33" i="13"/>
  <c r="J33" i="13" s="1"/>
  <c r="AG33" i="13" s="1"/>
  <c r="I34" i="13"/>
  <c r="J34" i="13" s="1"/>
  <c r="AG34" i="13" s="1"/>
  <c r="I35" i="13"/>
  <c r="J35" i="13" s="1"/>
  <c r="AG35" i="13" s="1"/>
  <c r="I159" i="13"/>
  <c r="AF159" i="13" s="1"/>
  <c r="AD159" i="13"/>
  <c r="I151" i="13"/>
  <c r="AF151" i="13" s="1"/>
  <c r="AD151" i="13"/>
  <c r="I68" i="13"/>
  <c r="AF68" i="13" s="1"/>
  <c r="AD68" i="13"/>
  <c r="I153" i="13"/>
  <c r="AF153" i="13" s="1"/>
  <c r="AD153" i="13"/>
  <c r="I165" i="13"/>
  <c r="AF165" i="13" s="1"/>
  <c r="AD165" i="13"/>
  <c r="I81" i="13"/>
  <c r="AF81" i="13" s="1"/>
  <c r="AD81" i="13"/>
  <c r="S29" i="13"/>
  <c r="AE166" i="13"/>
  <c r="AD166" i="13"/>
  <c r="AC166" i="13"/>
  <c r="AB166" i="13"/>
  <c r="S166" i="13"/>
  <c r="AG166" i="13"/>
  <c r="AE156" i="13"/>
  <c r="AD156" i="13"/>
  <c r="V156" i="13"/>
  <c r="I156" i="13"/>
  <c r="AE152" i="13"/>
  <c r="AD152" i="13"/>
  <c r="I152" i="13"/>
  <c r="AE147" i="13"/>
  <c r="AD147" i="13"/>
  <c r="AC147" i="13"/>
  <c r="AB147" i="13"/>
  <c r="V147" i="13"/>
  <c r="S147" i="13"/>
  <c r="I147" i="13"/>
  <c r="J147" i="13" s="1"/>
  <c r="AG147" i="13" s="1"/>
  <c r="AE146" i="13"/>
  <c r="AD146" i="13"/>
  <c r="AC146" i="13"/>
  <c r="AB146" i="13"/>
  <c r="V146" i="13"/>
  <c r="S146" i="13"/>
  <c r="I146" i="13"/>
  <c r="AE145" i="13"/>
  <c r="AD145" i="13"/>
  <c r="AC145" i="13"/>
  <c r="AB145" i="13"/>
  <c r="V145" i="13"/>
  <c r="S145" i="13"/>
  <c r="I145" i="13"/>
  <c r="J145" i="13" s="1"/>
  <c r="AG145" i="13" s="1"/>
  <c r="AE144" i="13"/>
  <c r="AD144" i="13"/>
  <c r="AC144" i="13"/>
  <c r="AB144" i="13"/>
  <c r="V144" i="13"/>
  <c r="S144" i="13"/>
  <c r="I144" i="13"/>
  <c r="J144" i="13" s="1"/>
  <c r="AG144" i="13" s="1"/>
  <c r="AE141" i="13"/>
  <c r="V141" i="13"/>
  <c r="S141" i="13"/>
  <c r="I141" i="13"/>
  <c r="AF141" i="13" s="1"/>
  <c r="AE139" i="13"/>
  <c r="AD139" i="13"/>
  <c r="AC139" i="13"/>
  <c r="AB139" i="13"/>
  <c r="V139" i="13"/>
  <c r="S139" i="13"/>
  <c r="I139" i="13"/>
  <c r="J139" i="13" s="1"/>
  <c r="AG139" i="13" s="1"/>
  <c r="AE137" i="13"/>
  <c r="AD137" i="13"/>
  <c r="AC137" i="13"/>
  <c r="AB137" i="13"/>
  <c r="V137" i="13"/>
  <c r="S137" i="13"/>
  <c r="I137" i="13"/>
  <c r="AE136" i="13"/>
  <c r="AD136" i="13"/>
  <c r="AC136" i="13"/>
  <c r="AB136" i="13"/>
  <c r="V136" i="13"/>
  <c r="S136" i="13"/>
  <c r="I136" i="13"/>
  <c r="AE135" i="13"/>
  <c r="AD135" i="13"/>
  <c r="AC135" i="13"/>
  <c r="AB135" i="13"/>
  <c r="S135" i="13"/>
  <c r="I135" i="13"/>
  <c r="J135" i="13" s="1"/>
  <c r="AG135" i="13" s="1"/>
  <c r="AE134" i="13"/>
  <c r="AD134" i="13"/>
  <c r="AC134" i="13"/>
  <c r="AB134" i="13"/>
  <c r="S134" i="13"/>
  <c r="I134" i="13"/>
  <c r="AF134" i="13" s="1"/>
  <c r="AE132" i="13"/>
  <c r="AD132" i="13"/>
  <c r="AC132" i="13"/>
  <c r="AB132" i="13"/>
  <c r="I132" i="13"/>
  <c r="AF132" i="13" s="1"/>
  <c r="AE130" i="13"/>
  <c r="AD130" i="13"/>
  <c r="AC130" i="13"/>
  <c r="AB130" i="13"/>
  <c r="V130" i="13"/>
  <c r="S130" i="13"/>
  <c r="I130" i="13"/>
  <c r="AF130" i="13" s="1"/>
  <c r="AE127" i="13"/>
  <c r="AD127" i="13"/>
  <c r="AC127" i="13"/>
  <c r="AB127" i="13"/>
  <c r="V127" i="13"/>
  <c r="S127" i="13"/>
  <c r="I127" i="13"/>
  <c r="J127" i="13" s="1"/>
  <c r="AG127" i="13" s="1"/>
  <c r="AE126" i="13"/>
  <c r="AD126" i="13"/>
  <c r="AC126" i="13"/>
  <c r="AB126" i="13"/>
  <c r="V126" i="13"/>
  <c r="S126" i="13"/>
  <c r="I126" i="13"/>
  <c r="AE125" i="13"/>
  <c r="AD125" i="13"/>
  <c r="AC125" i="13"/>
  <c r="AB125" i="13"/>
  <c r="S125" i="13"/>
  <c r="I125" i="13"/>
  <c r="AF125" i="13" s="1"/>
  <c r="AE121" i="13"/>
  <c r="AD121" i="13"/>
  <c r="AC121" i="13"/>
  <c r="AB121" i="13"/>
  <c r="V121" i="13"/>
  <c r="S121" i="13"/>
  <c r="I121" i="13"/>
  <c r="J121" i="13" s="1"/>
  <c r="AG121" i="13" s="1"/>
  <c r="AE115" i="13"/>
  <c r="AD115" i="13"/>
  <c r="AC115" i="13"/>
  <c r="AB115" i="13"/>
  <c r="V115" i="13"/>
  <c r="S115" i="13"/>
  <c r="I115" i="13"/>
  <c r="AE111" i="13"/>
  <c r="AD111" i="13"/>
  <c r="AC111" i="13"/>
  <c r="AB111" i="13"/>
  <c r="S111" i="13"/>
  <c r="I111" i="13"/>
  <c r="AE110" i="13"/>
  <c r="AD110" i="13"/>
  <c r="AC110" i="13"/>
  <c r="AB110" i="13"/>
  <c r="S110" i="13"/>
  <c r="I110" i="13"/>
  <c r="J110" i="13" s="1"/>
  <c r="AE109" i="13"/>
  <c r="AD109" i="13"/>
  <c r="AC109" i="13"/>
  <c r="AB109" i="13"/>
  <c r="V109" i="13"/>
  <c r="S109" i="13"/>
  <c r="I109" i="13"/>
  <c r="AF109" i="13" s="1"/>
  <c r="AE101" i="13"/>
  <c r="AD101" i="13"/>
  <c r="AC101" i="13"/>
  <c r="AB101" i="13"/>
  <c r="V101" i="13"/>
  <c r="S101" i="13"/>
  <c r="I101" i="13"/>
  <c r="AF101" i="13" s="1"/>
  <c r="AE100" i="13"/>
  <c r="AD100" i="13"/>
  <c r="AC100" i="13"/>
  <c r="AB100" i="13"/>
  <c r="S100" i="13"/>
  <c r="I100" i="13"/>
  <c r="J100" i="13" s="1"/>
  <c r="AG100" i="13" s="1"/>
  <c r="AE98" i="13"/>
  <c r="AD98" i="13"/>
  <c r="AC98" i="13"/>
  <c r="AB98" i="13"/>
  <c r="S98" i="13"/>
  <c r="I98" i="13"/>
  <c r="J98" i="13" s="1"/>
  <c r="AG98" i="13" s="1"/>
  <c r="AE97" i="13"/>
  <c r="AD97" i="13"/>
  <c r="AC97" i="13"/>
  <c r="AB97" i="13"/>
  <c r="S97" i="13"/>
  <c r="I97" i="13"/>
  <c r="J97" i="13" s="1"/>
  <c r="AG97" i="13" s="1"/>
  <c r="AE96" i="13"/>
  <c r="AD96" i="13"/>
  <c r="AC96" i="13"/>
  <c r="AB96" i="13"/>
  <c r="S96" i="13"/>
  <c r="I96" i="13"/>
  <c r="J96" i="13" s="1"/>
  <c r="AG96" i="13" s="1"/>
  <c r="AE95" i="13"/>
  <c r="AD95" i="13"/>
  <c r="AC95" i="13"/>
  <c r="AB95" i="13"/>
  <c r="S95" i="13"/>
  <c r="I95" i="13"/>
  <c r="AF95" i="13" s="1"/>
  <c r="AE94" i="13"/>
  <c r="AD94" i="13"/>
  <c r="AC94" i="13"/>
  <c r="AB94" i="13"/>
  <c r="S94" i="13"/>
  <c r="I94" i="13"/>
  <c r="AE93" i="13"/>
  <c r="AD93" i="13"/>
  <c r="AC93" i="13"/>
  <c r="AB93" i="13"/>
  <c r="S93" i="13"/>
  <c r="I93" i="13"/>
  <c r="J93" i="13" s="1"/>
  <c r="AG93" i="13" s="1"/>
  <c r="AE91" i="13"/>
  <c r="AD91" i="13"/>
  <c r="AC91" i="13"/>
  <c r="AB91" i="13"/>
  <c r="S91" i="13"/>
  <c r="I91" i="13"/>
  <c r="AF91" i="13" s="1"/>
  <c r="AE90" i="13"/>
  <c r="AD90" i="13"/>
  <c r="AC90" i="13"/>
  <c r="AB90" i="13"/>
  <c r="V90" i="13"/>
  <c r="S90" i="13"/>
  <c r="I90" i="13"/>
  <c r="J90" i="13" s="1"/>
  <c r="AG90" i="13" s="1"/>
  <c r="AE89" i="13"/>
  <c r="AD89" i="13"/>
  <c r="AC89" i="13"/>
  <c r="AB89" i="13"/>
  <c r="V89" i="13"/>
  <c r="AF89" i="13"/>
  <c r="AE88" i="13"/>
  <c r="AD88" i="13"/>
  <c r="AC88" i="13"/>
  <c r="AB88" i="13"/>
  <c r="S88" i="13"/>
  <c r="I88" i="13"/>
  <c r="AE87" i="13"/>
  <c r="AD87" i="13"/>
  <c r="AC87" i="13"/>
  <c r="AB87" i="13"/>
  <c r="AG87" i="13"/>
  <c r="AE86" i="13"/>
  <c r="AD86" i="13"/>
  <c r="AC86" i="13"/>
  <c r="AB86" i="13"/>
  <c r="AE82" i="13"/>
  <c r="AD82" i="13"/>
  <c r="AC82" i="13"/>
  <c r="AB82" i="13"/>
  <c r="S82" i="13"/>
  <c r="I82" i="13"/>
  <c r="J82" i="13" s="1"/>
  <c r="AG82" i="13" s="1"/>
  <c r="AE80" i="13"/>
  <c r="AD80" i="13"/>
  <c r="AC80" i="13"/>
  <c r="AB80" i="13"/>
  <c r="S80" i="13"/>
  <c r="I80" i="13"/>
  <c r="J80" i="13" s="1"/>
  <c r="AG80" i="13" s="1"/>
  <c r="AE73" i="13"/>
  <c r="AD73" i="13"/>
  <c r="AC73" i="13"/>
  <c r="AB73" i="13"/>
  <c r="V73" i="13"/>
  <c r="S73" i="13"/>
  <c r="I73" i="13"/>
  <c r="J73" i="13" s="1"/>
  <c r="AG73" i="13" s="1"/>
  <c r="AE72" i="13"/>
  <c r="AD72" i="13"/>
  <c r="AC72" i="13"/>
  <c r="AB72" i="13"/>
  <c r="S72" i="13"/>
  <c r="I72" i="13"/>
  <c r="J72" i="13" s="1"/>
  <c r="AG72" i="13" s="1"/>
  <c r="AE71" i="13"/>
  <c r="AD71" i="13"/>
  <c r="AC71" i="13"/>
  <c r="AB71" i="13"/>
  <c r="V71" i="13"/>
  <c r="S71" i="13"/>
  <c r="I71" i="13"/>
  <c r="J71" i="13" s="1"/>
  <c r="AG71" i="13" s="1"/>
  <c r="AE69" i="13"/>
  <c r="AD69" i="13"/>
  <c r="AC69" i="13"/>
  <c r="AB69" i="13"/>
  <c r="V69" i="13"/>
  <c r="S69" i="13"/>
  <c r="I69" i="13"/>
  <c r="AF69" i="13" s="1"/>
  <c r="AE65" i="13"/>
  <c r="AD65" i="13"/>
  <c r="AC65" i="13"/>
  <c r="AB65" i="13"/>
  <c r="V65" i="13"/>
  <c r="S65" i="13"/>
  <c r="I65" i="13"/>
  <c r="J65" i="13" s="1"/>
  <c r="AG65" i="13" s="1"/>
  <c r="AE64" i="13"/>
  <c r="AD64" i="13"/>
  <c r="AC64" i="13"/>
  <c r="AB64" i="13"/>
  <c r="V64" i="13"/>
  <c r="S64" i="13"/>
  <c r="I64" i="13"/>
  <c r="J64" i="13" s="1"/>
  <c r="AG64" i="13" s="1"/>
  <c r="AE63" i="13"/>
  <c r="AD63" i="13"/>
  <c r="AC63" i="13"/>
  <c r="AB63" i="13"/>
  <c r="I63" i="13"/>
  <c r="J63" i="13" s="1"/>
  <c r="AG63" i="13" s="1"/>
  <c r="AE60" i="13"/>
  <c r="AD60" i="13"/>
  <c r="AC60" i="13"/>
  <c r="AB60" i="13"/>
  <c r="S60" i="13"/>
  <c r="I60" i="13"/>
  <c r="AE58" i="13"/>
  <c r="AD58" i="13"/>
  <c r="AC58" i="13"/>
  <c r="AB58" i="13"/>
  <c r="S58" i="13"/>
  <c r="I58" i="13"/>
  <c r="AF58" i="13" s="1"/>
  <c r="AE51" i="13"/>
  <c r="AD51" i="13"/>
  <c r="AC51" i="13"/>
  <c r="AB51" i="13"/>
  <c r="V51" i="13"/>
  <c r="S51" i="13"/>
  <c r="I51" i="13"/>
  <c r="AF51" i="13" s="1"/>
  <c r="AE50" i="13"/>
  <c r="AD50" i="13"/>
  <c r="AC50" i="13"/>
  <c r="AB50" i="13"/>
  <c r="V50" i="13"/>
  <c r="S50" i="13"/>
  <c r="I50" i="13"/>
  <c r="J50" i="13" s="1"/>
  <c r="AG50" i="13" s="1"/>
  <c r="AE49" i="13"/>
  <c r="AD49" i="13"/>
  <c r="AC49" i="13"/>
  <c r="AB49" i="13"/>
  <c r="V49" i="13"/>
  <c r="S49" i="13"/>
  <c r="I49" i="13"/>
  <c r="AF49" i="13" s="1"/>
  <c r="AE48" i="13"/>
  <c r="AD48" i="13"/>
  <c r="AC48" i="13"/>
  <c r="AB48" i="13"/>
  <c r="V48" i="13"/>
  <c r="S48" i="13"/>
  <c r="I48" i="13"/>
  <c r="AE47" i="13"/>
  <c r="AD47" i="13"/>
  <c r="AC47" i="13"/>
  <c r="AB47" i="13"/>
  <c r="V47" i="13"/>
  <c r="S47" i="13"/>
  <c r="I47" i="13"/>
  <c r="J47" i="13" s="1"/>
  <c r="AG47" i="13" s="1"/>
  <c r="AE42" i="13"/>
  <c r="AD42" i="13"/>
  <c r="AC42" i="13"/>
  <c r="AB42" i="13"/>
  <c r="V42" i="13"/>
  <c r="S42" i="13"/>
  <c r="I42" i="13"/>
  <c r="J42" i="13" s="1"/>
  <c r="AE38" i="13"/>
  <c r="AD38" i="13"/>
  <c r="AC38" i="13"/>
  <c r="AB38" i="13"/>
  <c r="V38" i="13"/>
  <c r="S38" i="13"/>
  <c r="I38" i="13"/>
  <c r="AE37" i="13"/>
  <c r="AD37" i="13"/>
  <c r="AC37" i="13"/>
  <c r="AB37" i="13"/>
  <c r="V37" i="13"/>
  <c r="S37" i="13"/>
  <c r="I37" i="13"/>
  <c r="AF37" i="13" s="1"/>
  <c r="AE36" i="13"/>
  <c r="AD36" i="13"/>
  <c r="AC36" i="13"/>
  <c r="AB36" i="13"/>
  <c r="V36" i="13"/>
  <c r="S36" i="13"/>
  <c r="I36" i="13"/>
  <c r="AF36" i="13" s="1"/>
  <c r="AE29" i="13"/>
  <c r="AD29" i="13"/>
  <c r="AC29" i="13"/>
  <c r="AB29" i="13"/>
  <c r="I29" i="13"/>
  <c r="AE28" i="13"/>
  <c r="AD28" i="13"/>
  <c r="AC28" i="13"/>
  <c r="AB28" i="13"/>
  <c r="S28" i="13"/>
  <c r="I28" i="13"/>
  <c r="AF28" i="13" s="1"/>
  <c r="AE23" i="13"/>
  <c r="AD23" i="13"/>
  <c r="AC23" i="13"/>
  <c r="AB23" i="13"/>
  <c r="S23" i="13"/>
  <c r="I23" i="13"/>
  <c r="AE22" i="13"/>
  <c r="AD22" i="13"/>
  <c r="AC22" i="13"/>
  <c r="AB22" i="13"/>
  <c r="S22" i="13"/>
  <c r="I22" i="13"/>
  <c r="AE21" i="13"/>
  <c r="AD21" i="13"/>
  <c r="AC21" i="13"/>
  <c r="AB21" i="13"/>
  <c r="S21" i="13"/>
  <c r="I21" i="13"/>
  <c r="J21" i="13" s="1"/>
  <c r="AE20" i="13"/>
  <c r="AD20" i="13"/>
  <c r="AC20" i="13"/>
  <c r="AB20" i="13"/>
  <c r="S20" i="13"/>
  <c r="I20" i="13"/>
  <c r="J20" i="13" s="1"/>
  <c r="AE19" i="13"/>
  <c r="AD19" i="13"/>
  <c r="S19" i="13"/>
  <c r="I19" i="13"/>
  <c r="AF19" i="13" s="1"/>
  <c r="AE13" i="13"/>
  <c r="AD13" i="13"/>
  <c r="AC13" i="13"/>
  <c r="AB13" i="13"/>
  <c r="V13" i="13"/>
  <c r="S13" i="13"/>
  <c r="I13" i="13"/>
  <c r="AF13" i="13" s="1"/>
  <c r="AE12" i="13"/>
  <c r="AD12" i="13"/>
  <c r="AC12" i="13"/>
  <c r="AB12" i="13"/>
  <c r="V12" i="13"/>
  <c r="S12" i="13"/>
  <c r="I12" i="13"/>
  <c r="J12" i="13" s="1"/>
  <c r="AF134" i="12"/>
  <c r="I134" i="12"/>
  <c r="J134" i="12" s="1"/>
  <c r="AA128" i="12"/>
  <c r="Z128" i="12"/>
  <c r="Y128" i="12"/>
  <c r="X128" i="12"/>
  <c r="R128" i="12"/>
  <c r="I128" i="12"/>
  <c r="AA127" i="12"/>
  <c r="Z127" i="12"/>
  <c r="Y127" i="12"/>
  <c r="X127" i="12"/>
  <c r="U127" i="12"/>
  <c r="R127" i="12"/>
  <c r="I127" i="12"/>
  <c r="AB127" i="12" s="1"/>
  <c r="AA122" i="12"/>
  <c r="Z122" i="12"/>
  <c r="Y122" i="12"/>
  <c r="X122" i="12"/>
  <c r="U122" i="12"/>
  <c r="R122" i="12"/>
  <c r="I122" i="12"/>
  <c r="J122" i="12" s="1"/>
  <c r="AC122" i="12" s="1"/>
  <c r="AA99" i="12"/>
  <c r="Z99" i="12"/>
  <c r="Y99" i="12"/>
  <c r="X99" i="12"/>
  <c r="R99" i="12"/>
  <c r="I99" i="12"/>
  <c r="AA98" i="12"/>
  <c r="Z98" i="12"/>
  <c r="Y98" i="12"/>
  <c r="X98" i="12"/>
  <c r="U98" i="12"/>
  <c r="R98" i="12"/>
  <c r="I98" i="12"/>
  <c r="AA97" i="12"/>
  <c r="Z97" i="12"/>
  <c r="Y97" i="12"/>
  <c r="X97" i="12"/>
  <c r="R97" i="12"/>
  <c r="I97" i="12"/>
  <c r="AB97" i="12" s="1"/>
  <c r="AA96" i="12"/>
  <c r="Z96" i="12"/>
  <c r="Y96" i="12"/>
  <c r="X96" i="12"/>
  <c r="R96" i="12"/>
  <c r="I96" i="12"/>
  <c r="J96" i="12" s="1"/>
  <c r="AC96" i="12" s="1"/>
  <c r="AA95" i="12"/>
  <c r="Z95" i="12"/>
  <c r="Y95" i="12"/>
  <c r="X95" i="12"/>
  <c r="R95" i="12"/>
  <c r="I95" i="12"/>
  <c r="AB95" i="12" s="1"/>
  <c r="AA94" i="12"/>
  <c r="Z94" i="12"/>
  <c r="Y94" i="12"/>
  <c r="X94" i="12"/>
  <c r="R94" i="12"/>
  <c r="I94" i="12"/>
  <c r="AB94" i="12" s="1"/>
  <c r="AA93" i="12"/>
  <c r="Z93" i="12"/>
  <c r="Y93" i="12"/>
  <c r="X93" i="12"/>
  <c r="R93" i="12"/>
  <c r="I93" i="12"/>
  <c r="J93" i="12" s="1"/>
  <c r="AC93" i="12" s="1"/>
  <c r="AA92" i="12"/>
  <c r="Z92" i="12"/>
  <c r="Y92" i="12"/>
  <c r="X92" i="12"/>
  <c r="R92" i="12"/>
  <c r="I92" i="12"/>
  <c r="J92" i="12" s="1"/>
  <c r="AC92" i="12" s="1"/>
  <c r="I89" i="12"/>
  <c r="AA88" i="12"/>
  <c r="Z88" i="12"/>
  <c r="Y88" i="12"/>
  <c r="X88" i="12"/>
  <c r="U88" i="12"/>
  <c r="R88" i="12"/>
  <c r="I88" i="12"/>
  <c r="J88" i="12" s="1"/>
  <c r="AC88" i="12" s="1"/>
  <c r="AA87" i="12"/>
  <c r="Z87" i="12"/>
  <c r="Y87" i="12"/>
  <c r="X87" i="12"/>
  <c r="R87" i="12"/>
  <c r="I87" i="12"/>
  <c r="AB87" i="12" s="1"/>
  <c r="AA86" i="12"/>
  <c r="Z86" i="12"/>
  <c r="Y86" i="12"/>
  <c r="X86" i="12"/>
  <c r="R86" i="12"/>
  <c r="I86" i="12"/>
  <c r="AA85" i="12"/>
  <c r="Z85" i="12"/>
  <c r="Y85" i="12"/>
  <c r="X85" i="12"/>
  <c r="R85" i="12"/>
  <c r="I85" i="12"/>
  <c r="J85" i="12" s="1"/>
  <c r="AC85" i="12" s="1"/>
  <c r="AA82" i="12"/>
  <c r="Z82" i="12"/>
  <c r="Y82" i="12"/>
  <c r="X82" i="12"/>
  <c r="R82" i="12"/>
  <c r="I82" i="12"/>
  <c r="AB82" i="12" s="1"/>
  <c r="AA81" i="12"/>
  <c r="Z81" i="12"/>
  <c r="Y81" i="12"/>
  <c r="X81" i="12"/>
  <c r="R81" i="12"/>
  <c r="I81" i="12"/>
  <c r="AB81" i="12" s="1"/>
  <c r="AA80" i="12"/>
  <c r="Z80" i="12"/>
  <c r="Y80" i="12"/>
  <c r="X80" i="12"/>
  <c r="R80" i="12"/>
  <c r="I80" i="12"/>
  <c r="J80" i="12" s="1"/>
  <c r="AC80" i="12" s="1"/>
  <c r="AA79" i="12"/>
  <c r="Z79" i="12"/>
  <c r="Y79" i="12"/>
  <c r="X79" i="12"/>
  <c r="R79" i="12"/>
  <c r="I79" i="12"/>
  <c r="AB79" i="12" s="1"/>
  <c r="AA78" i="12"/>
  <c r="Z78" i="12"/>
  <c r="Y78" i="12"/>
  <c r="X78" i="12"/>
  <c r="R78" i="12"/>
  <c r="I78" i="12"/>
  <c r="AB78" i="12" s="1"/>
  <c r="AA77" i="12"/>
  <c r="Z77" i="12"/>
  <c r="Y77" i="12"/>
  <c r="X77" i="12"/>
  <c r="R77" i="12"/>
  <c r="I77" i="12"/>
  <c r="J77" i="12" s="1"/>
  <c r="AC77" i="12" s="1"/>
  <c r="AA75" i="12"/>
  <c r="Z75" i="12"/>
  <c r="Y75" i="12"/>
  <c r="X75" i="12"/>
  <c r="R75" i="12"/>
  <c r="I75" i="12"/>
  <c r="J75" i="12" s="1"/>
  <c r="AC75" i="12" s="1"/>
  <c r="AA71" i="12"/>
  <c r="Z71" i="12"/>
  <c r="Y71" i="12"/>
  <c r="X71" i="12"/>
  <c r="R71" i="12"/>
  <c r="I71" i="12"/>
  <c r="AA69" i="12"/>
  <c r="Z69" i="12"/>
  <c r="Y69" i="12"/>
  <c r="X69" i="12"/>
  <c r="I69" i="12"/>
  <c r="J69" i="12" s="1"/>
  <c r="AC69" i="12" s="1"/>
  <c r="AA66" i="12"/>
  <c r="Z66" i="12"/>
  <c r="Y66" i="12"/>
  <c r="X66" i="12"/>
  <c r="U66" i="12"/>
  <c r="R66" i="12"/>
  <c r="I66" i="12"/>
  <c r="AA65" i="12"/>
  <c r="Z65" i="12"/>
  <c r="Y65" i="12"/>
  <c r="X65" i="12"/>
  <c r="R65" i="12"/>
  <c r="I65" i="12"/>
  <c r="J65" i="12" s="1"/>
  <c r="AC65" i="12" s="1"/>
  <c r="AA61" i="12"/>
  <c r="Z61" i="12"/>
  <c r="Y61" i="12"/>
  <c r="X61" i="12"/>
  <c r="U61" i="12"/>
  <c r="R61" i="12"/>
  <c r="I61" i="12"/>
  <c r="J61" i="12" s="1"/>
  <c r="AC61" i="12" s="1"/>
  <c r="AA57" i="12"/>
  <c r="Z57" i="12"/>
  <c r="Y57" i="12"/>
  <c r="X57" i="12"/>
  <c r="R57" i="12"/>
  <c r="I57" i="12"/>
  <c r="J57" i="12" s="1"/>
  <c r="AC57" i="12" s="1"/>
  <c r="AA56" i="12"/>
  <c r="Z56" i="12"/>
  <c r="Y56" i="12"/>
  <c r="X56" i="12"/>
  <c r="R56" i="12"/>
  <c r="I56" i="12"/>
  <c r="AB56" i="12" s="1"/>
  <c r="AA55" i="12"/>
  <c r="Z55" i="12"/>
  <c r="Y55" i="12"/>
  <c r="X55" i="12"/>
  <c r="R55" i="12"/>
  <c r="I55" i="12"/>
  <c r="AB55" i="12" s="1"/>
  <c r="AA53" i="12"/>
  <c r="Z53" i="12"/>
  <c r="Y53" i="12"/>
  <c r="X53" i="12"/>
  <c r="U53" i="12"/>
  <c r="I53" i="12"/>
  <c r="J53" i="12" s="1"/>
  <c r="AA49" i="12"/>
  <c r="Z49" i="12"/>
  <c r="Y49" i="12"/>
  <c r="X49" i="12"/>
  <c r="R49" i="12"/>
  <c r="I49" i="12"/>
  <c r="AA47" i="12"/>
  <c r="Y47" i="12"/>
  <c r="X47" i="12"/>
  <c r="I47" i="12"/>
  <c r="AA34" i="12"/>
  <c r="Z34" i="12"/>
  <c r="Y34" i="12"/>
  <c r="X34" i="12"/>
  <c r="U34" i="12"/>
  <c r="R34" i="12"/>
  <c r="I34" i="12"/>
  <c r="AB34" i="12" s="1"/>
  <c r="AA33" i="12"/>
  <c r="Z33" i="12"/>
  <c r="Y33" i="12"/>
  <c r="X33" i="12"/>
  <c r="R33" i="12"/>
  <c r="I33" i="12"/>
  <c r="AB33" i="12" s="1"/>
  <c r="AA32" i="12"/>
  <c r="Z32" i="12"/>
  <c r="Y32" i="12"/>
  <c r="X32" i="12"/>
  <c r="R32" i="12"/>
  <c r="I32" i="12"/>
  <c r="AA31" i="12"/>
  <c r="Z31" i="12"/>
  <c r="Y31" i="12"/>
  <c r="X31" i="12"/>
  <c r="R31" i="12"/>
  <c r="I31" i="12"/>
  <c r="AB31" i="12" s="1"/>
  <c r="AA29" i="12"/>
  <c r="Z29" i="12"/>
  <c r="Y29" i="12"/>
  <c r="X29" i="12"/>
  <c r="R29" i="12"/>
  <c r="I29" i="12"/>
  <c r="AA28" i="12"/>
  <c r="Z28" i="12"/>
  <c r="Y28" i="12"/>
  <c r="X28" i="12"/>
  <c r="U28" i="12"/>
  <c r="R28" i="12"/>
  <c r="I28" i="12"/>
  <c r="AB28" i="12" s="1"/>
  <c r="AA26" i="12"/>
  <c r="Z26" i="12"/>
  <c r="Y26" i="12"/>
  <c r="X26" i="12"/>
  <c r="U26" i="12"/>
  <c r="R26" i="12"/>
  <c r="I26" i="12"/>
  <c r="J26" i="12" s="1"/>
  <c r="AC26" i="12" s="1"/>
  <c r="AA25" i="12"/>
  <c r="Z25" i="12"/>
  <c r="Y25" i="12"/>
  <c r="X25" i="12"/>
  <c r="R25" i="12"/>
  <c r="I25" i="12"/>
  <c r="AA24" i="12"/>
  <c r="Z24" i="12"/>
  <c r="Y24" i="12"/>
  <c r="X24" i="12"/>
  <c r="R24" i="12"/>
  <c r="I24" i="12"/>
  <c r="J24" i="12" s="1"/>
  <c r="AC24" i="12" s="1"/>
  <c r="AA11" i="12"/>
  <c r="Z11" i="12"/>
  <c r="Y11" i="12"/>
  <c r="X11" i="12"/>
  <c r="I11" i="12"/>
  <c r="AB11" i="12" s="1"/>
  <c r="AF124" i="11"/>
  <c r="R124" i="11"/>
  <c r="G124" i="11"/>
  <c r="I124" i="11" s="1"/>
  <c r="J124" i="11" s="1"/>
  <c r="Y121" i="11"/>
  <c r="X121" i="11"/>
  <c r="U121" i="11"/>
  <c r="R121" i="11"/>
  <c r="I121" i="11"/>
  <c r="AA116" i="11"/>
  <c r="Z116" i="11"/>
  <c r="Y116" i="11"/>
  <c r="X116" i="11"/>
  <c r="U116" i="11"/>
  <c r="R116" i="11"/>
  <c r="I116" i="11"/>
  <c r="J116" i="11" s="1"/>
  <c r="AC116" i="11" s="1"/>
  <c r="AA115" i="11"/>
  <c r="Z115" i="11"/>
  <c r="Y115" i="11"/>
  <c r="X115" i="11"/>
  <c r="U115" i="11"/>
  <c r="R115" i="11"/>
  <c r="I115" i="11"/>
  <c r="AB115" i="11" s="1"/>
  <c r="AA114" i="11"/>
  <c r="Z114" i="11"/>
  <c r="Y114" i="11"/>
  <c r="X114" i="11"/>
  <c r="R114" i="11"/>
  <c r="I114" i="11"/>
  <c r="AA113" i="11"/>
  <c r="Z113" i="11"/>
  <c r="Y113" i="11"/>
  <c r="X113" i="11"/>
  <c r="R113" i="11"/>
  <c r="I113" i="11"/>
  <c r="AB113" i="11" s="1"/>
  <c r="AA112" i="11"/>
  <c r="Z112" i="11"/>
  <c r="Y112" i="11"/>
  <c r="X112" i="11"/>
  <c r="U112" i="11"/>
  <c r="R112" i="11"/>
  <c r="I112" i="11"/>
  <c r="J112" i="11" s="1"/>
  <c r="AC112" i="11" s="1"/>
  <c r="AA111" i="11"/>
  <c r="Z111" i="11"/>
  <c r="Y111" i="11"/>
  <c r="X111" i="11"/>
  <c r="U111" i="11"/>
  <c r="R111" i="11"/>
  <c r="I111" i="11"/>
  <c r="J111" i="11" s="1"/>
  <c r="AC111" i="11" s="1"/>
  <c r="AA107" i="11"/>
  <c r="Z107" i="11"/>
  <c r="Y107" i="11"/>
  <c r="X107" i="11"/>
  <c r="R107" i="11"/>
  <c r="I107" i="11"/>
  <c r="J107" i="11" s="1"/>
  <c r="AC107" i="11" s="1"/>
  <c r="AA106" i="11"/>
  <c r="Z106" i="11"/>
  <c r="Y106" i="11"/>
  <c r="X106" i="11"/>
  <c r="R106" i="11"/>
  <c r="I106" i="11"/>
  <c r="J106" i="11" s="1"/>
  <c r="AC106" i="11" s="1"/>
  <c r="AA95" i="11"/>
  <c r="Z95" i="11"/>
  <c r="Y95" i="11"/>
  <c r="X95" i="11"/>
  <c r="U95" i="11"/>
  <c r="R95" i="11"/>
  <c r="AB95" i="11"/>
  <c r="AA86" i="11"/>
  <c r="Z86" i="11"/>
  <c r="Y86" i="11"/>
  <c r="X86" i="11"/>
  <c r="R86" i="11"/>
  <c r="I86" i="11"/>
  <c r="AA85" i="11"/>
  <c r="Z85" i="11"/>
  <c r="Y85" i="11"/>
  <c r="X85" i="11"/>
  <c r="R85" i="11"/>
  <c r="I85" i="11"/>
  <c r="J85" i="11" s="1"/>
  <c r="AC85" i="11" s="1"/>
  <c r="AA83" i="11"/>
  <c r="Z83" i="11"/>
  <c r="Y83" i="11"/>
  <c r="X83" i="11"/>
  <c r="U83" i="11"/>
  <c r="R83" i="11"/>
  <c r="I83" i="11"/>
  <c r="AB83" i="11" s="1"/>
  <c r="AA82" i="11"/>
  <c r="Z82" i="11"/>
  <c r="Y82" i="11"/>
  <c r="X82" i="11"/>
  <c r="U82" i="11"/>
  <c r="R82" i="11"/>
  <c r="I82" i="11"/>
  <c r="AA81" i="11"/>
  <c r="Z81" i="11"/>
  <c r="Y81" i="11"/>
  <c r="X81" i="11"/>
  <c r="U81" i="11"/>
  <c r="R81" i="11"/>
  <c r="I81" i="11"/>
  <c r="AB81" i="11" s="1"/>
  <c r="AA77" i="11"/>
  <c r="Z77" i="11"/>
  <c r="Y77" i="11"/>
  <c r="X77" i="11"/>
  <c r="U77" i="11"/>
  <c r="R77" i="11"/>
  <c r="I77" i="11"/>
  <c r="J77" i="11" s="1"/>
  <c r="AC77" i="11" s="1"/>
  <c r="AA76" i="11"/>
  <c r="Z76" i="11"/>
  <c r="Y76" i="11"/>
  <c r="X76" i="11"/>
  <c r="R76" i="11"/>
  <c r="I76" i="11"/>
  <c r="AA75" i="11"/>
  <c r="Z75" i="11"/>
  <c r="Y75" i="11"/>
  <c r="X75" i="11"/>
  <c r="R75" i="11"/>
  <c r="I75" i="11"/>
  <c r="AA74" i="11"/>
  <c r="Z74" i="11"/>
  <c r="Y74" i="11"/>
  <c r="X74" i="11"/>
  <c r="R74" i="11"/>
  <c r="I74" i="11"/>
  <c r="AB74" i="11" s="1"/>
  <c r="AA73" i="11"/>
  <c r="Z73" i="11"/>
  <c r="Y73" i="11"/>
  <c r="X73" i="11"/>
  <c r="R73" i="11"/>
  <c r="I73" i="11"/>
  <c r="AB73" i="11" s="1"/>
  <c r="AA72" i="11"/>
  <c r="Z72" i="11"/>
  <c r="Y72" i="11"/>
  <c r="X72" i="11"/>
  <c r="R72" i="11"/>
  <c r="I72" i="11"/>
  <c r="AB72" i="11" s="1"/>
  <c r="AA60" i="11"/>
  <c r="Z60" i="11"/>
  <c r="Y60" i="11"/>
  <c r="X60" i="11"/>
  <c r="U60" i="11"/>
  <c r="R60" i="11"/>
  <c r="I60" i="11"/>
  <c r="J60" i="11" s="1"/>
  <c r="AC60" i="11" s="1"/>
  <c r="AA58" i="11"/>
  <c r="Z58" i="11"/>
  <c r="Y58" i="11"/>
  <c r="X58" i="11"/>
  <c r="U58" i="11"/>
  <c r="R58" i="11"/>
  <c r="I58" i="11"/>
  <c r="AA57" i="11"/>
  <c r="Z57" i="11"/>
  <c r="Y57" i="11"/>
  <c r="X57" i="11"/>
  <c r="U57" i="11"/>
  <c r="R57" i="11"/>
  <c r="I57" i="11"/>
  <c r="AB57" i="11" s="1"/>
  <c r="AA56" i="11"/>
  <c r="Z56" i="11"/>
  <c r="Y56" i="11"/>
  <c r="X56" i="11"/>
  <c r="U56" i="11"/>
  <c r="R56" i="11"/>
  <c r="I56" i="11"/>
  <c r="AB56" i="11" s="1"/>
  <c r="AA55" i="11"/>
  <c r="Z55" i="11"/>
  <c r="Y55" i="11"/>
  <c r="X55" i="11"/>
  <c r="R55" i="11"/>
  <c r="I55" i="11"/>
  <c r="AB55" i="11" s="1"/>
  <c r="AA54" i="11"/>
  <c r="Z54" i="11"/>
  <c r="Y54" i="11"/>
  <c r="X54" i="11"/>
  <c r="U54" i="11"/>
  <c r="R54" i="11"/>
  <c r="I54" i="11"/>
  <c r="J54" i="11" s="1"/>
  <c r="AA27" i="11"/>
  <c r="Z27" i="11"/>
  <c r="Y27" i="11"/>
  <c r="X27" i="11"/>
  <c r="R27" i="11"/>
  <c r="I27" i="11"/>
  <c r="J27" i="11" s="1"/>
  <c r="AC27" i="11" s="1"/>
  <c r="AA26" i="11"/>
  <c r="Z26" i="11"/>
  <c r="Y26" i="11"/>
  <c r="X26" i="11"/>
  <c r="R26" i="11"/>
  <c r="I26" i="11"/>
  <c r="AB26" i="11" s="1"/>
  <c r="AA23" i="11"/>
  <c r="Z23" i="11"/>
  <c r="Y23" i="11"/>
  <c r="X23" i="11"/>
  <c r="R23" i="11"/>
  <c r="I23" i="11"/>
  <c r="J23" i="11" s="1"/>
  <c r="AA22" i="11"/>
  <c r="Z22" i="11"/>
  <c r="Y22" i="11"/>
  <c r="X22" i="11"/>
  <c r="R22" i="11"/>
  <c r="I22" i="11"/>
  <c r="AB22" i="11" s="1"/>
  <c r="AA21" i="11"/>
  <c r="Z21" i="11"/>
  <c r="Y21" i="11"/>
  <c r="X21" i="11"/>
  <c r="R21" i="11"/>
  <c r="I21" i="11"/>
  <c r="AB21" i="11" s="1"/>
  <c r="AA20" i="11"/>
  <c r="Z20" i="11"/>
  <c r="Y20" i="11"/>
  <c r="X20" i="11"/>
  <c r="R20" i="11"/>
  <c r="I20" i="11"/>
  <c r="AA19" i="11"/>
  <c r="Z19" i="11"/>
  <c r="Y19" i="11"/>
  <c r="X19" i="11"/>
  <c r="R19" i="11"/>
  <c r="I19" i="11"/>
  <c r="AB19" i="11" s="1"/>
  <c r="AA18" i="11"/>
  <c r="Z18" i="11"/>
  <c r="Y18" i="11"/>
  <c r="X18" i="11"/>
  <c r="U18" i="11"/>
  <c r="R18" i="11"/>
  <c r="I18" i="11"/>
  <c r="AB18" i="11" s="1"/>
  <c r="AA17" i="11"/>
  <c r="Z17" i="11"/>
  <c r="Y17" i="11"/>
  <c r="X17" i="11"/>
  <c r="U17" i="11"/>
  <c r="R17" i="11"/>
  <c r="I17" i="11"/>
  <c r="J17" i="11" s="1"/>
  <c r="AC17" i="11" s="1"/>
  <c r="AA16" i="11"/>
  <c r="Z16" i="11"/>
  <c r="Y16" i="11"/>
  <c r="X16" i="11"/>
  <c r="U16" i="11"/>
  <c r="R16" i="11"/>
  <c r="I16" i="11"/>
  <c r="J16" i="11" s="1"/>
  <c r="AC16" i="11" s="1"/>
  <c r="AI15" i="11"/>
  <c r="AA15" i="11"/>
  <c r="Z15" i="11"/>
  <c r="Y15" i="11"/>
  <c r="X15" i="11"/>
  <c r="U15" i="11"/>
  <c r="R15" i="11"/>
  <c r="I15" i="11"/>
  <c r="AA14" i="11"/>
  <c r="Z14" i="11"/>
  <c r="Y14" i="11"/>
  <c r="X14" i="11"/>
  <c r="U14" i="11"/>
  <c r="R14" i="11"/>
  <c r="I14" i="11"/>
  <c r="AB14" i="11" s="1"/>
  <c r="AA13" i="11"/>
  <c r="Z13" i="11"/>
  <c r="Y13" i="11"/>
  <c r="X13" i="11"/>
  <c r="R13" i="11"/>
  <c r="I13" i="11"/>
  <c r="J13" i="11" s="1"/>
  <c r="AC13" i="11" s="1"/>
  <c r="AA12" i="11"/>
  <c r="Y12" i="11"/>
  <c r="X12" i="11"/>
  <c r="R12" i="11"/>
  <c r="I12" i="11"/>
  <c r="AB12" i="11" s="1"/>
  <c r="AA110" i="10"/>
  <c r="Z110" i="10"/>
  <c r="Y110" i="10"/>
  <c r="X110" i="10"/>
  <c r="U110" i="10"/>
  <c r="R110" i="10"/>
  <c r="I110" i="10"/>
  <c r="AA108" i="10"/>
  <c r="Z108" i="10"/>
  <c r="Y108" i="10"/>
  <c r="X108" i="10"/>
  <c r="U108" i="10"/>
  <c r="R108" i="10"/>
  <c r="I108" i="10"/>
  <c r="AA107" i="10"/>
  <c r="Z107" i="10"/>
  <c r="Y107" i="10"/>
  <c r="X107" i="10"/>
  <c r="U107" i="10"/>
  <c r="R107" i="10"/>
  <c r="I107" i="10"/>
  <c r="J107" i="10" s="1"/>
  <c r="AC107" i="10" s="1"/>
  <c r="AA106" i="10"/>
  <c r="Z106" i="10"/>
  <c r="Y106" i="10"/>
  <c r="X106" i="10"/>
  <c r="R106" i="10"/>
  <c r="I106" i="10"/>
  <c r="AB106" i="10" s="1"/>
  <c r="AA105" i="10"/>
  <c r="Z105" i="10"/>
  <c r="Y105" i="10"/>
  <c r="X105" i="10"/>
  <c r="R105" i="10"/>
  <c r="I105" i="10"/>
  <c r="J105" i="10" s="1"/>
  <c r="AC105" i="10" s="1"/>
  <c r="AA104" i="10"/>
  <c r="Z104" i="10"/>
  <c r="Y104" i="10"/>
  <c r="X104" i="10"/>
  <c r="R104" i="10"/>
  <c r="I104" i="10"/>
  <c r="AA103" i="10"/>
  <c r="Z103" i="10"/>
  <c r="Y103" i="10"/>
  <c r="X103" i="10"/>
  <c r="U103" i="10"/>
  <c r="R103" i="10"/>
  <c r="I103" i="10"/>
  <c r="J103" i="10" s="1"/>
  <c r="AC103" i="10" s="1"/>
  <c r="AA102" i="10"/>
  <c r="Z102" i="10"/>
  <c r="Y102" i="10"/>
  <c r="X102" i="10"/>
  <c r="U102" i="10"/>
  <c r="R102" i="10"/>
  <c r="I102" i="10"/>
  <c r="AB102" i="10" s="1"/>
  <c r="AA101" i="10"/>
  <c r="Z101" i="10"/>
  <c r="Y101" i="10"/>
  <c r="X101" i="10"/>
  <c r="U101" i="10"/>
  <c r="R101" i="10"/>
  <c r="I101" i="10"/>
  <c r="AB101" i="10" s="1"/>
  <c r="AA100" i="10"/>
  <c r="Z100" i="10"/>
  <c r="Y100" i="10"/>
  <c r="X100" i="10"/>
  <c r="U100" i="10"/>
  <c r="R100" i="10"/>
  <c r="I100" i="10"/>
  <c r="AB100" i="10" s="1"/>
  <c r="AA99" i="10"/>
  <c r="Z99" i="10"/>
  <c r="Y99" i="10"/>
  <c r="X99" i="10"/>
  <c r="R99" i="10"/>
  <c r="I99" i="10"/>
  <c r="AB99" i="10" s="1"/>
  <c r="AA98" i="10"/>
  <c r="Z98" i="10"/>
  <c r="Y98" i="10"/>
  <c r="X98" i="10"/>
  <c r="R98" i="10"/>
  <c r="I98" i="10"/>
  <c r="AA96" i="10"/>
  <c r="Z96" i="10"/>
  <c r="Y96" i="10"/>
  <c r="X96" i="10"/>
  <c r="R96" i="10"/>
  <c r="I96" i="10"/>
  <c r="AA95" i="10"/>
  <c r="Z95" i="10"/>
  <c r="Y95" i="10"/>
  <c r="X95" i="10"/>
  <c r="U95" i="10"/>
  <c r="R95" i="10"/>
  <c r="I95" i="10"/>
  <c r="AA94" i="10"/>
  <c r="Z94" i="10"/>
  <c r="Y94" i="10"/>
  <c r="X94" i="10"/>
  <c r="U94" i="10"/>
  <c r="R94" i="10"/>
  <c r="I94" i="10"/>
  <c r="J94" i="10" s="1"/>
  <c r="AC94" i="10" s="1"/>
  <c r="AA93" i="10"/>
  <c r="Z93" i="10"/>
  <c r="Y93" i="10"/>
  <c r="X93" i="10"/>
  <c r="U93" i="10"/>
  <c r="R93" i="10"/>
  <c r="I93" i="10"/>
  <c r="J93" i="10" s="1"/>
  <c r="AC93" i="10" s="1"/>
  <c r="AA91" i="10"/>
  <c r="Z91" i="10"/>
  <c r="Y91" i="10"/>
  <c r="X91" i="10"/>
  <c r="R91" i="10"/>
  <c r="I91" i="10"/>
  <c r="AA90" i="10"/>
  <c r="Z90" i="10"/>
  <c r="Y90" i="10"/>
  <c r="X90" i="10"/>
  <c r="U90" i="10"/>
  <c r="R90" i="10"/>
  <c r="I90" i="10"/>
  <c r="J90" i="10" s="1"/>
  <c r="AC90" i="10" s="1"/>
  <c r="AA88" i="10"/>
  <c r="Z88" i="10"/>
  <c r="Y88" i="10"/>
  <c r="X88" i="10"/>
  <c r="R88" i="10"/>
  <c r="I88" i="10"/>
  <c r="AA87" i="10"/>
  <c r="Z87" i="10"/>
  <c r="Y87" i="10"/>
  <c r="X87" i="10"/>
  <c r="U87" i="10"/>
  <c r="R87" i="10"/>
  <c r="I87" i="10"/>
  <c r="J87" i="10" s="1"/>
  <c r="AC87" i="10" s="1"/>
  <c r="AA86" i="10"/>
  <c r="Z86" i="10"/>
  <c r="Y86" i="10"/>
  <c r="X86" i="10"/>
  <c r="R86" i="10"/>
  <c r="I86" i="10"/>
  <c r="AB86" i="10" s="1"/>
  <c r="AA85" i="10"/>
  <c r="Z85" i="10"/>
  <c r="Y85" i="10"/>
  <c r="X85" i="10"/>
  <c r="R85" i="10"/>
  <c r="I85" i="10"/>
  <c r="J85" i="10" s="1"/>
  <c r="AC85" i="10" s="1"/>
  <c r="AA84" i="10"/>
  <c r="Z84" i="10"/>
  <c r="Y84" i="10"/>
  <c r="X84" i="10"/>
  <c r="R84" i="10"/>
  <c r="I84" i="10"/>
  <c r="J84" i="10" s="1"/>
  <c r="AC84" i="10" s="1"/>
  <c r="AA83" i="10"/>
  <c r="Z83" i="10"/>
  <c r="Y83" i="10"/>
  <c r="X83" i="10"/>
  <c r="U83" i="10"/>
  <c r="F141" i="10" s="1"/>
  <c r="R83" i="10"/>
  <c r="I83" i="10"/>
  <c r="J83" i="10" s="1"/>
  <c r="AA82" i="10"/>
  <c r="Z82" i="10"/>
  <c r="Y82" i="10"/>
  <c r="X82" i="10"/>
  <c r="U82" i="10"/>
  <c r="R82" i="10"/>
  <c r="I82" i="10"/>
  <c r="J82" i="10" s="1"/>
  <c r="AC82" i="10" s="1"/>
  <c r="AA81" i="10"/>
  <c r="Z81" i="10"/>
  <c r="Y81" i="10"/>
  <c r="X81" i="10"/>
  <c r="U81" i="10"/>
  <c r="R81" i="10"/>
  <c r="I81" i="10"/>
  <c r="J81" i="10" s="1"/>
  <c r="AC81" i="10" s="1"/>
  <c r="AA80" i="10"/>
  <c r="Z80" i="10"/>
  <c r="Y80" i="10"/>
  <c r="X80" i="10"/>
  <c r="U80" i="10"/>
  <c r="R80" i="10"/>
  <c r="I80" i="10"/>
  <c r="J80" i="10" s="1"/>
  <c r="AC80" i="10" s="1"/>
  <c r="AA79" i="10"/>
  <c r="Z79" i="10"/>
  <c r="Y79" i="10"/>
  <c r="X79" i="10"/>
  <c r="U79" i="10"/>
  <c r="R79" i="10"/>
  <c r="I79" i="10"/>
  <c r="AB79" i="10" s="1"/>
  <c r="AA78" i="10"/>
  <c r="Z78" i="10"/>
  <c r="Y78" i="10"/>
  <c r="X78" i="10"/>
  <c r="R78" i="10"/>
  <c r="I78" i="10"/>
  <c r="AB78" i="10" s="1"/>
  <c r="AA77" i="10"/>
  <c r="Z77" i="10"/>
  <c r="Y77" i="10"/>
  <c r="X77" i="10"/>
  <c r="R77" i="10"/>
  <c r="I77" i="10"/>
  <c r="AA76" i="10"/>
  <c r="Z76" i="10"/>
  <c r="Y76" i="10"/>
  <c r="X76" i="10"/>
  <c r="R76" i="10"/>
  <c r="I76" i="10"/>
  <c r="J76" i="10" s="1"/>
  <c r="AC76" i="10" s="1"/>
  <c r="AA75" i="10"/>
  <c r="Z75" i="10"/>
  <c r="Y75" i="10"/>
  <c r="X75" i="10"/>
  <c r="U75" i="10"/>
  <c r="R75" i="10"/>
  <c r="I75" i="10"/>
  <c r="AA27" i="10"/>
  <c r="Z27" i="10"/>
  <c r="Y27" i="10"/>
  <c r="X27" i="10"/>
  <c r="U27" i="10"/>
  <c r="R27" i="10"/>
  <c r="I27" i="10"/>
  <c r="J27" i="10" s="1"/>
  <c r="AA26" i="10"/>
  <c r="Z26" i="10"/>
  <c r="Y26" i="10"/>
  <c r="X26" i="10"/>
  <c r="U26" i="10"/>
  <c r="R26" i="10"/>
  <c r="I26" i="10"/>
  <c r="AA25" i="10"/>
  <c r="Z25" i="10"/>
  <c r="Y25" i="10"/>
  <c r="X25" i="10"/>
  <c r="U25" i="10"/>
  <c r="R25" i="10"/>
  <c r="I25" i="10"/>
  <c r="J25" i="10" s="1"/>
  <c r="AA24" i="10"/>
  <c r="Z24" i="10"/>
  <c r="Y24" i="10"/>
  <c r="X24" i="10"/>
  <c r="R24" i="10"/>
  <c r="I24" i="10"/>
  <c r="AB24" i="10" s="1"/>
  <c r="AA23" i="10"/>
  <c r="Z23" i="10"/>
  <c r="Y23" i="10"/>
  <c r="X23" i="10"/>
  <c r="U23" i="10"/>
  <c r="R23" i="10"/>
  <c r="I23" i="10"/>
  <c r="J23" i="10" s="1"/>
  <c r="AA20" i="10"/>
  <c r="Z20" i="10"/>
  <c r="Y20" i="10"/>
  <c r="X20" i="10"/>
  <c r="U20" i="10"/>
  <c r="R20" i="10"/>
  <c r="I20" i="10"/>
  <c r="AB20" i="10" s="1"/>
  <c r="AA19" i="10"/>
  <c r="Z19" i="10"/>
  <c r="Y19" i="10"/>
  <c r="X19" i="10"/>
  <c r="R19" i="10"/>
  <c r="I19" i="10"/>
  <c r="AA18" i="10"/>
  <c r="Z18" i="10"/>
  <c r="Y18" i="10"/>
  <c r="X18" i="10"/>
  <c r="R18" i="10"/>
  <c r="I18" i="10"/>
  <c r="AA17" i="10"/>
  <c r="Z17" i="10"/>
  <c r="Y17" i="10"/>
  <c r="X17" i="10"/>
  <c r="R17" i="10"/>
  <c r="I17" i="10"/>
  <c r="AA16" i="10"/>
  <c r="Z16" i="10"/>
  <c r="Y16" i="10"/>
  <c r="X16" i="10"/>
  <c r="R16" i="10"/>
  <c r="I16" i="10"/>
  <c r="J16" i="10" s="1"/>
  <c r="AA15" i="10"/>
  <c r="Z15" i="10"/>
  <c r="Y15" i="10"/>
  <c r="X15" i="10"/>
  <c r="U15" i="10"/>
  <c r="R15" i="10"/>
  <c r="I15" i="10"/>
  <c r="AA13" i="10"/>
  <c r="Z13" i="10"/>
  <c r="Y13" i="10"/>
  <c r="X13" i="10"/>
  <c r="U13" i="10"/>
  <c r="R13" i="10"/>
  <c r="I13" i="10"/>
  <c r="AA12" i="10"/>
  <c r="Z12" i="10"/>
  <c r="Y12" i="10"/>
  <c r="X12" i="10"/>
  <c r="U12" i="10"/>
  <c r="R12" i="10"/>
  <c r="I12" i="10"/>
  <c r="J12" i="10" s="1"/>
  <c r="AA95" i="9"/>
  <c r="Z95" i="9"/>
  <c r="Y95" i="9"/>
  <c r="X95" i="9"/>
  <c r="U95" i="9"/>
  <c r="R95" i="9"/>
  <c r="I95" i="9"/>
  <c r="J95" i="9" s="1"/>
  <c r="AC95" i="9" s="1"/>
  <c r="AA94" i="9"/>
  <c r="Z94" i="9"/>
  <c r="Y94" i="9"/>
  <c r="X94" i="9"/>
  <c r="U94" i="9"/>
  <c r="R94" i="9"/>
  <c r="I94" i="9"/>
  <c r="AA92" i="9"/>
  <c r="Z92" i="9"/>
  <c r="Y92" i="9"/>
  <c r="X92" i="9"/>
  <c r="U92" i="9"/>
  <c r="R92" i="9"/>
  <c r="I92" i="9"/>
  <c r="AA89" i="9"/>
  <c r="Z89" i="9"/>
  <c r="Y89" i="9"/>
  <c r="X89" i="9"/>
  <c r="U89" i="9"/>
  <c r="R89" i="9"/>
  <c r="I89" i="9"/>
  <c r="AA87" i="9"/>
  <c r="Y87" i="9"/>
  <c r="X87" i="9"/>
  <c r="U87" i="9"/>
  <c r="F130" i="9" s="1"/>
  <c r="R87" i="9"/>
  <c r="AA86" i="9"/>
  <c r="Z86" i="9"/>
  <c r="Y86" i="9"/>
  <c r="X86" i="9"/>
  <c r="U86" i="9"/>
  <c r="R86" i="9"/>
  <c r="I86" i="9"/>
  <c r="AA84" i="9"/>
  <c r="Z84" i="9"/>
  <c r="Y84" i="9"/>
  <c r="X84" i="9"/>
  <c r="U84" i="9"/>
  <c r="R84" i="9"/>
  <c r="I84" i="9"/>
  <c r="AB84" i="9" s="1"/>
  <c r="AA83" i="9"/>
  <c r="Z83" i="9"/>
  <c r="Y83" i="9"/>
  <c r="X83" i="9"/>
  <c r="U83" i="9"/>
  <c r="R83" i="9"/>
  <c r="I83" i="9"/>
  <c r="J83" i="9" s="1"/>
  <c r="AA82" i="9"/>
  <c r="Z82" i="9"/>
  <c r="Y82" i="9"/>
  <c r="X82" i="9"/>
  <c r="U82" i="9"/>
  <c r="R82" i="9"/>
  <c r="I82" i="9"/>
  <c r="AA91" i="9"/>
  <c r="Z91" i="9"/>
  <c r="Y91" i="9"/>
  <c r="X91" i="9"/>
  <c r="U91" i="9"/>
  <c r="R91" i="9"/>
  <c r="I91" i="9"/>
  <c r="AA81" i="9"/>
  <c r="Z81" i="9"/>
  <c r="Y81" i="9"/>
  <c r="X81" i="9"/>
  <c r="U81" i="9"/>
  <c r="R81" i="9"/>
  <c r="I81" i="9"/>
  <c r="J81" i="9" s="1"/>
  <c r="AC81" i="9" s="1"/>
  <c r="AA80" i="9"/>
  <c r="Z80" i="9"/>
  <c r="Y80" i="9"/>
  <c r="X80" i="9"/>
  <c r="U80" i="9"/>
  <c r="R80" i="9"/>
  <c r="I80" i="9"/>
  <c r="AB80" i="9" s="1"/>
  <c r="AA77" i="9"/>
  <c r="Z77" i="9"/>
  <c r="Y77" i="9"/>
  <c r="X77" i="9"/>
  <c r="U77" i="9"/>
  <c r="R77" i="9"/>
  <c r="I77" i="9"/>
  <c r="AB77" i="9" s="1"/>
  <c r="AA76" i="9"/>
  <c r="Z76" i="9"/>
  <c r="Y76" i="9"/>
  <c r="X76" i="9"/>
  <c r="U76" i="9"/>
  <c r="R76" i="9"/>
  <c r="I76" i="9"/>
  <c r="AB76" i="9" s="1"/>
  <c r="AA75" i="9"/>
  <c r="Z75" i="9"/>
  <c r="Y75" i="9"/>
  <c r="X75" i="9"/>
  <c r="U75" i="9"/>
  <c r="I75" i="9"/>
  <c r="AC87" i="8"/>
  <c r="AB87" i="8"/>
  <c r="AA87" i="8"/>
  <c r="Z87" i="8"/>
  <c r="Y87" i="8"/>
  <c r="X87" i="8"/>
  <c r="R87" i="8"/>
  <c r="AA79" i="8"/>
  <c r="Z79" i="8"/>
  <c r="Y79" i="8"/>
  <c r="X79" i="8"/>
  <c r="R79" i="8"/>
  <c r="I79" i="8"/>
  <c r="AB79" i="8" s="1"/>
  <c r="AA75" i="8"/>
  <c r="Z75" i="8"/>
  <c r="Y75" i="8"/>
  <c r="X75" i="8"/>
  <c r="U75" i="8"/>
  <c r="R75" i="8"/>
  <c r="I75" i="8"/>
  <c r="AB75" i="8" s="1"/>
  <c r="AA74" i="8"/>
  <c r="Z74" i="8"/>
  <c r="Y74" i="8"/>
  <c r="X74" i="8"/>
  <c r="U74" i="8"/>
  <c r="R74" i="8"/>
  <c r="I74" i="8"/>
  <c r="J74" i="8" s="1"/>
  <c r="AC74" i="8" s="1"/>
  <c r="AA73" i="8"/>
  <c r="Z73" i="8"/>
  <c r="Y73" i="8"/>
  <c r="X73" i="8"/>
  <c r="U73" i="8"/>
  <c r="R73" i="8"/>
  <c r="I73" i="8"/>
  <c r="AB73" i="8" s="1"/>
  <c r="AA71" i="8"/>
  <c r="Z71" i="8"/>
  <c r="Y71" i="8"/>
  <c r="X71" i="8"/>
  <c r="R71" i="8"/>
  <c r="I71" i="8"/>
  <c r="J71" i="8" s="1"/>
  <c r="AC71" i="8" s="1"/>
  <c r="AA70" i="8"/>
  <c r="Z70" i="8"/>
  <c r="Y70" i="8"/>
  <c r="X70" i="8"/>
  <c r="R70" i="8"/>
  <c r="I70" i="8"/>
  <c r="J70" i="8" s="1"/>
  <c r="AC70" i="8" s="1"/>
  <c r="AA28" i="8"/>
  <c r="Z28" i="8"/>
  <c r="Y28" i="8"/>
  <c r="X28" i="8"/>
  <c r="R28" i="8"/>
  <c r="I28" i="8"/>
  <c r="J28" i="8" s="1"/>
  <c r="AC28" i="8" s="1"/>
  <c r="AA27" i="8"/>
  <c r="Z27" i="8"/>
  <c r="Y27" i="8"/>
  <c r="X27" i="8"/>
  <c r="U27" i="8"/>
  <c r="R27" i="8"/>
  <c r="I27" i="8"/>
  <c r="J27" i="8" s="1"/>
  <c r="AC27" i="8" s="1"/>
  <c r="AA26" i="8"/>
  <c r="Z26" i="8"/>
  <c r="Y26" i="8"/>
  <c r="X26" i="8"/>
  <c r="U26" i="8"/>
  <c r="R26" i="8"/>
  <c r="I26" i="8"/>
  <c r="J26" i="8" s="1"/>
  <c r="AC26" i="8" s="1"/>
  <c r="AA25" i="8"/>
  <c r="Z25" i="8"/>
  <c r="Y25" i="8"/>
  <c r="X25" i="8"/>
  <c r="U25" i="8"/>
  <c r="R25" i="8"/>
  <c r="I25" i="8"/>
  <c r="J25" i="8" s="1"/>
  <c r="AC25" i="8" s="1"/>
  <c r="AA23" i="8"/>
  <c r="Z23" i="8"/>
  <c r="Y23" i="8"/>
  <c r="X23" i="8"/>
  <c r="U23" i="8"/>
  <c r="R23" i="8"/>
  <c r="I23" i="8"/>
  <c r="AB23" i="8" s="1"/>
  <c r="AA22" i="8"/>
  <c r="Z22" i="8"/>
  <c r="Y22" i="8"/>
  <c r="X22" i="8"/>
  <c r="R22" i="8"/>
  <c r="N96" i="8" s="1"/>
  <c r="I22" i="8"/>
  <c r="AB22" i="8" s="1"/>
  <c r="AA19" i="8"/>
  <c r="Z19" i="8"/>
  <c r="Y19" i="8"/>
  <c r="X19" i="8"/>
  <c r="R19" i="8"/>
  <c r="I19" i="8"/>
  <c r="AB19" i="8" s="1"/>
  <c r="AA18" i="8"/>
  <c r="Z18" i="8"/>
  <c r="Y18" i="8"/>
  <c r="X18" i="8"/>
  <c r="U18" i="8"/>
  <c r="R18" i="8"/>
  <c r="I18" i="8"/>
  <c r="AB18" i="8" s="1"/>
  <c r="AA15" i="8"/>
  <c r="Z15" i="8"/>
  <c r="Y15" i="8"/>
  <c r="X15" i="8"/>
  <c r="U15" i="8"/>
  <c r="R15" i="8"/>
  <c r="I15" i="8"/>
  <c r="J15" i="8" s="1"/>
  <c r="AA13" i="8"/>
  <c r="Z13" i="8"/>
  <c r="Y13" i="8"/>
  <c r="X13" i="8"/>
  <c r="U13" i="8"/>
  <c r="R13" i="8"/>
  <c r="I13" i="8"/>
  <c r="AB13" i="8" s="1"/>
  <c r="AA12" i="8"/>
  <c r="Z12" i="8"/>
  <c r="Y12" i="8"/>
  <c r="X12" i="8"/>
  <c r="U12" i="8"/>
  <c r="R12" i="8"/>
  <c r="I12" i="8"/>
  <c r="AF83" i="7"/>
  <c r="AC83" i="7"/>
  <c r="AB83" i="7"/>
  <c r="AA83" i="7"/>
  <c r="Z83" i="7"/>
  <c r="Y83" i="7"/>
  <c r="X83" i="7"/>
  <c r="R83" i="7"/>
  <c r="AA80" i="7"/>
  <c r="Z80" i="7"/>
  <c r="Y80" i="7"/>
  <c r="X80" i="7"/>
  <c r="R80" i="7"/>
  <c r="I80" i="7"/>
  <c r="AB80" i="7" s="1"/>
  <c r="AA76" i="7"/>
  <c r="Z76" i="7"/>
  <c r="Y76" i="7"/>
  <c r="X76" i="7"/>
  <c r="U76" i="7"/>
  <c r="R76" i="7"/>
  <c r="I76" i="7"/>
  <c r="AA75" i="7"/>
  <c r="Z75" i="7"/>
  <c r="Y75" i="7"/>
  <c r="X75" i="7"/>
  <c r="U75" i="7"/>
  <c r="R75" i="7"/>
  <c r="I75" i="7"/>
  <c r="J75" i="7" s="1"/>
  <c r="AC75" i="7" s="1"/>
  <c r="AA72" i="7"/>
  <c r="Z72" i="7"/>
  <c r="Y72" i="7"/>
  <c r="X72" i="7"/>
  <c r="U72" i="7"/>
  <c r="R72" i="7"/>
  <c r="I72" i="7"/>
  <c r="AB72" i="7" s="1"/>
  <c r="AA71" i="7"/>
  <c r="Z71" i="7"/>
  <c r="Y71" i="7"/>
  <c r="X71" i="7"/>
  <c r="R71" i="7"/>
  <c r="I71" i="7"/>
  <c r="J71" i="7" s="1"/>
  <c r="AC71" i="7" s="1"/>
  <c r="AA70" i="7"/>
  <c r="Z70" i="7"/>
  <c r="Y70" i="7"/>
  <c r="X70" i="7"/>
  <c r="R70" i="7"/>
  <c r="I70" i="7"/>
  <c r="J70" i="7" s="1"/>
  <c r="AC70" i="7" s="1"/>
  <c r="AA29" i="7"/>
  <c r="Z29" i="7"/>
  <c r="Y29" i="7"/>
  <c r="X29" i="7"/>
  <c r="U29" i="7"/>
  <c r="R29" i="7"/>
  <c r="I29" i="7"/>
  <c r="J29" i="7" s="1"/>
  <c r="AC29" i="7" s="1"/>
  <c r="AA25" i="7"/>
  <c r="Z25" i="7"/>
  <c r="Y25" i="7"/>
  <c r="X25" i="7"/>
  <c r="U25" i="7"/>
  <c r="R25" i="7"/>
  <c r="I25" i="7"/>
  <c r="AB25" i="7" s="1"/>
  <c r="AA24" i="7"/>
  <c r="Z24" i="7"/>
  <c r="Y24" i="7"/>
  <c r="X24" i="7"/>
  <c r="U24" i="7"/>
  <c r="R24" i="7"/>
  <c r="I24" i="7"/>
  <c r="J24" i="7" s="1"/>
  <c r="AC24" i="7" s="1"/>
  <c r="AA23" i="7"/>
  <c r="Z23" i="7"/>
  <c r="Y23" i="7"/>
  <c r="X23" i="7"/>
  <c r="U23" i="7"/>
  <c r="R23" i="7"/>
  <c r="I23" i="7"/>
  <c r="AB23" i="7" s="1"/>
  <c r="AA21" i="7"/>
  <c r="Z21" i="7"/>
  <c r="Y21" i="7"/>
  <c r="X21" i="7"/>
  <c r="U21" i="7"/>
  <c r="R21" i="7"/>
  <c r="I21" i="7"/>
  <c r="J21" i="7" s="1"/>
  <c r="AC21" i="7" s="1"/>
  <c r="AA20" i="7"/>
  <c r="Z20" i="7"/>
  <c r="Y20" i="7"/>
  <c r="X20" i="7"/>
  <c r="R20" i="7"/>
  <c r="I20" i="7"/>
  <c r="AB20" i="7" s="1"/>
  <c r="AA19" i="7"/>
  <c r="Z19" i="7"/>
  <c r="Y19" i="7"/>
  <c r="X19" i="7"/>
  <c r="R19" i="7"/>
  <c r="I19" i="7"/>
  <c r="J19" i="7" s="1"/>
  <c r="AC19" i="7" s="1"/>
  <c r="AA18" i="7"/>
  <c r="Z18" i="7"/>
  <c r="Y18" i="7"/>
  <c r="X18" i="7"/>
  <c r="R18" i="7"/>
  <c r="I18" i="7"/>
  <c r="J18" i="7" s="1"/>
  <c r="AC18" i="7" s="1"/>
  <c r="AA17" i="7"/>
  <c r="Z17" i="7"/>
  <c r="Y17" i="7"/>
  <c r="X17" i="7"/>
  <c r="R17" i="7"/>
  <c r="I17" i="7"/>
  <c r="AB17" i="7" s="1"/>
  <c r="AA16" i="7"/>
  <c r="Z16" i="7"/>
  <c r="Y16" i="7"/>
  <c r="X16" i="7"/>
  <c r="U16" i="7"/>
  <c r="R16" i="7"/>
  <c r="I16" i="7"/>
  <c r="J16" i="7" s="1"/>
  <c r="AA14" i="7"/>
  <c r="Z14" i="7"/>
  <c r="Y14" i="7"/>
  <c r="X14" i="7"/>
  <c r="I14" i="7"/>
  <c r="AB14" i="7" s="1"/>
  <c r="AA12" i="7"/>
  <c r="Z12" i="7"/>
  <c r="Y12" i="7"/>
  <c r="X12" i="7"/>
  <c r="U12" i="7"/>
  <c r="R12" i="7"/>
  <c r="I12" i="7"/>
  <c r="AB12" i="7" s="1"/>
  <c r="AA11" i="7"/>
  <c r="Z11" i="7"/>
  <c r="Y11" i="7"/>
  <c r="X11" i="7"/>
  <c r="U11" i="7"/>
  <c r="R11" i="7"/>
  <c r="I11" i="7"/>
  <c r="AB11" i="7" s="1"/>
  <c r="AA96" i="6"/>
  <c r="Z96" i="6"/>
  <c r="Y96" i="6"/>
  <c r="X96" i="6"/>
  <c r="N105" i="6"/>
  <c r="I96" i="6"/>
  <c r="AB96" i="6" s="1"/>
  <c r="AA32" i="6"/>
  <c r="Z32" i="6"/>
  <c r="Y32" i="6"/>
  <c r="X32" i="6"/>
  <c r="R32" i="6"/>
  <c r="I32" i="6"/>
  <c r="AB32" i="6" s="1"/>
  <c r="AA31" i="6"/>
  <c r="Z31" i="6"/>
  <c r="Y31" i="6"/>
  <c r="X31" i="6"/>
  <c r="R31" i="6"/>
  <c r="I31" i="6"/>
  <c r="J31" i="6" s="1"/>
  <c r="AC31" i="6" s="1"/>
  <c r="AA30" i="6"/>
  <c r="Z30" i="6"/>
  <c r="Y30" i="6"/>
  <c r="X30" i="6"/>
  <c r="U30" i="6"/>
  <c r="R30" i="6"/>
  <c r="I30" i="6"/>
  <c r="J30" i="6" s="1"/>
  <c r="AC30" i="6" s="1"/>
  <c r="AA29" i="6"/>
  <c r="Z29" i="6"/>
  <c r="Y29" i="6"/>
  <c r="X29" i="6"/>
  <c r="R29" i="6"/>
  <c r="I29" i="6"/>
  <c r="J29" i="6" s="1"/>
  <c r="AC29" i="6" s="1"/>
  <c r="AA28" i="6"/>
  <c r="Z28" i="6"/>
  <c r="Y28" i="6"/>
  <c r="X28" i="6"/>
  <c r="R28" i="6"/>
  <c r="I28" i="6"/>
  <c r="J28" i="6" s="1"/>
  <c r="AA26" i="6"/>
  <c r="Z26" i="6"/>
  <c r="Y26" i="6"/>
  <c r="X26" i="6"/>
  <c r="R26" i="6"/>
  <c r="I26" i="6"/>
  <c r="AB26" i="6" s="1"/>
  <c r="AA25" i="6"/>
  <c r="Z25" i="6"/>
  <c r="Y25" i="6"/>
  <c r="X25" i="6"/>
  <c r="R25" i="6"/>
  <c r="I25" i="6"/>
  <c r="J25" i="6" s="1"/>
  <c r="AC25" i="6" s="1"/>
  <c r="AA23" i="6"/>
  <c r="Z23" i="6"/>
  <c r="Y23" i="6"/>
  <c r="X23" i="6"/>
  <c r="U23" i="6"/>
  <c r="R23" i="6"/>
  <c r="I23" i="6"/>
  <c r="AB23" i="6" s="1"/>
  <c r="AA22" i="6"/>
  <c r="Z22" i="6"/>
  <c r="Y22" i="6"/>
  <c r="X22" i="6"/>
  <c r="R22" i="6"/>
  <c r="I22" i="6"/>
  <c r="AB22" i="6" s="1"/>
  <c r="AA20" i="6"/>
  <c r="Z20" i="6"/>
  <c r="Y20" i="6"/>
  <c r="X20" i="6"/>
  <c r="U20" i="6"/>
  <c r="R20" i="6"/>
  <c r="I20" i="6"/>
  <c r="J20" i="6" s="1"/>
  <c r="AA17" i="6"/>
  <c r="Z17" i="6"/>
  <c r="Y17" i="6"/>
  <c r="X17" i="6"/>
  <c r="U17" i="6"/>
  <c r="R17" i="6"/>
  <c r="I17" i="6"/>
  <c r="AB17" i="6" s="1"/>
  <c r="AA12" i="6"/>
  <c r="Z12" i="6"/>
  <c r="Y12" i="6"/>
  <c r="X12" i="6"/>
  <c r="U12" i="6"/>
  <c r="R12" i="6"/>
  <c r="I12" i="6"/>
  <c r="AB12" i="6" s="1"/>
  <c r="N105" i="5"/>
  <c r="AA95" i="5"/>
  <c r="Z95" i="5"/>
  <c r="Y95" i="5"/>
  <c r="X95" i="5"/>
  <c r="U95" i="5"/>
  <c r="R95" i="5"/>
  <c r="I95" i="5"/>
  <c r="AB95" i="5" s="1"/>
  <c r="AA94" i="5"/>
  <c r="Z94" i="5"/>
  <c r="Y94" i="5"/>
  <c r="X94" i="5"/>
  <c r="U94" i="5"/>
  <c r="R94" i="5"/>
  <c r="I94" i="5"/>
  <c r="AB94" i="5" s="1"/>
  <c r="AA92" i="5"/>
  <c r="Z92" i="5"/>
  <c r="Y92" i="5"/>
  <c r="X92" i="5"/>
  <c r="R92" i="5"/>
  <c r="I92" i="5"/>
  <c r="AA91" i="5"/>
  <c r="Z91" i="5"/>
  <c r="Y91" i="5"/>
  <c r="X91" i="5"/>
  <c r="U91" i="5"/>
  <c r="R91" i="5"/>
  <c r="I91" i="5"/>
  <c r="J91" i="5" s="1"/>
  <c r="AC91" i="5" s="1"/>
  <c r="AA90" i="5"/>
  <c r="Z90" i="5"/>
  <c r="Y90" i="5"/>
  <c r="X90" i="5"/>
  <c r="U90" i="5"/>
  <c r="R90" i="5"/>
  <c r="I90" i="5"/>
  <c r="J90" i="5" s="1"/>
  <c r="AC90" i="5" s="1"/>
  <c r="AA59" i="5"/>
  <c r="Z59" i="5"/>
  <c r="Y59" i="5"/>
  <c r="X59" i="5"/>
  <c r="R59" i="5"/>
  <c r="I59" i="5"/>
  <c r="AB59" i="5" s="1"/>
  <c r="AA58" i="5"/>
  <c r="Z58" i="5"/>
  <c r="Y58" i="5"/>
  <c r="X58" i="5"/>
  <c r="R58" i="5"/>
  <c r="I58" i="5"/>
  <c r="AA57" i="5"/>
  <c r="Z57" i="5"/>
  <c r="Y57" i="5"/>
  <c r="X57" i="5"/>
  <c r="U57" i="5"/>
  <c r="R57" i="5"/>
  <c r="I57" i="5"/>
  <c r="J57" i="5" s="1"/>
  <c r="AC57" i="5" s="1"/>
  <c r="AA55" i="5"/>
  <c r="Z55" i="5"/>
  <c r="Y55" i="5"/>
  <c r="X55" i="5"/>
  <c r="U55" i="5"/>
  <c r="R55" i="5"/>
  <c r="I55" i="5"/>
  <c r="AB55" i="5" s="1"/>
  <c r="AA54" i="5"/>
  <c r="Z54" i="5"/>
  <c r="Y54" i="5"/>
  <c r="X54" i="5"/>
  <c r="R54" i="5"/>
  <c r="I54" i="5"/>
  <c r="J54" i="5" s="1"/>
  <c r="AC54" i="5" s="1"/>
  <c r="AA53" i="5"/>
  <c r="Z53" i="5"/>
  <c r="Y53" i="5"/>
  <c r="X53" i="5"/>
  <c r="R53" i="5"/>
  <c r="I53" i="5"/>
  <c r="AB53" i="5" s="1"/>
  <c r="AA52" i="5"/>
  <c r="Z52" i="5"/>
  <c r="Y52" i="5"/>
  <c r="X52" i="5"/>
  <c r="R52" i="5"/>
  <c r="I52" i="5"/>
  <c r="AA51" i="5"/>
  <c r="Z51" i="5"/>
  <c r="Y51" i="5"/>
  <c r="X51" i="5"/>
  <c r="R51" i="5"/>
  <c r="I51" i="5"/>
  <c r="J51" i="5" s="1"/>
  <c r="AC51" i="5" s="1"/>
  <c r="AA50" i="5"/>
  <c r="Z50" i="5"/>
  <c r="Y50" i="5"/>
  <c r="X50" i="5"/>
  <c r="U50" i="5"/>
  <c r="R50" i="5"/>
  <c r="I50" i="5"/>
  <c r="J50" i="5" s="1"/>
  <c r="AA46" i="5"/>
  <c r="Z46" i="5"/>
  <c r="Y46" i="5"/>
  <c r="X46" i="5"/>
  <c r="U46" i="5"/>
  <c r="R46" i="5"/>
  <c r="I46" i="5"/>
  <c r="J46" i="5" s="1"/>
  <c r="AA45" i="5"/>
  <c r="Z45" i="5"/>
  <c r="Y45" i="5"/>
  <c r="X45" i="5"/>
  <c r="R45" i="5"/>
  <c r="I45" i="5"/>
  <c r="J45" i="5" s="1"/>
  <c r="AA44" i="5"/>
  <c r="Z44" i="5"/>
  <c r="Y44" i="5"/>
  <c r="X44" i="5"/>
  <c r="R44" i="5"/>
  <c r="I44" i="5"/>
  <c r="J44" i="5" s="1"/>
  <c r="AC44" i="5" s="1"/>
  <c r="AA42" i="5"/>
  <c r="Z42" i="5"/>
  <c r="Y42" i="5"/>
  <c r="X42" i="5"/>
  <c r="R42" i="5"/>
  <c r="I42" i="5"/>
  <c r="AB42" i="5" s="1"/>
  <c r="AA19" i="5"/>
  <c r="Z19" i="5"/>
  <c r="Y19" i="5"/>
  <c r="X19" i="5"/>
  <c r="R19" i="5"/>
  <c r="I19" i="5"/>
  <c r="J19" i="5" s="1"/>
  <c r="AC19" i="5" s="1"/>
  <c r="AF105" i="5"/>
  <c r="AA18" i="5"/>
  <c r="Z18" i="5"/>
  <c r="Y18" i="5"/>
  <c r="X18" i="5"/>
  <c r="R18" i="5"/>
  <c r="I18" i="5"/>
  <c r="J18" i="5" s="1"/>
  <c r="AA14" i="5"/>
  <c r="Z14" i="5"/>
  <c r="Y14" i="5"/>
  <c r="X14" i="5"/>
  <c r="U14" i="5"/>
  <c r="R14" i="5"/>
  <c r="I14" i="5"/>
  <c r="AB14" i="5" s="1"/>
  <c r="AA13" i="5"/>
  <c r="Z13" i="5"/>
  <c r="Y13" i="5"/>
  <c r="X13" i="5"/>
  <c r="U13" i="5"/>
  <c r="R13" i="5"/>
  <c r="I13" i="5"/>
  <c r="AB13" i="5" s="1"/>
  <c r="AD80" i="4"/>
  <c r="AC80" i="4"/>
  <c r="AB80" i="4"/>
  <c r="AA80" i="4"/>
  <c r="U80" i="4"/>
  <c r="R80" i="4"/>
  <c r="I80" i="4"/>
  <c r="J80" i="4" s="1"/>
  <c r="AF80" i="4" s="1"/>
  <c r="AD78" i="4"/>
  <c r="AC78" i="4"/>
  <c r="AB78" i="4"/>
  <c r="AA78" i="4"/>
  <c r="U78" i="4"/>
  <c r="R78" i="4"/>
  <c r="AE78" i="4"/>
  <c r="AD77" i="4"/>
  <c r="AC77" i="4"/>
  <c r="AB77" i="4"/>
  <c r="AA77" i="4"/>
  <c r="U77" i="4"/>
  <c r="R77" i="4"/>
  <c r="I77" i="4"/>
  <c r="AE77" i="4" s="1"/>
  <c r="AD73" i="4"/>
  <c r="AC73" i="4"/>
  <c r="AB73" i="4"/>
  <c r="AA73" i="4"/>
  <c r="U73" i="4"/>
  <c r="R73" i="4"/>
  <c r="AF73" i="4"/>
  <c r="AD72" i="4"/>
  <c r="AC72" i="4"/>
  <c r="AB72" i="4"/>
  <c r="AA72" i="4"/>
  <c r="U72" i="4"/>
  <c r="R72" i="4"/>
  <c r="I72" i="4"/>
  <c r="J72" i="4" s="1"/>
  <c r="AF72" i="4" s="1"/>
  <c r="AD71" i="4"/>
  <c r="AC71" i="4"/>
  <c r="AB71" i="4"/>
  <c r="AA71" i="4"/>
  <c r="R71" i="4"/>
  <c r="I71" i="4"/>
  <c r="J71" i="4" s="1"/>
  <c r="AF71" i="4" s="1"/>
  <c r="AD69" i="4"/>
  <c r="AC69" i="4"/>
  <c r="AB69" i="4"/>
  <c r="AA69" i="4"/>
  <c r="R69" i="4"/>
  <c r="I69" i="4"/>
  <c r="AE69" i="4" s="1"/>
  <c r="AD68" i="4"/>
  <c r="AC68" i="4"/>
  <c r="AB68" i="4"/>
  <c r="AA68" i="4"/>
  <c r="R68" i="4"/>
  <c r="I68" i="4"/>
  <c r="AE68" i="4" s="1"/>
  <c r="AD67" i="4"/>
  <c r="AC67" i="4"/>
  <c r="AB67" i="4"/>
  <c r="AA67" i="4"/>
  <c r="R67" i="4"/>
  <c r="I67" i="4"/>
  <c r="J67" i="4" s="1"/>
  <c r="AF67" i="4" s="1"/>
  <c r="AD66" i="4"/>
  <c r="AC66" i="4"/>
  <c r="AB66" i="4"/>
  <c r="AA66" i="4"/>
  <c r="R66" i="4"/>
  <c r="I66" i="4"/>
  <c r="AE66" i="4" s="1"/>
  <c r="AD64" i="4"/>
  <c r="AC64" i="4"/>
  <c r="AB64" i="4"/>
  <c r="AA64" i="4"/>
  <c r="R64" i="4"/>
  <c r="I64" i="4"/>
  <c r="J64" i="4" s="1"/>
  <c r="AD62" i="4"/>
  <c r="AB62" i="4"/>
  <c r="AA62" i="4"/>
  <c r="N81" i="4"/>
  <c r="AC62" i="4"/>
  <c r="AD61" i="4"/>
  <c r="AC61" i="4"/>
  <c r="AB61" i="4"/>
  <c r="AA61" i="4"/>
  <c r="R61" i="4"/>
  <c r="I61" i="4"/>
  <c r="AE61" i="4" s="1"/>
  <c r="AD59" i="4"/>
  <c r="AC59" i="4"/>
  <c r="AB59" i="4"/>
  <c r="AA59" i="4"/>
  <c r="R59" i="4"/>
  <c r="I59" i="4"/>
  <c r="J59" i="4" s="1"/>
  <c r="AF59" i="4" s="1"/>
  <c r="AD58" i="4"/>
  <c r="AC58" i="4"/>
  <c r="AB58" i="4"/>
  <c r="AA58" i="4"/>
  <c r="U58" i="4"/>
  <c r="R58" i="4"/>
  <c r="I58" i="4"/>
  <c r="AE58" i="4" s="1"/>
  <c r="AD57" i="4"/>
  <c r="AC57" i="4"/>
  <c r="AB57" i="4"/>
  <c r="AA57" i="4"/>
  <c r="R57" i="4"/>
  <c r="I57" i="4"/>
  <c r="J57" i="4" s="1"/>
  <c r="AF57" i="4" s="1"/>
  <c r="AD56" i="4"/>
  <c r="AC56" i="4"/>
  <c r="AB56" i="4"/>
  <c r="AA56" i="4"/>
  <c r="R56" i="4"/>
  <c r="I56" i="4"/>
  <c r="AE56" i="4" s="1"/>
  <c r="AD55" i="4"/>
  <c r="AC55" i="4"/>
  <c r="AB55" i="4"/>
  <c r="AA55" i="4"/>
  <c r="R55" i="4"/>
  <c r="I55" i="4"/>
  <c r="AE55" i="4" s="1"/>
  <c r="AD54" i="4"/>
  <c r="AC54" i="4"/>
  <c r="AB54" i="4"/>
  <c r="AA54" i="4"/>
  <c r="R54" i="4"/>
  <c r="I54" i="4"/>
  <c r="J54" i="4" s="1"/>
  <c r="AD53" i="4"/>
  <c r="AC53" i="4"/>
  <c r="AB53" i="4"/>
  <c r="AA53" i="4"/>
  <c r="U53" i="4"/>
  <c r="R53" i="4"/>
  <c r="I53" i="4"/>
  <c r="AE53" i="4" s="1"/>
  <c r="AD52" i="4"/>
  <c r="AC52" i="4"/>
  <c r="AB52" i="4"/>
  <c r="AA52" i="4"/>
  <c r="U52" i="4"/>
  <c r="R52" i="4"/>
  <c r="I52" i="4"/>
  <c r="AE52" i="4" s="1"/>
  <c r="AD32" i="4"/>
  <c r="AC32" i="4"/>
  <c r="AB32" i="4"/>
  <c r="AA32" i="4"/>
  <c r="U32" i="4"/>
  <c r="R32" i="4"/>
  <c r="I32" i="4"/>
  <c r="AE32" i="4" s="1"/>
  <c r="AD31" i="4"/>
  <c r="AC31" i="4"/>
  <c r="AB31" i="4"/>
  <c r="AA31" i="4"/>
  <c r="U31" i="4"/>
  <c r="R31" i="4"/>
  <c r="I31" i="4"/>
  <c r="AE31" i="4" s="1"/>
  <c r="AD25" i="4"/>
  <c r="AC25" i="4"/>
  <c r="AB25" i="4"/>
  <c r="AA25" i="4"/>
  <c r="U25" i="4"/>
  <c r="R25" i="4"/>
  <c r="I25" i="4"/>
  <c r="AE25" i="4" s="1"/>
  <c r="AD24" i="4"/>
  <c r="AC24" i="4"/>
  <c r="AB24" i="4"/>
  <c r="AA24" i="4"/>
  <c r="R24" i="4"/>
  <c r="I24" i="4"/>
  <c r="J24" i="4" s="1"/>
  <c r="AF24" i="4" s="1"/>
  <c r="AD23" i="4"/>
  <c r="AC23" i="4"/>
  <c r="AB23" i="4"/>
  <c r="AA23" i="4"/>
  <c r="U23" i="4"/>
  <c r="R23" i="4"/>
  <c r="I23" i="4"/>
  <c r="AE23" i="4" s="1"/>
  <c r="AD22" i="4"/>
  <c r="AC22" i="4"/>
  <c r="AB22" i="4"/>
  <c r="AA22" i="4"/>
  <c r="R22" i="4"/>
  <c r="I22" i="4"/>
  <c r="AE22" i="4" s="1"/>
  <c r="AD21" i="4"/>
  <c r="AC21" i="4"/>
  <c r="AB21" i="4"/>
  <c r="AA21" i="4"/>
  <c r="R21" i="4"/>
  <c r="I21" i="4"/>
  <c r="J21" i="4" s="1"/>
  <c r="AD14" i="4"/>
  <c r="AC14" i="4"/>
  <c r="AB14" i="4"/>
  <c r="AA14" i="4"/>
  <c r="U14" i="4"/>
  <c r="R14" i="4"/>
  <c r="I14" i="4"/>
  <c r="AE14" i="4" s="1"/>
  <c r="AA29" i="3"/>
  <c r="Z29" i="3"/>
  <c r="Y29" i="3"/>
  <c r="X29" i="3"/>
  <c r="R29" i="3"/>
  <c r="I29" i="3"/>
  <c r="AB29" i="3" s="1"/>
  <c r="AA28" i="3"/>
  <c r="Z28" i="3"/>
  <c r="Y28" i="3"/>
  <c r="X28" i="3"/>
  <c r="R28" i="3"/>
  <c r="I28" i="3"/>
  <c r="J28" i="3" s="1"/>
  <c r="AC28" i="3" s="1"/>
  <c r="AA27" i="3"/>
  <c r="Z27" i="3"/>
  <c r="Y27" i="3"/>
  <c r="X27" i="3"/>
  <c r="U27" i="3"/>
  <c r="R27" i="3"/>
  <c r="I27" i="3"/>
  <c r="AB27" i="3" s="1"/>
  <c r="AA26" i="3"/>
  <c r="R26" i="3"/>
  <c r="I26" i="3"/>
  <c r="AB26" i="3" s="1"/>
  <c r="AA25" i="3"/>
  <c r="Z25" i="3"/>
  <c r="Y25" i="3"/>
  <c r="X25" i="3"/>
  <c r="R25" i="3"/>
  <c r="I25" i="3"/>
  <c r="AB25" i="3" s="1"/>
  <c r="R24" i="3"/>
  <c r="I24" i="3"/>
  <c r="AA23" i="3"/>
  <c r="Z23" i="3"/>
  <c r="Y23" i="3"/>
  <c r="X23" i="3"/>
  <c r="R23" i="3"/>
  <c r="I23" i="3"/>
  <c r="AB23" i="3" s="1"/>
  <c r="AA22" i="3"/>
  <c r="Z22" i="3"/>
  <c r="Y22" i="3"/>
  <c r="X22" i="3"/>
  <c r="U22" i="3"/>
  <c r="R22" i="3"/>
  <c r="I22" i="3"/>
  <c r="AB22" i="3" s="1"/>
  <c r="AA21" i="3"/>
  <c r="Z21" i="3"/>
  <c r="Y21" i="3"/>
  <c r="X21" i="3"/>
  <c r="U21" i="3"/>
  <c r="R21" i="3"/>
  <c r="I21" i="3"/>
  <c r="J21" i="3" s="1"/>
  <c r="AC21" i="3" s="1"/>
  <c r="AA19" i="3"/>
  <c r="R19" i="3"/>
  <c r="I19" i="3"/>
  <c r="AB19" i="3" s="1"/>
  <c r="AA18" i="3"/>
  <c r="Z18" i="3"/>
  <c r="Y18" i="3"/>
  <c r="X18" i="3"/>
  <c r="R18" i="3"/>
  <c r="I18" i="3"/>
  <c r="AB18" i="3" s="1"/>
  <c r="AA17" i="3"/>
  <c r="Z17" i="3"/>
  <c r="Y17" i="3"/>
  <c r="R17" i="3"/>
  <c r="I17" i="3"/>
  <c r="J17" i="3" s="1"/>
  <c r="AC17" i="3" s="1"/>
  <c r="AA16" i="3"/>
  <c r="R16" i="3"/>
  <c r="I16" i="3"/>
  <c r="AB16" i="3" s="1"/>
  <c r="AA15" i="3"/>
  <c r="R15" i="3"/>
  <c r="I15" i="3"/>
  <c r="AA14" i="3"/>
  <c r="Z14" i="3"/>
  <c r="Y14" i="3"/>
  <c r="X14" i="3"/>
  <c r="U14" i="3"/>
  <c r="R14" i="3"/>
  <c r="I14" i="3"/>
  <c r="J14" i="3" s="1"/>
  <c r="AC14" i="3" s="1"/>
  <c r="AA13" i="3"/>
  <c r="Z13" i="3"/>
  <c r="Y13" i="3"/>
  <c r="X13" i="3"/>
  <c r="U13" i="3"/>
  <c r="R13" i="3"/>
  <c r="I13" i="3"/>
  <c r="J13" i="3" s="1"/>
  <c r="AA12" i="3"/>
  <c r="Z12" i="3"/>
  <c r="Y12" i="3"/>
  <c r="X12" i="3"/>
  <c r="R12" i="3"/>
  <c r="I12" i="3"/>
  <c r="AB12" i="3" s="1"/>
  <c r="F129" i="9" l="1"/>
  <c r="F124" i="8"/>
  <c r="F121" i="8"/>
  <c r="N106" i="8"/>
  <c r="M172" i="13"/>
  <c r="AC53" i="12"/>
  <c r="F139" i="5"/>
  <c r="N94" i="8"/>
  <c r="D49" i="2"/>
  <c r="F136" i="5"/>
  <c r="F143" i="10"/>
  <c r="M174" i="13"/>
  <c r="F141" i="5"/>
  <c r="U30" i="3"/>
  <c r="F59" i="3" s="1"/>
  <c r="F144" i="10"/>
  <c r="F140" i="10"/>
  <c r="M190" i="13"/>
  <c r="AF21" i="4"/>
  <c r="AF64" i="4"/>
  <c r="F56" i="3"/>
  <c r="F60" i="3" s="1"/>
  <c r="AC46" i="5"/>
  <c r="AC20" i="6"/>
  <c r="AC28" i="6"/>
  <c r="AI90" i="7"/>
  <c r="AC16" i="7"/>
  <c r="AC72" i="8"/>
  <c r="M102" i="9"/>
  <c r="M115" i="9"/>
  <c r="F126" i="9"/>
  <c r="F156" i="11"/>
  <c r="AI130" i="11"/>
  <c r="F153" i="11"/>
  <c r="F155" i="11"/>
  <c r="AC29" i="11"/>
  <c r="F154" i="11"/>
  <c r="F152" i="11"/>
  <c r="AC83" i="9"/>
  <c r="M106" i="9"/>
  <c r="AC25" i="10"/>
  <c r="AC16" i="10"/>
  <c r="J121" i="11"/>
  <c r="AB121" i="11"/>
  <c r="AC23" i="11"/>
  <c r="AC54" i="11"/>
  <c r="AI141" i="12"/>
  <c r="AC68" i="12"/>
  <c r="AG42" i="13"/>
  <c r="AG21" i="13"/>
  <c r="AG12" i="13"/>
  <c r="J72" i="10"/>
  <c r="AC72" i="10" s="1"/>
  <c r="AB69" i="10"/>
  <c r="J69" i="10"/>
  <c r="AC69" i="10" s="1"/>
  <c r="AC27" i="10"/>
  <c r="J15" i="3"/>
  <c r="AC15" i="3" s="1"/>
  <c r="AB15" i="3"/>
  <c r="J24" i="3"/>
  <c r="AC24" i="3" s="1"/>
  <c r="AB24" i="3"/>
  <c r="AF54" i="4"/>
  <c r="N97" i="9"/>
  <c r="U14" i="7"/>
  <c r="Z87" i="9"/>
  <c r="R68" i="12"/>
  <c r="J29" i="3"/>
  <c r="AC29" i="3" s="1"/>
  <c r="U73" i="7"/>
  <c r="J16" i="3"/>
  <c r="AC16" i="3" s="1"/>
  <c r="J25" i="12"/>
  <c r="AB25" i="12"/>
  <c r="S159" i="13"/>
  <c r="M178" i="13" s="1"/>
  <c r="V159" i="13"/>
  <c r="AG20" i="13"/>
  <c r="S129" i="13"/>
  <c r="V129" i="13"/>
  <c r="AB70" i="12"/>
  <c r="AF129" i="13"/>
  <c r="J39" i="13"/>
  <c r="AG39" i="13" s="1"/>
  <c r="S153" i="13"/>
  <c r="S34" i="13"/>
  <c r="V39" i="13"/>
  <c r="AE29" i="4"/>
  <c r="AE70" i="4"/>
  <c r="J16" i="6"/>
  <c r="J94" i="6"/>
  <c r="AC94" i="6" s="1"/>
  <c r="AB98" i="6"/>
  <c r="AB79" i="7"/>
  <c r="N84" i="7"/>
  <c r="AB73" i="7"/>
  <c r="AB78" i="7"/>
  <c r="R17" i="8"/>
  <c r="N93" i="8" s="1"/>
  <c r="U17" i="8"/>
  <c r="F125" i="8" s="1"/>
  <c r="AB17" i="8"/>
  <c r="AB72" i="8"/>
  <c r="N113" i="10"/>
  <c r="AB29" i="11"/>
  <c r="AB23" i="12"/>
  <c r="AB58" i="12"/>
  <c r="AB68" i="12"/>
  <c r="AB64" i="12"/>
  <c r="AB63" i="12"/>
  <c r="AB62" i="12"/>
  <c r="U47" i="12"/>
  <c r="AB27" i="12"/>
  <c r="R47" i="12"/>
  <c r="AB52" i="12"/>
  <c r="J31" i="12"/>
  <c r="V33" i="13"/>
  <c r="AF33" i="13"/>
  <c r="S39" i="13"/>
  <c r="M173" i="13" s="1"/>
  <c r="S68" i="13"/>
  <c r="AF35" i="13"/>
  <c r="AF164" i="13"/>
  <c r="J68" i="13"/>
  <c r="AG68" i="13" s="1"/>
  <c r="AF34" i="13"/>
  <c r="J151" i="13"/>
  <c r="AG151" i="13" s="1"/>
  <c r="J159" i="13"/>
  <c r="AG159" i="13" s="1"/>
  <c r="J153" i="13"/>
  <c r="AG153" i="13" s="1"/>
  <c r="J81" i="13"/>
  <c r="AG81" i="13" s="1"/>
  <c r="J165" i="13"/>
  <c r="AG165" i="13" s="1"/>
  <c r="AB13" i="3"/>
  <c r="J22" i="3"/>
  <c r="AC22" i="3" s="1"/>
  <c r="J23" i="3"/>
  <c r="AC23" i="3" s="1"/>
  <c r="J12" i="3"/>
  <c r="J31" i="4"/>
  <c r="AE54" i="4"/>
  <c r="J55" i="4"/>
  <c r="AF55" i="4" s="1"/>
  <c r="J68" i="4"/>
  <c r="AF68" i="4" s="1"/>
  <c r="J53" i="4"/>
  <c r="AF53" i="4" s="1"/>
  <c r="J56" i="4"/>
  <c r="AF56" i="4" s="1"/>
  <c r="J14" i="4"/>
  <c r="J61" i="4"/>
  <c r="AF78" i="4"/>
  <c r="J23" i="4"/>
  <c r="J55" i="5"/>
  <c r="AC55" i="5" s="1"/>
  <c r="J59" i="5"/>
  <c r="AC59" i="5" s="1"/>
  <c r="J94" i="5"/>
  <c r="AC94" i="5" s="1"/>
  <c r="J42" i="5"/>
  <c r="AC42" i="5" s="1"/>
  <c r="J95" i="5"/>
  <c r="AC95" i="5" s="1"/>
  <c r="AB90" i="5"/>
  <c r="J26" i="6"/>
  <c r="AC26" i="6" s="1"/>
  <c r="AB29" i="6"/>
  <c r="AB30" i="6"/>
  <c r="J32" i="6"/>
  <c r="AC32" i="6" s="1"/>
  <c r="AB71" i="7"/>
  <c r="J72" i="7"/>
  <c r="AC72" i="7" s="1"/>
  <c r="J80" i="7"/>
  <c r="AC80" i="7" s="1"/>
  <c r="J11" i="7"/>
  <c r="J17" i="7"/>
  <c r="J22" i="8"/>
  <c r="J19" i="8"/>
  <c r="J79" i="8"/>
  <c r="AC79" i="8" s="1"/>
  <c r="J13" i="8"/>
  <c r="J18" i="8"/>
  <c r="AC18" i="8" s="1"/>
  <c r="J23" i="8"/>
  <c r="AC23" i="8" s="1"/>
  <c r="J75" i="8"/>
  <c r="AC75" i="8" s="1"/>
  <c r="J80" i="9"/>
  <c r="J84" i="9"/>
  <c r="AC84" i="9" s="1"/>
  <c r="J76" i="9"/>
  <c r="AB95" i="9"/>
  <c r="J78" i="10"/>
  <c r="AC78" i="10" s="1"/>
  <c r="AB105" i="10"/>
  <c r="J24" i="10"/>
  <c r="AC24" i="10" s="1"/>
  <c r="J20" i="10"/>
  <c r="AB85" i="10"/>
  <c r="J100" i="10"/>
  <c r="AC100" i="10" s="1"/>
  <c r="J79" i="10"/>
  <c r="J19" i="11"/>
  <c r="AC19" i="11" s="1"/>
  <c r="J73" i="11"/>
  <c r="AC73" i="11" s="1"/>
  <c r="J81" i="11"/>
  <c r="AC81" i="11" s="1"/>
  <c r="AB13" i="11"/>
  <c r="J22" i="11"/>
  <c r="AC22" i="11" s="1"/>
  <c r="J57" i="11"/>
  <c r="J55" i="11"/>
  <c r="J74" i="11"/>
  <c r="AC74" i="11" s="1"/>
  <c r="AC95" i="11"/>
  <c r="N125" i="11"/>
  <c r="AB106" i="11"/>
  <c r="J115" i="11"/>
  <c r="AC115" i="11" s="1"/>
  <c r="AB116" i="11"/>
  <c r="J12" i="11"/>
  <c r="J18" i="11"/>
  <c r="AC18" i="11" s="1"/>
  <c r="J21" i="11"/>
  <c r="AC21" i="11" s="1"/>
  <c r="AB23" i="11"/>
  <c r="J26" i="11"/>
  <c r="AC26" i="11" s="1"/>
  <c r="J113" i="11"/>
  <c r="AC113" i="11" s="1"/>
  <c r="J14" i="11"/>
  <c r="J56" i="11"/>
  <c r="AC56" i="11" s="1"/>
  <c r="J87" i="12"/>
  <c r="AC87" i="12" s="1"/>
  <c r="R11" i="12"/>
  <c r="J56" i="12"/>
  <c r="AC56" i="12" s="1"/>
  <c r="AB69" i="12"/>
  <c r="AB57" i="12"/>
  <c r="AB93" i="12"/>
  <c r="J127" i="12"/>
  <c r="J11" i="12"/>
  <c r="J55" i="12"/>
  <c r="AC55" i="12" s="1"/>
  <c r="J79" i="12"/>
  <c r="AC79" i="12" s="1"/>
  <c r="J34" i="12"/>
  <c r="J78" i="12"/>
  <c r="AC78" i="12" s="1"/>
  <c r="J95" i="12"/>
  <c r="AC95" i="12" s="1"/>
  <c r="AF166" i="13"/>
  <c r="J91" i="13"/>
  <c r="AG91" i="13" s="1"/>
  <c r="AF82" i="13"/>
  <c r="AF121" i="13"/>
  <c r="AF135" i="13"/>
  <c r="J49" i="13"/>
  <c r="AG49" i="13" s="1"/>
  <c r="J51" i="13"/>
  <c r="AG51" i="13" s="1"/>
  <c r="AF87" i="13"/>
  <c r="J101" i="13"/>
  <c r="AG101" i="13" s="1"/>
  <c r="J58" i="13"/>
  <c r="AG58" i="13" s="1"/>
  <c r="AF20" i="13"/>
  <c r="AF97" i="13"/>
  <c r="AF110" i="13"/>
  <c r="AF21" i="13"/>
  <c r="J130" i="13"/>
  <c r="AG130" i="13" s="1"/>
  <c r="J19" i="13"/>
  <c r="AF63" i="13"/>
  <c r="AF72" i="13"/>
  <c r="AF80" i="13"/>
  <c r="AF96" i="13"/>
  <c r="J13" i="13"/>
  <c r="J28" i="13"/>
  <c r="AG28" i="13" s="1"/>
  <c r="J37" i="13"/>
  <c r="AG37" i="13" s="1"/>
  <c r="AG89" i="13"/>
  <c r="J125" i="13"/>
  <c r="AG125" i="13" s="1"/>
  <c r="J15" i="11"/>
  <c r="AC15" i="11" s="1"/>
  <c r="AB15" i="11"/>
  <c r="AB47" i="12"/>
  <c r="J47" i="12"/>
  <c r="AC47" i="12" s="1"/>
  <c r="AB66" i="12"/>
  <c r="J66" i="12"/>
  <c r="AC66" i="12" s="1"/>
  <c r="AB95" i="10"/>
  <c r="J95" i="10"/>
  <c r="AC95" i="10" s="1"/>
  <c r="AL86" i="4"/>
  <c r="AI110" i="6"/>
  <c r="J77" i="9"/>
  <c r="AB86" i="9"/>
  <c r="J86" i="9"/>
  <c r="AC86" i="9" s="1"/>
  <c r="J82" i="12"/>
  <c r="AC82" i="12" s="1"/>
  <c r="J95" i="13"/>
  <c r="AG95" i="13" s="1"/>
  <c r="J19" i="3"/>
  <c r="AC19" i="3" s="1"/>
  <c r="J25" i="3"/>
  <c r="AC25" i="3" s="1"/>
  <c r="J26" i="3"/>
  <c r="AC26" i="3" s="1"/>
  <c r="J52" i="4"/>
  <c r="AF52" i="4" s="1"/>
  <c r="R62" i="4"/>
  <c r="R81" i="4" s="1"/>
  <c r="AE72" i="4"/>
  <c r="J77" i="4"/>
  <c r="AF77" i="4" s="1"/>
  <c r="J12" i="6"/>
  <c r="J17" i="6"/>
  <c r="AC17" i="6" s="1"/>
  <c r="R96" i="6"/>
  <c r="J12" i="7"/>
  <c r="J14" i="7"/>
  <c r="J25" i="7"/>
  <c r="AB70" i="7"/>
  <c r="J87" i="9"/>
  <c r="AB87" i="9"/>
  <c r="J20" i="11"/>
  <c r="AC20" i="11" s="1"/>
  <c r="AB20" i="11"/>
  <c r="J82" i="11"/>
  <c r="AC82" i="11" s="1"/>
  <c r="AB82" i="11"/>
  <c r="J71" i="12"/>
  <c r="AC71" i="12" s="1"/>
  <c r="AB71" i="12"/>
  <c r="S132" i="13"/>
  <c r="J146" i="13"/>
  <c r="AG146" i="13" s="1"/>
  <c r="AF146" i="13"/>
  <c r="AB108" i="10"/>
  <c r="J108" i="10"/>
  <c r="AC108" i="10" s="1"/>
  <c r="AF38" i="13"/>
  <c r="J38" i="13"/>
  <c r="AE57" i="4"/>
  <c r="U62" i="4"/>
  <c r="AB57" i="5"/>
  <c r="AB91" i="5"/>
  <c r="U96" i="6"/>
  <c r="J88" i="10"/>
  <c r="AC88" i="10" s="1"/>
  <c r="AB88" i="10"/>
  <c r="AB110" i="10"/>
  <c r="J110" i="10"/>
  <c r="AC110" i="10" s="1"/>
  <c r="AB98" i="12"/>
  <c r="J98" i="12"/>
  <c r="AC98" i="12" s="1"/>
  <c r="AF29" i="13"/>
  <c r="J29" i="13"/>
  <c r="AG29" i="13" s="1"/>
  <c r="J88" i="13"/>
  <c r="AG88" i="13" s="1"/>
  <c r="AF88" i="13"/>
  <c r="J32" i="12"/>
  <c r="AB32" i="12"/>
  <c r="AB75" i="10"/>
  <c r="J75" i="10"/>
  <c r="AC75" i="10" s="1"/>
  <c r="J86" i="11"/>
  <c r="AC86" i="11" s="1"/>
  <c r="AB86" i="11"/>
  <c r="AB49" i="12"/>
  <c r="J49" i="12"/>
  <c r="AC49" i="12" s="1"/>
  <c r="AB53" i="12"/>
  <c r="J36" i="13"/>
  <c r="J69" i="13"/>
  <c r="AG69" i="13" s="1"/>
  <c r="J115" i="13"/>
  <c r="AG115" i="13" s="1"/>
  <c r="AF115" i="13"/>
  <c r="AF126" i="13"/>
  <c r="J126" i="13"/>
  <c r="AG126" i="13" s="1"/>
  <c r="AB91" i="9"/>
  <c r="J91" i="9"/>
  <c r="AC91" i="9" s="1"/>
  <c r="AB128" i="12"/>
  <c r="J128" i="12"/>
  <c r="AC128" i="12" s="1"/>
  <c r="J53" i="5"/>
  <c r="AC53" i="5" s="1"/>
  <c r="AE21" i="4"/>
  <c r="J25" i="4"/>
  <c r="J32" i="4"/>
  <c r="J13" i="5"/>
  <c r="AI110" i="5"/>
  <c r="AB19" i="5"/>
  <c r="AB45" i="5"/>
  <c r="AB51" i="5"/>
  <c r="J23" i="6"/>
  <c r="J20" i="7"/>
  <c r="AB28" i="8"/>
  <c r="AB104" i="10"/>
  <c r="J104" i="10"/>
  <c r="AC104" i="10" s="1"/>
  <c r="AB86" i="12"/>
  <c r="J86" i="12"/>
  <c r="AC86" i="12" s="1"/>
  <c r="AB99" i="12"/>
  <c r="J99" i="12"/>
  <c r="AC99" i="12" s="1"/>
  <c r="J22" i="4"/>
  <c r="AF22" i="4" s="1"/>
  <c r="AB18" i="7"/>
  <c r="J75" i="9"/>
  <c r="AB75" i="9"/>
  <c r="AB16" i="10"/>
  <c r="AB84" i="10"/>
  <c r="AB27" i="11"/>
  <c r="J48" i="13"/>
  <c r="AG48" i="13" s="1"/>
  <c r="AF48" i="13"/>
  <c r="J60" i="13"/>
  <c r="AG60" i="13" s="1"/>
  <c r="AF60" i="13"/>
  <c r="J94" i="13"/>
  <c r="AG94" i="13" s="1"/>
  <c r="AF94" i="13"/>
  <c r="J58" i="4"/>
  <c r="AF58" i="4" s="1"/>
  <c r="I62" i="4"/>
  <c r="J14" i="5"/>
  <c r="AB46" i="5"/>
  <c r="AB19" i="7"/>
  <c r="J23" i="7"/>
  <c r="AC23" i="7" s="1"/>
  <c r="J73" i="8"/>
  <c r="AC73" i="8" s="1"/>
  <c r="J76" i="11"/>
  <c r="AC76" i="11" s="1"/>
  <c r="AB76" i="11"/>
  <c r="J109" i="13"/>
  <c r="AG109" i="13" s="1"/>
  <c r="J86" i="10"/>
  <c r="AC86" i="10" s="1"/>
  <c r="J102" i="10"/>
  <c r="AC102" i="10" s="1"/>
  <c r="J106" i="10"/>
  <c r="AC106" i="10" s="1"/>
  <c r="J72" i="11"/>
  <c r="AC72" i="11" s="1"/>
  <c r="J28" i="12"/>
  <c r="J97" i="12"/>
  <c r="AC97" i="12" s="1"/>
  <c r="AB76" i="10"/>
  <c r="AB85" i="11"/>
  <c r="AB23" i="10"/>
  <c r="J101" i="10"/>
  <c r="AC101" i="10" s="1"/>
  <c r="J83" i="11"/>
  <c r="AC83" i="11" s="1"/>
  <c r="J33" i="12"/>
  <c r="AC33" i="12" s="1"/>
  <c r="AB65" i="12"/>
  <c r="AB85" i="12"/>
  <c r="J94" i="12"/>
  <c r="AC94" i="12" s="1"/>
  <c r="AF12" i="13"/>
  <c r="AF93" i="13"/>
  <c r="AF98" i="13"/>
  <c r="AF47" i="13"/>
  <c r="J141" i="13"/>
  <c r="AG141" i="13" s="1"/>
  <c r="AF145" i="13"/>
  <c r="AC13" i="3"/>
  <c r="AC45" i="5"/>
  <c r="J27" i="3"/>
  <c r="AC27" i="3" s="1"/>
  <c r="J66" i="4"/>
  <c r="AF66" i="4" s="1"/>
  <c r="J69" i="4"/>
  <c r="AF69" i="4" s="1"/>
  <c r="J92" i="5"/>
  <c r="AC92" i="5" s="1"/>
  <c r="AB92" i="5"/>
  <c r="J76" i="7"/>
  <c r="AC76" i="7" s="1"/>
  <c r="AB76" i="7"/>
  <c r="AB14" i="3"/>
  <c r="AB21" i="3"/>
  <c r="AB28" i="3"/>
  <c r="R30" i="3"/>
  <c r="AE24" i="4"/>
  <c r="J52" i="5"/>
  <c r="AC52" i="5" s="1"/>
  <c r="AB52" i="5"/>
  <c r="J12" i="8"/>
  <c r="AB12" i="8"/>
  <c r="AE67" i="4"/>
  <c r="AE71" i="4"/>
  <c r="AB17" i="3"/>
  <c r="AC18" i="5"/>
  <c r="J58" i="5"/>
  <c r="AC58" i="5" s="1"/>
  <c r="AB58" i="5"/>
  <c r="J18" i="3"/>
  <c r="AC18" i="3" s="1"/>
  <c r="AE59" i="4"/>
  <c r="AE64" i="4"/>
  <c r="AE80" i="4"/>
  <c r="AC50" i="5"/>
  <c r="AE73" i="4"/>
  <c r="J22" i="6"/>
  <c r="J96" i="6"/>
  <c r="AC96" i="6" s="1"/>
  <c r="J89" i="9"/>
  <c r="AC89" i="9" s="1"/>
  <c r="AB89" i="9"/>
  <c r="AB18" i="5"/>
  <c r="AB44" i="5"/>
  <c r="AB54" i="5"/>
  <c r="U105" i="5"/>
  <c r="AB28" i="6"/>
  <c r="AB21" i="7"/>
  <c r="AI94" i="8"/>
  <c r="AB50" i="5"/>
  <c r="AB20" i="6"/>
  <c r="J82" i="9"/>
  <c r="AC82" i="9" s="1"/>
  <c r="AB82" i="9"/>
  <c r="J58" i="11"/>
  <c r="AC58" i="11" s="1"/>
  <c r="AB58" i="11"/>
  <c r="AB75" i="11"/>
  <c r="J75" i="11"/>
  <c r="AC75" i="11" s="1"/>
  <c r="AB25" i="6"/>
  <c r="AB31" i="6"/>
  <c r="J17" i="10"/>
  <c r="AC17" i="10" s="1"/>
  <c r="AB17" i="10"/>
  <c r="AB18" i="10"/>
  <c r="J18" i="10"/>
  <c r="J91" i="10"/>
  <c r="AC91" i="10" s="1"/>
  <c r="AB91" i="10"/>
  <c r="AB29" i="7"/>
  <c r="AC15" i="8"/>
  <c r="AB26" i="8"/>
  <c r="AB70" i="8"/>
  <c r="AC23" i="10"/>
  <c r="J29" i="12"/>
  <c r="AB29" i="12"/>
  <c r="AB71" i="8"/>
  <c r="AC12" i="10"/>
  <c r="AB16" i="7"/>
  <c r="AB24" i="7"/>
  <c r="AB75" i="7"/>
  <c r="AB15" i="8"/>
  <c r="J26" i="10"/>
  <c r="AB26" i="10"/>
  <c r="R84" i="7"/>
  <c r="AB25" i="8"/>
  <c r="AB27" i="8"/>
  <c r="AB74" i="8"/>
  <c r="AC83" i="10"/>
  <c r="AB83" i="9"/>
  <c r="J92" i="9"/>
  <c r="AC92" i="9" s="1"/>
  <c r="AB92" i="9"/>
  <c r="J15" i="10"/>
  <c r="AC15" i="10" s="1"/>
  <c r="AB15" i="10"/>
  <c r="J94" i="9"/>
  <c r="AC94" i="9" s="1"/>
  <c r="AB94" i="9"/>
  <c r="AB81" i="9"/>
  <c r="AB12" i="10"/>
  <c r="AB111" i="11"/>
  <c r="AB26" i="12"/>
  <c r="J23" i="13"/>
  <c r="AF23" i="13"/>
  <c r="J19" i="10"/>
  <c r="AB19" i="10"/>
  <c r="J77" i="10"/>
  <c r="AC77" i="10" s="1"/>
  <c r="AB77" i="10"/>
  <c r="AB90" i="10"/>
  <c r="J98" i="10"/>
  <c r="AC98" i="10" s="1"/>
  <c r="AB98" i="10"/>
  <c r="J13" i="10"/>
  <c r="AC13" i="10" s="1"/>
  <c r="AB13" i="10"/>
  <c r="AB80" i="10"/>
  <c r="J96" i="10"/>
  <c r="AC96" i="10" s="1"/>
  <c r="AB96" i="10"/>
  <c r="AB93" i="10"/>
  <c r="AB103" i="10"/>
  <c r="AB114" i="11"/>
  <c r="J114" i="11"/>
  <c r="AC114" i="11" s="1"/>
  <c r="J99" i="10"/>
  <c r="AC99" i="10" s="1"/>
  <c r="AB27" i="10"/>
  <c r="AB94" i="10"/>
  <c r="AB24" i="12"/>
  <c r="AB82" i="10"/>
  <c r="AB87" i="10"/>
  <c r="AB16" i="11"/>
  <c r="AB60" i="11"/>
  <c r="AB77" i="11"/>
  <c r="U125" i="11"/>
  <c r="AB77" i="12"/>
  <c r="J81" i="12"/>
  <c r="AC81" i="12" s="1"/>
  <c r="AF152" i="13"/>
  <c r="J152" i="13"/>
  <c r="AG152" i="13" s="1"/>
  <c r="J156" i="13"/>
  <c r="AG156" i="13" s="1"/>
  <c r="AF156" i="13"/>
  <c r="AB25" i="10"/>
  <c r="AB81" i="10"/>
  <c r="AB83" i="10"/>
  <c r="AB107" i="10"/>
  <c r="AB17" i="11"/>
  <c r="AB54" i="11"/>
  <c r="AB107" i="11"/>
  <c r="AB112" i="11"/>
  <c r="R53" i="12"/>
  <c r="J22" i="13"/>
  <c r="AG22" i="13" s="1"/>
  <c r="AF22" i="13"/>
  <c r="J136" i="13"/>
  <c r="AG136" i="13" s="1"/>
  <c r="AF136" i="13"/>
  <c r="AB75" i="12"/>
  <c r="AF64" i="13"/>
  <c r="AF42" i="13"/>
  <c r="AF139" i="13"/>
  <c r="AB61" i="12"/>
  <c r="AB80" i="12"/>
  <c r="AB88" i="12"/>
  <c r="AB92" i="12"/>
  <c r="AB96" i="12"/>
  <c r="AB122" i="12"/>
  <c r="AG86" i="13"/>
  <c r="AF86" i="13"/>
  <c r="AG110" i="13"/>
  <c r="J134" i="13"/>
  <c r="AG134" i="13" s="1"/>
  <c r="J111" i="13"/>
  <c r="AG111" i="13" s="1"/>
  <c r="AF111" i="13"/>
  <c r="AF73" i="13"/>
  <c r="AF137" i="13"/>
  <c r="AF71" i="13"/>
  <c r="AF90" i="13"/>
  <c r="J137" i="13"/>
  <c r="AF144" i="13"/>
  <c r="AF50" i="13"/>
  <c r="AF65" i="13"/>
  <c r="AF100" i="13"/>
  <c r="AF127" i="13"/>
  <c r="J132" i="13"/>
  <c r="AG132" i="13" s="1"/>
  <c r="AF147" i="13"/>
  <c r="V132" i="13"/>
  <c r="AG38" i="13" l="1"/>
  <c r="U136" i="12"/>
  <c r="R136" i="12"/>
  <c r="M123" i="9"/>
  <c r="F131" i="9"/>
  <c r="N115" i="8"/>
  <c r="M171" i="13"/>
  <c r="M188" i="13"/>
  <c r="D48" i="2" s="1"/>
  <c r="F126" i="8"/>
  <c r="AC32" i="12"/>
  <c r="AC19" i="8"/>
  <c r="AC22" i="8"/>
  <c r="F168" i="12"/>
  <c r="F142" i="5"/>
  <c r="AC20" i="10"/>
  <c r="AC80" i="9"/>
  <c r="AC29" i="12"/>
  <c r="AC18" i="10"/>
  <c r="F146" i="6"/>
  <c r="F145" i="10"/>
  <c r="AF23" i="4"/>
  <c r="AF32" i="4"/>
  <c r="F121" i="7"/>
  <c r="AC12" i="3"/>
  <c r="J30" i="3"/>
  <c r="C44" i="3"/>
  <c r="U81" i="4"/>
  <c r="F116" i="4"/>
  <c r="AC13" i="5"/>
  <c r="AC14" i="5"/>
  <c r="AC12" i="6"/>
  <c r="AC16" i="6"/>
  <c r="C126" i="6"/>
  <c r="N133" i="6"/>
  <c r="AC23" i="6"/>
  <c r="N110" i="7"/>
  <c r="AC14" i="7"/>
  <c r="AC12" i="7"/>
  <c r="D44" i="2"/>
  <c r="AC25" i="7"/>
  <c r="AC20" i="7"/>
  <c r="AC17" i="7"/>
  <c r="AC11" i="7"/>
  <c r="F157" i="11"/>
  <c r="AC12" i="11"/>
  <c r="AC87" i="9"/>
  <c r="AC76" i="9"/>
  <c r="AC77" i="9"/>
  <c r="AC75" i="9"/>
  <c r="AC79" i="10"/>
  <c r="AC19" i="10"/>
  <c r="AC121" i="11"/>
  <c r="D62" i="2" s="1"/>
  <c r="AC55" i="11"/>
  <c r="AC57" i="11"/>
  <c r="AC14" i="11"/>
  <c r="AC127" i="12"/>
  <c r="AC34" i="12"/>
  <c r="AC31" i="12"/>
  <c r="AC28" i="12"/>
  <c r="AC25" i="12"/>
  <c r="AC11" i="12"/>
  <c r="AN172" i="13"/>
  <c r="S167" i="13"/>
  <c r="D50" i="2"/>
  <c r="AG36" i="13"/>
  <c r="AG23" i="13"/>
  <c r="D41" i="2"/>
  <c r="D37" i="2"/>
  <c r="U113" i="10"/>
  <c r="J113" i="10"/>
  <c r="R97" i="9"/>
  <c r="AC13" i="8"/>
  <c r="J88" i="8"/>
  <c r="F198" i="13"/>
  <c r="AF31" i="4"/>
  <c r="AF61" i="4"/>
  <c r="AF14" i="4"/>
  <c r="AF25" i="4"/>
  <c r="U84" i="7"/>
  <c r="R113" i="10"/>
  <c r="R88" i="8"/>
  <c r="R105" i="6"/>
  <c r="AG19" i="13"/>
  <c r="AG13" i="13"/>
  <c r="U105" i="6"/>
  <c r="U88" i="8"/>
  <c r="U97" i="9"/>
  <c r="O53" i="3"/>
  <c r="D68" i="3" s="1"/>
  <c r="R125" i="11"/>
  <c r="J105" i="5"/>
  <c r="AE62" i="4"/>
  <c r="J62" i="4"/>
  <c r="J84" i="7"/>
  <c r="AC12" i="8"/>
  <c r="J97" i="9"/>
  <c r="J105" i="6"/>
  <c r="J125" i="11"/>
  <c r="N137" i="10"/>
  <c r="AC26" i="10"/>
  <c r="AC22" i="6"/>
  <c r="AG137" i="13"/>
  <c r="Y127" i="10" l="1"/>
  <c r="C131" i="10"/>
  <c r="C116" i="9"/>
  <c r="C124" i="5"/>
  <c r="X120" i="6"/>
  <c r="AA120" i="5"/>
  <c r="Y103" i="8"/>
  <c r="C154" i="12"/>
  <c r="AC136" i="12"/>
  <c r="AF62" i="4"/>
  <c r="AF81" i="4" s="1"/>
  <c r="C101" i="4"/>
  <c r="N107" i="4"/>
  <c r="Y37" i="3"/>
  <c r="Y46" i="3" s="1"/>
  <c r="AC30" i="3"/>
  <c r="C103" i="7"/>
  <c r="AC84" i="7"/>
  <c r="AC88" i="8"/>
  <c r="Z138" i="11"/>
  <c r="AC97" i="9"/>
  <c r="C143" i="11"/>
  <c r="AC125" i="11"/>
  <c r="AG167" i="13"/>
  <c r="J81" i="4"/>
  <c r="C108" i="8"/>
  <c r="N149" i="11"/>
  <c r="M191" i="13"/>
  <c r="AC105" i="5"/>
  <c r="AC105" i="6"/>
  <c r="D44" i="3"/>
  <c r="AC113" i="10"/>
  <c r="Y150" i="12" l="1"/>
  <c r="Z112" i="9"/>
  <c r="D52" i="2"/>
  <c r="AB180" i="13"/>
  <c r="D54" i="2" l="1"/>
  <c r="AD96" i="4"/>
</calcChain>
</file>

<file path=xl/sharedStrings.xml><?xml version="1.0" encoding="utf-8"?>
<sst xmlns="http://schemas.openxmlformats.org/spreadsheetml/2006/main" count="8053" uniqueCount="644">
  <si>
    <t>DESCRIÇÃO</t>
  </si>
  <si>
    <t>M2</t>
  </si>
  <si>
    <t>REVESTIMENTOS</t>
  </si>
  <si>
    <t>PISOS</t>
  </si>
  <si>
    <t>FORROS</t>
  </si>
  <si>
    <t>RESUMO</t>
  </si>
  <si>
    <t>Tipo 1</t>
  </si>
  <si>
    <t>Tipo 2</t>
  </si>
  <si>
    <t>Tipo 3</t>
  </si>
  <si>
    <t>Tipo 4</t>
  </si>
  <si>
    <t>Tipo 5</t>
  </si>
  <si>
    <t>Tipo 6</t>
  </si>
  <si>
    <t>Tipo 7</t>
  </si>
  <si>
    <t>Tipo 8</t>
  </si>
  <si>
    <t>Tipo 9</t>
  </si>
  <si>
    <t>Tipo 10</t>
  </si>
  <si>
    <t>Tipo 11</t>
  </si>
  <si>
    <t>TIPO 1</t>
  </si>
  <si>
    <t>TIPO 2</t>
  </si>
  <si>
    <t>TIPO 3</t>
  </si>
  <si>
    <t>TIPO 4</t>
  </si>
  <si>
    <t>TIPO 5</t>
  </si>
  <si>
    <t>TIPO 6</t>
  </si>
  <si>
    <t>TIPO 7</t>
  </si>
  <si>
    <t>TIPO 8</t>
  </si>
  <si>
    <t>TIPO 9</t>
  </si>
  <si>
    <t>TIPO 10</t>
  </si>
  <si>
    <t>TIPO 11</t>
  </si>
  <si>
    <t>TIPO 15</t>
  </si>
  <si>
    <t>TIPO 16</t>
  </si>
  <si>
    <t>TIPO 17</t>
  </si>
  <si>
    <t>TIPO 20</t>
  </si>
  <si>
    <t>VER</t>
  </si>
  <si>
    <t>RODAPÉ</t>
  </si>
  <si>
    <t>TABICA</t>
  </si>
  <si>
    <t>PISO</t>
  </si>
  <si>
    <t>REVESTIMENTO</t>
  </si>
  <si>
    <t>FORRO</t>
  </si>
  <si>
    <t>LOCAL</t>
  </si>
  <si>
    <t>TIPO</t>
  </si>
  <si>
    <t>REP.</t>
  </si>
  <si>
    <t>COMP.</t>
  </si>
  <si>
    <t>LARGURA</t>
  </si>
  <si>
    <t>ÁREA</t>
  </si>
  <si>
    <t>DESCONTO</t>
  </si>
  <si>
    <t>ÁREA UNIT.</t>
  </si>
  <si>
    <t>ÁREA TOTAL</t>
  </si>
  <si>
    <t>PERÍMETRO</t>
  </si>
  <si>
    <t>ALTURA</t>
  </si>
  <si>
    <t>ACRÉSCIMO</t>
  </si>
  <si>
    <t>piso</t>
  </si>
  <si>
    <t>(m2)</t>
  </si>
  <si>
    <t>(m)</t>
  </si>
  <si>
    <t>parede</t>
  </si>
  <si>
    <t>forro</t>
  </si>
  <si>
    <t>CASA DE MÁQUINAS 1</t>
  </si>
  <si>
    <t xml:space="preserve">TIPO 8 </t>
  </si>
  <si>
    <t>cad</t>
  </si>
  <si>
    <t>A.C 1</t>
  </si>
  <si>
    <t>ESCADA 1</t>
  </si>
  <si>
    <t>ÁREA TÉCNICA 1</t>
  </si>
  <si>
    <t>CASA VÁCUO</t>
  </si>
  <si>
    <t>SUBESTAÇÃO</t>
  </si>
  <si>
    <t>NOBREAK</t>
  </si>
  <si>
    <t>ÁREA TÉCNICA 2</t>
  </si>
  <si>
    <t>A.C 2</t>
  </si>
  <si>
    <t>ESCADA 2</t>
  </si>
  <si>
    <t>CASA DE MÁQUINAS 2</t>
  </si>
  <si>
    <t>BARRILETE</t>
  </si>
  <si>
    <t>CASA DE BOMBAS</t>
  </si>
  <si>
    <t>A.C 3</t>
  </si>
  <si>
    <t>CASA DE MÁQUINAS 3</t>
  </si>
  <si>
    <t>ESCADA 3</t>
  </si>
  <si>
    <t>CIRC. SERVIÇO</t>
  </si>
  <si>
    <t>ELEVADOR 03</t>
  </si>
  <si>
    <t>ELEVADOR 04</t>
  </si>
  <si>
    <t>RESIDUOS</t>
  </si>
  <si>
    <t>ROUPA SUJA</t>
  </si>
  <si>
    <t>DLM</t>
  </si>
  <si>
    <t>EQUIPAMENTOS</t>
  </si>
  <si>
    <t>BIOPSIA</t>
  </si>
  <si>
    <t>LAUDOS</t>
  </si>
  <si>
    <t>A.C 01</t>
  </si>
  <si>
    <t>RECEPÇÃO</t>
  </si>
  <si>
    <t>ARSENAL</t>
  </si>
  <si>
    <t>FARMACIA</t>
  </si>
  <si>
    <t>SANIT. PUB. FEMIN</t>
  </si>
  <si>
    <t>SANIT. PUB. MASC</t>
  </si>
  <si>
    <t>VEST. BARREIRA FEM.</t>
  </si>
  <si>
    <t>VEST. BARREIRA MASC.</t>
  </si>
  <si>
    <t>VEST. PACIENTE AMBU.</t>
  </si>
  <si>
    <t>BANHEIRO</t>
  </si>
  <si>
    <t>COMANDO</t>
  </si>
  <si>
    <t>RECEPÇAO PACIENTES</t>
  </si>
  <si>
    <t>SALA HIBRIDA 01</t>
  </si>
  <si>
    <t>SALA DE CIRUG. 02</t>
  </si>
  <si>
    <t>SALA DE CIRUG. 03</t>
  </si>
  <si>
    <t>SALA DE CIRUG. 04</t>
  </si>
  <si>
    <t>SALA DE CIRUG. 05</t>
  </si>
  <si>
    <t>SALA DE CIRUG. 06</t>
  </si>
  <si>
    <t>ANTE- CAMARA 02</t>
  </si>
  <si>
    <t>ESCADA 02</t>
  </si>
  <si>
    <t>ELEV VISITANTE 07</t>
  </si>
  <si>
    <t>ELEV. VISITANTE 08</t>
  </si>
  <si>
    <t>CIRC.</t>
  </si>
  <si>
    <t>HALL DE SERVIÇO</t>
  </si>
  <si>
    <t>ESCADA 03</t>
  </si>
  <si>
    <t xml:space="preserve">TIPO 10 </t>
  </si>
  <si>
    <t>ELEVADOR CONVÊNIO 1</t>
  </si>
  <si>
    <t>ELEVADOR CONVÊNIO 2</t>
  </si>
  <si>
    <t>QUARTO 07</t>
  </si>
  <si>
    <t>QUARTO 08</t>
  </si>
  <si>
    <t>QUARTO 03</t>
  </si>
  <si>
    <t>BANHEIRO COLETIVO</t>
  </si>
  <si>
    <t>QUARTO 9</t>
  </si>
  <si>
    <t>QUARTO 10</t>
  </si>
  <si>
    <t>A.C</t>
  </si>
  <si>
    <t>BHO. QUARTO 2</t>
  </si>
  <si>
    <t>BHO. QUARTO 1</t>
  </si>
  <si>
    <t>UTILIDADES</t>
  </si>
  <si>
    <t xml:space="preserve">TIPO 6 </t>
  </si>
  <si>
    <t>ELEV. SERVIÇO 3</t>
  </si>
  <si>
    <t>ELEV. SERVIÇO 4</t>
  </si>
  <si>
    <t>DML</t>
  </si>
  <si>
    <t>VEST. FUNC. FEM</t>
  </si>
  <si>
    <t>VEST. FUNC. MAS.</t>
  </si>
  <si>
    <t>ROUPARIA</t>
  </si>
  <si>
    <t>COPA FUNC</t>
  </si>
  <si>
    <t>COPA DIST.</t>
  </si>
  <si>
    <t>FARMACIA SATELITE</t>
  </si>
  <si>
    <t>QUARTO 06</t>
  </si>
  <si>
    <t>QUARTO 09</t>
  </si>
  <si>
    <t>BHO. COLETIVO</t>
  </si>
  <si>
    <t>A.C 02</t>
  </si>
  <si>
    <t>ELEVADOR VISITANTE 7</t>
  </si>
  <si>
    <t>ELEVADOR VISITANTE 8</t>
  </si>
  <si>
    <t>ANTE-CÂMARA 1</t>
  </si>
  <si>
    <t>ANTE-SALA</t>
  </si>
  <si>
    <t>SANIT. PCD</t>
  </si>
  <si>
    <t>FARMÁCIA</t>
  </si>
  <si>
    <t>RESÍDUOS</t>
  </si>
  <si>
    <t>ÁREA TÉCNICA</t>
  </si>
  <si>
    <t>VESTIÁRIO FUNC. FEM.</t>
  </si>
  <si>
    <t>VESTIÁRIO FUNC. MASC.</t>
  </si>
  <si>
    <t>COPA DISTRIBUIÇÃO</t>
  </si>
  <si>
    <t>COPA FUNCIONÁRIOS</t>
  </si>
  <si>
    <t>POSTO ENFERMAGEM</t>
  </si>
  <si>
    <t>SANITARIOS PCD</t>
  </si>
  <si>
    <t>SANI. PUB. MASCULINO</t>
  </si>
  <si>
    <t>SANI. PUB. FEMININO</t>
  </si>
  <si>
    <t>CIRC. DE SERVIÇOS</t>
  </si>
  <si>
    <t>AREA TECNICA</t>
  </si>
  <si>
    <t>CASA DE MÁQUINAS</t>
  </si>
  <si>
    <t>BHN. PACIENTE</t>
  </si>
  <si>
    <t>HALL</t>
  </si>
  <si>
    <t>BNH FUNC. MASC</t>
  </si>
  <si>
    <t>COPA FUNC.</t>
  </si>
  <si>
    <t>CIRCULAÇÃO</t>
  </si>
  <si>
    <t>CIRCULAÇÃO 2</t>
  </si>
  <si>
    <t>ELEV. PACIENTE 5</t>
  </si>
  <si>
    <t>ELEV. PACIENTE 6</t>
  </si>
  <si>
    <t>ANTE-CÂMARA</t>
  </si>
  <si>
    <t>SANIT. FUNC. FEMININO</t>
  </si>
  <si>
    <t>SANIT. FUNC. MASCULINO</t>
  </si>
  <si>
    <t>ANTE-CÂMARA 02</t>
  </si>
  <si>
    <t>COPA</t>
  </si>
  <si>
    <t>ERGOMETRIA</t>
  </si>
  <si>
    <t>ANTE-CÂMARA 3</t>
  </si>
  <si>
    <t>ECOTRANSOFÁGICO</t>
  </si>
  <si>
    <t>LAVAGEM</t>
  </si>
  <si>
    <t>SANIT PCD</t>
  </si>
  <si>
    <t>RECUPERAÇÃO</t>
  </si>
  <si>
    <t>ECOCARDIOGRAMA 1</t>
  </si>
  <si>
    <t>ECOCARDIOGRAMA 2</t>
  </si>
  <si>
    <t>ECOCARDIOGRAMA 3</t>
  </si>
  <si>
    <t>VEST. PACIENTE</t>
  </si>
  <si>
    <t>SANIT PCD 1</t>
  </si>
  <si>
    <t>SANIT PCD 2</t>
  </si>
  <si>
    <t>SANIT PCD 3</t>
  </si>
  <si>
    <t>COMANDO 2</t>
  </si>
  <si>
    <t>GAMA CÂMARA 1</t>
  </si>
  <si>
    <t>COMANDO 1</t>
  </si>
  <si>
    <t>GAMA CÂMARA 2</t>
  </si>
  <si>
    <t>SALA DE CAPTAÇÃO 1</t>
  </si>
  <si>
    <t>SALA DE CAPTAÇÃO 2</t>
  </si>
  <si>
    <t>SALA DE CAPTAÇÃO 3</t>
  </si>
  <si>
    <t>PET. SCAN</t>
  </si>
  <si>
    <t>EXAME</t>
  </si>
  <si>
    <t>MANIPULAÇÃO DE RADIOFÁRMACOS</t>
  </si>
  <si>
    <t>ADMINISTRAÇÃO DE RADIOFÁRMACOS</t>
  </si>
  <si>
    <t>DECAIMENTO</t>
  </si>
  <si>
    <t>ANTE-CÂMARA 2</t>
  </si>
  <si>
    <t>BANHEIRO 1</t>
  </si>
  <si>
    <t>BANHEIRO 2</t>
  </si>
  <si>
    <t>POLISSONOGRAFIA 1</t>
  </si>
  <si>
    <t>POLISSONOGRAFIA 2</t>
  </si>
  <si>
    <t>POLISSONOGRAFIA 3</t>
  </si>
  <si>
    <t>POLISSONOGRAFIA 4</t>
  </si>
  <si>
    <t>POLISSONOGRAFIA 5</t>
  </si>
  <si>
    <t>BANHEIRO 3</t>
  </si>
  <si>
    <t>BANHEIRO 4</t>
  </si>
  <si>
    <t>BANHEIRO 5</t>
  </si>
  <si>
    <t>MONITORIZAÇÃO</t>
  </si>
  <si>
    <t>SANIT. PCD 1</t>
  </si>
  <si>
    <t>SANIT. PCD 2</t>
  </si>
  <si>
    <t>SANIT. PCD 3</t>
  </si>
  <si>
    <t>SANIT. PCD 4</t>
  </si>
  <si>
    <t>BANH. 1</t>
  </si>
  <si>
    <t>ULTRASSOM BIÓPSIA</t>
  </si>
  <si>
    <t>ULTRASSOM 2</t>
  </si>
  <si>
    <t>ULTRASSOM 3</t>
  </si>
  <si>
    <t>ULTRASSOM 4</t>
  </si>
  <si>
    <t>SANIT. VEST. FUNC. FEMININO</t>
  </si>
  <si>
    <t>SANIT. VEST. FUNC. MASCULINO</t>
  </si>
  <si>
    <t>EXAME ENDOSCOPIA 1</t>
  </si>
  <si>
    <t>EXAME ENDOSCOPIA 2</t>
  </si>
  <si>
    <t>SANITÁRIO PCD 1</t>
  </si>
  <si>
    <t>SANITÁRIO PCD 2</t>
  </si>
  <si>
    <t>CIRCULAÇÃO INTERNA</t>
  </si>
  <si>
    <t>AR CONDIC.</t>
  </si>
  <si>
    <t>SALA TÉCNICA</t>
  </si>
  <si>
    <t>BANHEIRO PACIENTE</t>
  </si>
  <si>
    <t>VESTIÁRIO FUNC. MASCULINO</t>
  </si>
  <si>
    <t>VESTIÁRIO FUNC. FEMININO</t>
  </si>
  <si>
    <t>ESTAR MÉDICO</t>
  </si>
  <si>
    <t>SECRETARIA</t>
  </si>
  <si>
    <t>SUBESPERA DA MULHER</t>
  </si>
  <si>
    <t>SANITÁRIO</t>
  </si>
  <si>
    <t>VESTIÁRIO</t>
  </si>
  <si>
    <t>SANITÁRIO FEMININO</t>
  </si>
  <si>
    <t>SANITÁRIO MASCULINO</t>
  </si>
  <si>
    <t>COPA FUNCIONÁRIO</t>
  </si>
  <si>
    <t>VESTIÁRIO PACIENTE</t>
  </si>
  <si>
    <t>SANITÁRIO PACIENTE</t>
  </si>
  <si>
    <t>CASA DE HEMODINÂMICA</t>
  </si>
  <si>
    <t>RAIO X TL.2</t>
  </si>
  <si>
    <t>CASA DE MÁQUINA RAIO X-1</t>
  </si>
  <si>
    <t>CASA DE MÁQUINA RAIO X-2</t>
  </si>
  <si>
    <t>AR CONDIC. RM</t>
  </si>
  <si>
    <t>RAIO X</t>
  </si>
  <si>
    <t>TOMOGRAFIA</t>
  </si>
  <si>
    <t>COMANDO RM</t>
  </si>
  <si>
    <t>CENTRAL MANIFOLDS</t>
  </si>
  <si>
    <t>CENTRAL AR COMPRIMIDO</t>
  </si>
  <si>
    <t>CASA DE MÁQUINA CHILLER</t>
  </si>
  <si>
    <t>,</t>
  </si>
  <si>
    <t>tipo 8</t>
  </si>
  <si>
    <t>RESTAURANTE MÉDICOS</t>
  </si>
  <si>
    <t>tipo 3</t>
  </si>
  <si>
    <t>tipo 6</t>
  </si>
  <si>
    <t>HIGIENIZAÇÃO</t>
  </si>
  <si>
    <t>tipo 2</t>
  </si>
  <si>
    <t>UNITARIZAÇÃO</t>
  </si>
  <si>
    <t>AR CONDIC. 01</t>
  </si>
  <si>
    <t>AR CONDIC. 02</t>
  </si>
  <si>
    <t>AR CONDIC. 03</t>
  </si>
  <si>
    <t>AR CONDIC. 04</t>
  </si>
  <si>
    <t>AR CONDIC. 05</t>
  </si>
  <si>
    <t>ESPAÇO ECUMÊNICO</t>
  </si>
  <si>
    <t>PRESSURIZAÇÃO 01</t>
  </si>
  <si>
    <t>PRESSURIZAÇÃO 03</t>
  </si>
  <si>
    <t>COZINHA</t>
  </si>
  <si>
    <t>RESTAURANTE E DISTRIBUIÇÃO</t>
  </si>
  <si>
    <t>LAVAGEM LOUÇAS</t>
  </si>
  <si>
    <t>MONTAGEM CARROS</t>
  </si>
  <si>
    <t>HIGIENIZAÇÃO CARROS</t>
  </si>
  <si>
    <t>PREPARO CARNES</t>
  </si>
  <si>
    <t>PREPARO LEGUMES</t>
  </si>
  <si>
    <t>CÂMARA CONGELADOS PROTEÍNAS</t>
  </si>
  <si>
    <t>CÂMARA RESFRIADA 1</t>
  </si>
  <si>
    <t>CÂMARA RESFRIADA 2</t>
  </si>
  <si>
    <t>DEPÓSITO SECO</t>
  </si>
  <si>
    <t>RECEPÇÃO / ESPERA</t>
  </si>
  <si>
    <t>SUPORTE TI</t>
  </si>
  <si>
    <t>CONTROLE DE ACESSO</t>
  </si>
  <si>
    <t>VESTIÁRIO MASCULINO</t>
  </si>
  <si>
    <t>VESTIÁRIO FEMININO</t>
  </si>
  <si>
    <t>SEGURANÇA</t>
  </si>
  <si>
    <t>SERVIDOR</t>
  </si>
  <si>
    <t>PRESSURIZAÇÃO 02</t>
  </si>
  <si>
    <t>PRESSURIZAÇÃO CORREIO</t>
  </si>
  <si>
    <t>OBRA:</t>
  </si>
  <si>
    <t>NOVO HOSPITAL UNIVERSITÁRIO UFC - ICM</t>
  </si>
  <si>
    <t>LOCAL:</t>
  </si>
  <si>
    <t>RUA MONSENHOR FURTADO, 1062 - PORANGABUÇU - FORTALEZA - CE</t>
  </si>
  <si>
    <t>UND</t>
  </si>
  <si>
    <t>QUAT</t>
  </si>
  <si>
    <t>TIPO 1 - PORCELANATO RETIFICADO UGL ELIANE - MINIMUM NUDE NA 60X60CM; ASSENTAMENTO COM JUNTAS DE 1MM E REJUNTAMENTOS IMPERMEÁVEIS EM MASSA EPÓXI REJUNTAMIX NA COR CARAMELO</t>
  </si>
  <si>
    <t>TIPO 2 - PORCELANATO RETIFICADO UGL ELIANE - MINIMUM NUDE NA 60X60CM; ASSENTAMENTO COM JUNTAS DE 1MM E REJUNTAMENTOS IMPERMEÁVEIS EM MASSA EPÓXI REJUNTAMIX NA COR CARAMELO</t>
  </si>
  <si>
    <t>TIPO 3 - PISO EM PLACA CERÂMICA EXTRUDADA GAIL - LINHA INDUSTRIAL GRESSIT NATURAL 30X30CM COR 1000 (BEGE); ASSENTAMENTO COM JUNTAS DE 5MM E REJUNTAMENTOS IMPERMEÁVEIS EM MASSA EPÓXI REJUNTAMIX NA COR CARAMELO</t>
  </si>
  <si>
    <t>TIPO 4 - PORCELANATO RETIFICADO UGL ELIANE - MINIMUM CONCRETO NA 60X60CM; ASSENTAMENTO COM JUNTAS DE 1MM E REJUNTAMENTOS IMPERMEÁVEIS EM MASSA EPÓXI REJUNTAMIX NA COR PLATINA</t>
  </si>
  <si>
    <t>TIPO 5 - MANTA VINÍLICA TARKETT - LINHA ECLIPSE PREMIUM - 21020978 (AZUL) E 21020645 (BRANCO)</t>
  </si>
  <si>
    <t>TIPO 8 - PISO CIMENTADO LISO DESEMPENADO COM RESINA EPÓXI NA COR CINZA CLARO</t>
  </si>
  <si>
    <t>TIPO 9 - MANTA VINÍLICA TARKETT - LINHA ECLIPSE PREMIUM - 21020978 (AZUL)</t>
  </si>
  <si>
    <t>TIPO 10 - PORCELANATO RETIFICADO UGL ELIANE - MINIMUM NUDE NA 60X60CM; ASSENTAMENTO COM JUNTAS DE 1MM E REJUNTAMENTOS IMPERMEÁVEIS EM MASSA EPÓXI REJUNTAMIX NA COR CARAMELO</t>
  </si>
  <si>
    <t>TIPO 11 - MANTA VINÍLICA TARKETT - LINHA IQ TORO SC - 3093107 (AZUL)</t>
  </si>
  <si>
    <t>PAREDE</t>
  </si>
  <si>
    <t>TIPO 01 - TINTA ACRÍLICA SUVINIL NA COR LUA NOVA (CÓD. A163), APLICADA SOBRE MASSA ACRÍLICA - ACABAMENTO ACETINADO; RODAPÉ EM PORCELANATO RETIFICADO UGL ELIANE - MINIMUM NUDE NA (60X10CM); ASSENTAMENTO COM JUNTAS DE 1MM E REJUNTAMENTOS IMPERMEÁVEIS EM MASSA EPÓXI REJUNTAMIX NA COR CARAMELO;</t>
  </si>
  <si>
    <t>TIPO 06 - CERÂMICA NÃO RETIFICADA ELIANE - HABITAT BRANCO 45X45CM (APLICAR DO PISO AO TETO); ASSENTAMENTO COM JUNTAS DE 3MM E REJUNTAMENTOS IMPERMEÁVEIS EM MASSA EPÓXI</t>
  </si>
  <si>
    <t>TIPO 07 - PORCELANATO RETIFICADO UGL ELIANE - MINIMUM AREIA NA 60X60CM; ASSENTAMENTO COM JUNTAS DE 1MM E REJUNTAMENTOS IMPERMEÁVEIS EM MASSA EPÓXI REJUNTAMIX NA COR CARAMELO; RODAPÉ EM PORCELANATO RETIFICADO UGL ELIANE - MINIMUM CONCRETO NA 60X60CM (EXECUTAR UMA FIADA) - COM PERFIL EM ALUMÍNIO ANODIZADO NA COR BRONZE PARA ACABAMENTO (1/2")</t>
  </si>
  <si>
    <t>TIPO 08 - MASSA ACRÍLICA TEXTURIZADA IBRATIN - PERMALIT NOBRE #20 COR BRANCA; RODAPÉ EM PEFIL "C" DE ALUMÍNIO ANODIZADO COR NATURAL (H=5CM) - EMBUTIDO NA ALVENARIA COM CAVIDADE PARA DENTRO</t>
  </si>
  <si>
    <t>TIPO 09 - TINTA ACRÍLICA SUVINIL NA COR LUA NOVA (CÓD. A163), APLICADA SOBRE MASSA ACRÍLICA - ACABAMENTO ACETINADO; RODAPÉ EM MANTA VINÍLICA TARKETT - LINHA ECLIPSE PREMIUM - 21020978 (AZUL)</t>
  </si>
  <si>
    <t>TIPO 12 - RETIRADO</t>
  </si>
  <si>
    <t>TIPO 14 - MASSA ACRÍLICA TEXTURIZADA IBRATIN - PERMALIT NOBRE #20 COR BRANCA; RODAPÉ EM PEFIL "C" DE ALUMÍNIO ANODIZADO COR NATURAL (H=5CM) - EMBUTIDO NA ALVENARIA COM CAVIDADE PARA DENTRO</t>
  </si>
  <si>
    <t>TIPO 16 - TINTA ACRÍLICA SUVINIL NA COR LUA NOVA (CÓD. A163), APLICADA SOBRE MASSA ACRÍLICA - ACABAMENTO ACETINADO; RODAPÉ EM PORCELANATO RETIFICADO UGL ELIANE - MINIMUM NUDE NA (60X10CM); ASSENTAMENTO COM JUNTAS DE 1MM E REJUNTAMENTOS IMPERMEÁVEIS EM MASSA EPÓXI REJUNTAMIX NA COR CARAMELO;</t>
  </si>
  <si>
    <t>TIPO 18 - PORCELANATO GI ELIANE - MUNARI BRANCO AC 30X605CM; ASSENTAMENTO COM JUNTAS DE 5MM E REJUNTAMENTOS IMPERMEÁVEIS EM MASSA EPÓXI REJUNTAMIX NA COR PLATINA</t>
  </si>
  <si>
    <t>TIPO 01 - CHAPA DE GESSO KNAUF ACARTONADO ST COM PINTURA ACRÍLICA SUVINIL NA COR BRANCO NEVE COM TABICAS METÁLICAS LATERAIS FECHADAS NA COR BRANCA;</t>
  </si>
  <si>
    <t>TIPO 02 - CHAPA DE GESSO KNAUF ACARTONADO RU, RESISTENTE À UMIDADE COM PINTURA ACRÍLICA SUVINIL NA COR BRANCO NEVE COM TABICAS METÁLICAS LATERAIS FECHADAS NA COR BRANCA;</t>
  </si>
  <si>
    <t>TIPO 03 - FORRO MODULAR REMOVÍVEL EM CHAPA KNAUF  TECHNIFORRO COM REVESTIMENTO DE VINIL - PEÇAS DE 62,5X125CM;</t>
  </si>
  <si>
    <t>TIPO 04 - LAJE APARENTE COM PINTURA ACRÍLICA SUVINIL NA COR BRANCO NEVE (CÓD. RM181) - ACABAMENTO FOSCO</t>
  </si>
  <si>
    <t>TIPO 05 - FORRO RIPADO EM MDF GUARARAPES - LINHA DUAL SYNCRO - SAVANA 6MM</t>
  </si>
  <si>
    <t>TIPO 09 - CHAPA PERFURADA QUADRICULADA DE GESSO ACARTONADO KNAUFF CLEANEO ACÚSTICA COM PINTURA ACRÍLICA SUVINIL NA COR BRANCO NEVE - PEÇAS DE 62,5X62,5CM; CONSULTAR ENGENHARIA OU ARQUITETURA ESPECIALISTA EM ACÚSTICA;</t>
  </si>
  <si>
    <t xml:space="preserve">CONTROLE </t>
  </si>
  <si>
    <t>LACTARIO</t>
  </si>
  <si>
    <t xml:space="preserve">DML </t>
  </si>
  <si>
    <t>SANITARIO 1</t>
  </si>
  <si>
    <t>RECEBIMENTO TRIAGEM</t>
  </si>
  <si>
    <t xml:space="preserve">CIRCULAÇÃO </t>
  </si>
  <si>
    <t>tipo 4</t>
  </si>
  <si>
    <t>SALA DE HEMODINÂMICA 2</t>
  </si>
  <si>
    <t>RESSONÂNCIA MAGNÉTICA(SEM ESPECIFICAÇÃO APENAS REGULARIZAÇÃO DO PISO)</t>
  </si>
  <si>
    <t xml:space="preserve">SANIT. ULTRASSOM 2 </t>
  </si>
  <si>
    <t xml:space="preserve">SANIT. ULTRASSOM 1 </t>
  </si>
  <si>
    <t xml:space="preserve">CIRC. </t>
  </si>
  <si>
    <t>POSTO ENFER.</t>
  </si>
  <si>
    <t>ISOLAMENTO 605</t>
  </si>
  <si>
    <t>POSTO ENF</t>
  </si>
  <si>
    <t>Quarto 06</t>
  </si>
  <si>
    <t>PARAM/HIGIENE 1</t>
  </si>
  <si>
    <t>PARAM/HIGIENE 2</t>
  </si>
  <si>
    <t>ELEVADOR 01</t>
  </si>
  <si>
    <t>ELEVADOR 02</t>
  </si>
  <si>
    <t>ELEVADOR 05</t>
  </si>
  <si>
    <t>ELEVADOR 06</t>
  </si>
  <si>
    <t>INFORMAÇÃO</t>
  </si>
  <si>
    <t>CASA AGS</t>
  </si>
  <si>
    <r>
      <t>DATA: MAIO</t>
    </r>
    <r>
      <rPr>
        <sz val="9"/>
        <rFont val="Calibri"/>
        <family val="2"/>
        <scheme val="minor"/>
      </rPr>
      <t>/2024</t>
    </r>
  </si>
  <si>
    <t>TIPO 12</t>
  </si>
  <si>
    <t>TIPO 13</t>
  </si>
  <si>
    <t>TIPO 14</t>
  </si>
  <si>
    <t>TIPO 18</t>
  </si>
  <si>
    <t>TIPO 19</t>
  </si>
  <si>
    <t>SETOR  1</t>
  </si>
  <si>
    <t>TIPO 20 - NÃO ESPECIFICADO NA LISTAGEM DE MATERIAIS (COMPARATIVO)</t>
  </si>
  <si>
    <t>SETOR 1</t>
  </si>
  <si>
    <t>PRANCHA 08/51</t>
  </si>
  <si>
    <t>PRANCHA 12/51</t>
  </si>
  <si>
    <t>PRANCHA 16/51</t>
  </si>
  <si>
    <t>PRANCHA 19/51</t>
  </si>
  <si>
    <t>PRANCHA 20/51</t>
  </si>
  <si>
    <t>PRANCHA 21/51</t>
  </si>
  <si>
    <t>PRANCHA 22/51</t>
  </si>
  <si>
    <t>PRANCHA 23/51</t>
  </si>
  <si>
    <t>PRANCHA 26/51</t>
  </si>
  <si>
    <t>TIPO 10 - RETIRADO - OBS: MATERIAL CONSTA NO PAV TÉRREO</t>
  </si>
  <si>
    <t>TIPO 11 - RETIRADO - OBS: MATERIAL CONSTA NOS PAVIMENTOS 1 E 3</t>
  </si>
  <si>
    <t>TIPO 04</t>
  </si>
  <si>
    <t>TIPO 01</t>
  </si>
  <si>
    <t>TIPO 03</t>
  </si>
  <si>
    <t>RODAPÉ EM PORCELANATO RETIFICADO UGL ELIANE - MINIMUM NUDE NA (60X10CM); ASSENTAMENTO COM JUNTAS DE 1MM E REJUNTAMENTOS IMPERMEÁVEIS EM MASSA EPÓXI REJUNTAMIX NA COR CARAMELO;</t>
  </si>
  <si>
    <t>RODAPÉ EM PORCELANATO RETIFICADO UGL ELIANE - MINIMUM CONCRETO NA 60X60CM (EXECUTAR UMA FIADA) - COM PERFIL EM ALUMÍNIO ANODIZADO NA COR BRONZE PARA ACABAMENTO (1/2")</t>
  </si>
  <si>
    <t>RODAPÉ EM MANTA VINÍLICA TARKETT - LINHA ECLIPSE PREMIUM - 21020978 (AZUL)</t>
  </si>
  <si>
    <t>RODAPÉ EM PEFIL "C" DE ALUMÍNIO ANODIZADO COR NATURAL (H=5CM) - EMBUTIDO NA ALVENARIA COM CAVIDADE PARA DENTRO</t>
  </si>
  <si>
    <t>TABICA METÁLICA LATERAL FECHADA NA COR BRANCA</t>
  </si>
  <si>
    <t>DESRIÇÃO</t>
  </si>
  <si>
    <t>QUANT (M)</t>
  </si>
  <si>
    <t>TIPO 02</t>
  </si>
  <si>
    <t>TIPO 1 - RODAPÉ EM PORCELANATO RETIFICADO UGL ELIANE - MINIMUM NUDE NA (60X10CM); ASSENTAMENTO COM JUNTAS DE 1MM E REJUNTAMENTOS IMPERMEÁVEIS EM MASSA EPÓXI REJUNTAMIX NA COR CARAMELO;</t>
  </si>
  <si>
    <t>TIPO 2 - RODAPÉ EM PORCELANATO RETIFICADO UGL ELIANE - MINIMUM CONCRETO NA 60X60CM (EXECUTAR UMA FIADA) - COM PERFIL EM ALUMÍNIO ANODIZADO NA COR BRONZE PARA ACABAMENTO (1/2")</t>
  </si>
  <si>
    <t>TIPO 3 - RODAPÉ EM MANTA VINÍLICA TARKETT - LINHA ECLIPSE PREMIUM - 21020978 (AZUL)</t>
  </si>
  <si>
    <t>TIPO 4 - RODAPÉ EM PEFIL "C" DE ALUMÍNIO ANODIZADO COR NATURAL (H=5CM) - EMBUTIDO NA ALVENARIA COM CAVIDADE PARA DENTRO</t>
  </si>
  <si>
    <t>M</t>
  </si>
  <si>
    <t>CAMADA DE REGULARIZAÇÃO</t>
  </si>
  <si>
    <t>TERRAÇO(SOLARIUM)</t>
  </si>
  <si>
    <t>ERGOMETRIA 2</t>
  </si>
  <si>
    <t>CIRCULAÇÃO SERV</t>
  </si>
  <si>
    <t>ANTE-CÂMARA  1</t>
  </si>
  <si>
    <t>SALA DE HEMODINÂMICA 1</t>
  </si>
  <si>
    <t>PREPARO/ RECUPERAÇÃO/CIRCULAÇÃO</t>
  </si>
  <si>
    <t>SANITARIO 2</t>
  </si>
  <si>
    <t>A.C.</t>
  </si>
  <si>
    <t>TIPO 08 - FORRO MODULAR REMOVÍVEL EM CHAPA KNAUF  TECHNIFORRO COM REVESTIMENTO DE VINIL - PEÇAS DE 62,5X62,5CM;</t>
  </si>
  <si>
    <t>CHAPISCO</t>
  </si>
  <si>
    <t>REBOCO</t>
  </si>
  <si>
    <t>EMBOÇO</t>
  </si>
  <si>
    <t>SUBESTAÇÃO 01</t>
  </si>
  <si>
    <t>PRÉ-PREPARO</t>
  </si>
  <si>
    <t>COCÇÃO</t>
  </si>
  <si>
    <t>PREPARO</t>
  </si>
  <si>
    <t>LANCHES</t>
  </si>
  <si>
    <t>tipo 1</t>
  </si>
  <si>
    <t>INCLUIU AMBIENTE</t>
  </si>
  <si>
    <t>RETIRA AMBIENTE</t>
  </si>
  <si>
    <t>CANTINA</t>
  </si>
  <si>
    <t>CHEFIAS</t>
  </si>
  <si>
    <t>EXPEDIÇÃO FARMÁCIA</t>
  </si>
  <si>
    <t>SALA ADMINISTRATIVA</t>
  </si>
  <si>
    <t>RECEPÇÃO INTERNAÇÃO/CONVENIO</t>
  </si>
  <si>
    <t>TIPO 13 - PAINEL EM MDF GUARARAPES - LINHA DUAL SYNCRO - SAVANA (APLICADO SOBRE A ALVENARIA)</t>
  </si>
  <si>
    <t>DESPENSA</t>
  </si>
  <si>
    <t>CASA DE APOIO</t>
  </si>
  <si>
    <t>CONFERÊNCIA MEDICAÇÃO</t>
  </si>
  <si>
    <t>SALA MULTIUSO</t>
  </si>
  <si>
    <t>SALA REUNIÃO</t>
  </si>
  <si>
    <t>SANITARIO FEMININO</t>
  </si>
  <si>
    <t>RECEPÇÃO FARMÁCIA</t>
  </si>
  <si>
    <t>DEPÓSITO PRODUTOS - UPS</t>
  </si>
  <si>
    <t>DISPENSAÇÃO DE MEDICAÇÃO</t>
  </si>
  <si>
    <t>REPOUSO</t>
  </si>
  <si>
    <t>ACOLHIMENTO SERV. SOCIAL</t>
  </si>
  <si>
    <t>ATENDIMENTO INDIVIDUALIZADO</t>
  </si>
  <si>
    <t>SANIT. SALA MULTIUSO</t>
  </si>
  <si>
    <t>SANIT. ADM. MASC. E FEM.</t>
  </si>
  <si>
    <t>PLANTÃO INTERN. ALTA</t>
  </si>
  <si>
    <t>PATRIMÔNIO SATÉLITE RECEBIMENTO</t>
  </si>
  <si>
    <t xml:space="preserve">PATRIMÔNIO SATÉLITE </t>
  </si>
  <si>
    <t>RECEPÇÃO CME</t>
  </si>
  <si>
    <t>DIETAS DESJEJUM</t>
  </si>
  <si>
    <t>HIGIENIZAÇÃO UTENSÍLIOS</t>
  </si>
  <si>
    <t>TIPO 06 - CERÂMICA NÃO RETIFICADA ELIANE - HABITAT BRANCO 45X45CM (APLICAR DO PISO AO TETO); ASSENTAMENTO COM JUNTAS DE 3MM E REJUNTAMENTOS IMPERMEÁVEIS EM MASSA EPÓXI REJUNTAMIX NA COR PLATINA</t>
  </si>
  <si>
    <t>TIPO 04 - CERÂMICA NÃO RETIFICADA ELIANE - HABITAT BRANCO 45X45CM (APLICAR DO PISO AO TETO); ASSENTAMENTO COM JUNTAS DE 3MM E REJUNTAMENTOS IMPERMEÁVEIS EM MASSA EPÓXI REJUNTAMIX NA COR PLATINA</t>
  </si>
  <si>
    <t>CME-MATERIAL SUJO</t>
  </si>
  <si>
    <t>SANITÁRIO MASC.</t>
  </si>
  <si>
    <t>MUDOU ÁREA e/ou PERÍMETRO e/ou AMBIENTE</t>
  </si>
  <si>
    <t>CONVIVÊNCIA TERCEIRIZADOS</t>
  </si>
  <si>
    <t>SANITARIO FEM.</t>
  </si>
  <si>
    <t>MANUTENÇÃO EQUIPAMENTOS</t>
  </si>
  <si>
    <t>CHEFIA TI</t>
  </si>
  <si>
    <t>SUPORTE MASTER</t>
  </si>
  <si>
    <t>ESTOQUE EMERGENCIAL</t>
  </si>
  <si>
    <t>CISTERNA 01</t>
  </si>
  <si>
    <t>CISTERNA 02</t>
  </si>
  <si>
    <t>CIRCULAÇÃO CISTERNAS</t>
  </si>
  <si>
    <t>EQUIPE INFRA</t>
  </si>
  <si>
    <t>SERV. INSTRUÇÃO</t>
  </si>
  <si>
    <t>MULTIUSO</t>
  </si>
  <si>
    <t>CONTINUOS MAQUEIROS</t>
  </si>
  <si>
    <t>SALA DE TELECOMUNICAÇÃO</t>
  </si>
  <si>
    <t>SERVIÇOS DE HOTELARIA</t>
  </si>
  <si>
    <t>REUNIÃO EMPRESAS TERC.</t>
  </si>
  <si>
    <t>CISTERNA 03</t>
  </si>
  <si>
    <t>POSTO E PREP. MED.</t>
  </si>
  <si>
    <t>VER QUAL O REVEST.</t>
  </si>
  <si>
    <t xml:space="preserve">POSTO E PREP. MED. </t>
  </si>
  <si>
    <t>PRESCRIÇÃO MÉDICA</t>
  </si>
  <si>
    <t>TIPO 19 - ARGAMASSA BARITADA DE ACORDO COM O EQUIPAMENTO E PINTADA COM TINTA ACRÍLICA SUVINIL NA COR LUA NOVA (CÓD. A163), APLICADA SOBRE MASSA ACRÍLICA - ACABAMENTO ACETINADO; RODAPÉ EM MANTA VINÍLICA TARKETT - LINHA ECLIPSE PREMIUM - 21020978 (AZUL)</t>
  </si>
  <si>
    <t>TIPO 7 - CARPETE EM PLACA TARKETT - LINHA DESSO - CÓD. 711446026 (CINZA CLARO) 500X500MM</t>
  </si>
  <si>
    <t>TIPO 12 - CERÂMICA NÃO RETIFICADA ELIANE - CARGO PLUS WHITE AC 45X45CM; ASSENTAMENTO COM JUNTAS DE 3MM E REJUNTAMENTOS IMPERMEÁVEIS EM MASSA EPÓXI REJUNTAMIX NA COR PLATINA</t>
  </si>
  <si>
    <t>CASA DE MAQUINAS AR COND.</t>
  </si>
  <si>
    <t>TIPO 03 - TINTA ACRÍLICA SUVINIL NA COR LUA NOVA (CÓD. A163), APLICADA SOBRE MASSA ACRÍLICA - ACABAMENTO ACETINADO; RODAPÉ EM MANTA VINÍLICA TARKETT - LINHA ECLIPSE PREEMIUM - 21020978 (AZUL)</t>
  </si>
  <si>
    <t>LAUDO COMANDO IMPRESSÃO</t>
  </si>
  <si>
    <t>SUBESPERA MASC.</t>
  </si>
  <si>
    <t>SANITÁRIO PcD</t>
  </si>
  <si>
    <t>GUARDA/PREPARO ANESTÉSICOS</t>
  </si>
  <si>
    <t>ANAMNESE</t>
  </si>
  <si>
    <t>CONSULTÓRIO ENFERMARIA</t>
  </si>
  <si>
    <t>ESPERA/RECEPÇÃO/CIRCULAÇÃO</t>
  </si>
  <si>
    <t>ESPERA INFANTIL</t>
  </si>
  <si>
    <t>PREPARO E RECUPERAÇÃO</t>
  </si>
  <si>
    <t>RAIO X TL.3</t>
  </si>
  <si>
    <t>SALA ADM.</t>
  </si>
  <si>
    <t>MATERIAL/EQUIP.</t>
  </si>
  <si>
    <t>ESTAR FUNCIONÁRIOS</t>
  </si>
  <si>
    <t>ESTAR DE FUNCIONÁRIOS</t>
  </si>
  <si>
    <t>SALA ADM. RADIOLOGIA</t>
  </si>
  <si>
    <t>SANITÁRIO FUNC.</t>
  </si>
  <si>
    <t>TERRAÇO</t>
  </si>
  <si>
    <t>SALA REUNIÕES</t>
  </si>
  <si>
    <t>COORDENAÇÃO RAD.</t>
  </si>
  <si>
    <t>ACESSO SERVIÇO</t>
  </si>
  <si>
    <t>PATAMAR RAMPA</t>
  </si>
  <si>
    <t>RAMPA</t>
  </si>
  <si>
    <t>VARANDA</t>
  </si>
  <si>
    <t>TIPO 13 - PORCELANATO NÃO RETIFICADO GI ELIANE - MUNARI CIMENTO EXT 60X60CM; ASSENTAMENTO COM JUNTAS DE 3MM E REJUNTAMENTOS IMPERMEÁVEIS EM MASSA EPÓXI REJUNTAMIX NA COR PLATINA</t>
  </si>
  <si>
    <t>UNIDADES EXTERNAS DE VRF</t>
  </si>
  <si>
    <t xml:space="preserve">TIPO 02 - PORCELANATO RETIFICADO UGL ELIANE - MINIMUM AREIA NA 60X60CM; ASSENTAMENTO COM JUNTAS DE 1MM E REJUNTAMENTOS IMPERMEÁVEIS EM MASSA EPÓXI REJUNTAMIX NA COR CARAMELO; RODAPÉ EM PORCELANATO RETIFICADO UGL ELIANE - MINIMUM CONCRETO NA 60X60CM (EXECUTAR UMA FIADA) </t>
  </si>
  <si>
    <t>ONDE TEM REVEST. DE PAREDE TIPO 2</t>
  </si>
  <si>
    <t>ONDE TEM REVEST. DE PAREDE TIPO 1</t>
  </si>
  <si>
    <t>ONDE TEM REVEST. DE PAREDE TIPO 3</t>
  </si>
  <si>
    <t>ONDE TEM REVEST. DE PAREDE TIPO 8</t>
  </si>
  <si>
    <t>PREPARO MEDIC.</t>
  </si>
  <si>
    <t>COORDENAÇÃO EMFERM.</t>
  </si>
  <si>
    <t>MATERIAL E EQUIP.</t>
  </si>
  <si>
    <t>SANIT. MÉD.</t>
  </si>
  <si>
    <t>ESPERA PEDIATRIA</t>
  </si>
  <si>
    <t>HALL/RECEPÇÃO</t>
  </si>
  <si>
    <t>ESPERA NEUR./ESPERA ULTRAS.</t>
  </si>
  <si>
    <t>ULTRASSOM</t>
  </si>
  <si>
    <t xml:space="preserve">SANITÁRIO PCD </t>
  </si>
  <si>
    <t>CIRCULAÇÃO ENDOSCOPIA</t>
  </si>
  <si>
    <t>ESPERA ENDOSCOPIA</t>
  </si>
  <si>
    <t>RECEPÇÃO ENTREGA EXAMES</t>
  </si>
  <si>
    <t>SEDAÇÃO E EEG PEDIATRIA</t>
  </si>
  <si>
    <t>ENMG</t>
  </si>
  <si>
    <t>LAUDO E CHEFIA NEUROFISIO.</t>
  </si>
  <si>
    <t>ESTIMULAÇÃO MAGNÉTICA</t>
  </si>
  <si>
    <t>SANIT. ULTRASSOM 3</t>
  </si>
  <si>
    <t>SANIT. ULTRASSOM 4</t>
  </si>
  <si>
    <t>SANIT. ULTRASSOM 5</t>
  </si>
  <si>
    <t>LAUDO ENDOSCOPIA</t>
  </si>
  <si>
    <t>DESINFECÇÃO PÓS</t>
  </si>
  <si>
    <t>PRÉ-DESINF.</t>
  </si>
  <si>
    <t>PRÉ EXAME PACIENTE</t>
  </si>
  <si>
    <t>PRÉ-EXAME MASCULINO</t>
  </si>
  <si>
    <t>PRÉ-EXAME FEMININO</t>
  </si>
  <si>
    <t>CHEFIA ENDOSCOPÍA</t>
  </si>
  <si>
    <t>SALA DE MONITORAMENTO</t>
  </si>
  <si>
    <t>RECUPERAÇÃO RPA</t>
  </si>
  <si>
    <t>ERGOESPIROMETRIA  e ECG</t>
  </si>
  <si>
    <t>MAPA E HOLTER</t>
  </si>
  <si>
    <t>TILT TESTE E ECG</t>
  </si>
  <si>
    <t>ECG</t>
  </si>
  <si>
    <t>LAUDO E CHEFIA CARDIOLOGIA</t>
  </si>
  <si>
    <t>SANIT. MÉD. MASC. E FEM.</t>
  </si>
  <si>
    <t>APOIO ENFERMAGEM</t>
  </si>
  <si>
    <t>CIRCULAÇÃO ECOCARDIOGRAMA</t>
  </si>
  <si>
    <t>LAUDOS E CHEFIA</t>
  </si>
  <si>
    <t>BOX</t>
  </si>
  <si>
    <t>PACIENTES INJETADOS</t>
  </si>
  <si>
    <t>ESPERA MEDICINA NUCLEAR</t>
  </si>
  <si>
    <t>COORDENAÇÃO ENFERMAGEM</t>
  </si>
  <si>
    <t>TIPO  1</t>
  </si>
  <si>
    <t>HALL/RECEPÇÃO/ENTREGA EXAMES</t>
  </si>
  <si>
    <t>ESPERA CARDIOLOGIA</t>
  </si>
  <si>
    <t>ESPERA PEDIATRIA e HALL</t>
  </si>
  <si>
    <t xml:space="preserve">TIPO 1  </t>
  </si>
  <si>
    <t>INCLUIU FORRO</t>
  </si>
  <si>
    <t>CIRC. CARDIOLOGIA</t>
  </si>
  <si>
    <t>CIRCULAÇÃO MEDICINA NUCLEAR</t>
  </si>
  <si>
    <t>TIPO 21 - PAINEL EM MDF DURATEX - LINHA ESSENCIAL WOOD - OASIS (PAREDE DE ENCOSTO DE LEITO)</t>
  </si>
  <si>
    <t>TIPO 05</t>
  </si>
  <si>
    <t>TIPO 5 - RODAPÉ EM COMPOSIÇÃO DE  MANTAS TARKETT - LINHA IQ SURFACE - 21089092 (BEGE CLARO); LINHA IQ SURFACE - 21089095 (BEGE ESCURO) e LINHA ECLIPSE PREMIUM - 21020975 (VERDE)</t>
  </si>
  <si>
    <t>RODAPÉ EM COMPOSIÇÃO DE  MANTAS TARKETT - LINHA IQ SURFACE - 21089092 (BEGE CLARO); LINHA IQ SURFACE - 21089095 (BEGE ESCURO) e LINHA ECLIPSE PREMIUM - 21020975 (VERDE)</t>
  </si>
  <si>
    <t xml:space="preserve">TIPO 14 - COMPOSIÇÃO DE  MANTAS TARKETT - LINHA IQ SURFACE - 21089092 (BEGE CLARO); LINHA IQ SURFACE - 21089095 (BEGE ESCURO) e LINHA ECLIPSE PREMIUM - 21020975 (VERDE) </t>
  </si>
  <si>
    <t>ISOLAMENTO 406</t>
  </si>
  <si>
    <t>CASA DE MÁQUINAS ISOLAMENTO</t>
  </si>
  <si>
    <t>ANTE-CÂMARA 01</t>
  </si>
  <si>
    <t xml:space="preserve">ANTE-CÂMARA </t>
  </si>
  <si>
    <t>ISOLAMENTO 407</t>
  </si>
  <si>
    <t>NUTRICIONISTA</t>
  </si>
  <si>
    <t>SALA DE AULA</t>
  </si>
  <si>
    <t>SALA MULTIPROFISSIONAL</t>
  </si>
  <si>
    <t>BANH. PAC. ISOLAMENTO 406</t>
  </si>
  <si>
    <t>BANH. PAC. ISOLAMENTO 407</t>
  </si>
  <si>
    <t>BANH. PAC. ENFERMARIA 404</t>
  </si>
  <si>
    <t>BANH. PAC. ISOLAMENTO 405</t>
  </si>
  <si>
    <t>SUB-POSTO / ESTAR</t>
  </si>
  <si>
    <t>SALA DE ESPERA</t>
  </si>
  <si>
    <t>ESTAR</t>
  </si>
  <si>
    <t>ENFERMARIA 416</t>
  </si>
  <si>
    <t>BANH.PAC. ENFERMARIAS</t>
  </si>
  <si>
    <t>BANH.PAC. ENFERMARIA</t>
  </si>
  <si>
    <t>ENFERMARIAS 402/403/408/409/410/411/412/413/414/415</t>
  </si>
  <si>
    <t>BANH. PAC. APART. 401</t>
  </si>
  <si>
    <t>BANH. REPOUSO FUNCIONÁRIOS</t>
  </si>
  <si>
    <t>BANH. ACOMPANHANTE</t>
  </si>
  <si>
    <t>SANIT. FUNCIONÁRIO</t>
  </si>
  <si>
    <t>SANIT. PcD</t>
  </si>
  <si>
    <t>APARTAMENTO 401</t>
  </si>
  <si>
    <t>SALA DE ALTA</t>
  </si>
  <si>
    <t>CONSULTA INTERNAÇÃO</t>
  </si>
  <si>
    <t>ADMINISTRATIVO</t>
  </si>
  <si>
    <t>SERVIÇO ENF./PRESCRIÇÃO</t>
  </si>
  <si>
    <t>SALA MEDICAÇÃO TRANSPLANTE</t>
  </si>
  <si>
    <t>SALA PROCEDIMENTOS</t>
  </si>
  <si>
    <t>CENTRAL ADMINISTRATIVA</t>
  </si>
  <si>
    <t>MATERIAL e EQUIPAMENTOS</t>
  </si>
  <si>
    <t>PREPARO MEDICAÇÃO</t>
  </si>
  <si>
    <t>REPOUSO FUNCIONÁRIOS</t>
  </si>
  <si>
    <t>ESCANINHOS ACOMP.</t>
  </si>
  <si>
    <t>ENFERMARIA 404 e 405</t>
  </si>
  <si>
    <t>TIPO 21</t>
  </si>
  <si>
    <t>SALA MULTIPROFIS. S. AULA</t>
  </si>
  <si>
    <t>ESPERA/ESTAR</t>
  </si>
  <si>
    <t>PROCEDIMENTOS</t>
  </si>
  <si>
    <t>CENTRAL ADM.</t>
  </si>
  <si>
    <t>SALA DE PRESCRIÇÃO</t>
  </si>
  <si>
    <t>BANH.  FUNC.</t>
  </si>
  <si>
    <t>APARTAMENTO</t>
  </si>
  <si>
    <t>BANH. APTo.</t>
  </si>
  <si>
    <t>BANH. PAC. ENFERMARIAS</t>
  </si>
  <si>
    <t>BANH. PAC. ENFERMARIA</t>
  </si>
  <si>
    <t>BNH FUNC. FEM.</t>
  </si>
  <si>
    <t>BHN. PACIENTE 605</t>
  </si>
  <si>
    <t>ENFERMARIA 504</t>
  </si>
  <si>
    <t>ENFERMARIA 506, 514</t>
  </si>
  <si>
    <t>ENFERMARIAS 501, 502</t>
  </si>
  <si>
    <t>MAT. E EQUIPAMENTOS</t>
  </si>
  <si>
    <t>BANH. ACOMP.</t>
  </si>
  <si>
    <t>TIPO1</t>
  </si>
  <si>
    <t>BNH FUNC. MASC e FEM.</t>
  </si>
  <si>
    <t>ENFERMARIA 606, 614</t>
  </si>
  <si>
    <t>ENFERMARIAS 503,507,508, 509,510,511,512,513</t>
  </si>
  <si>
    <t>ENFERMARIAS 601, 602, 603, 607,608, 609, 610, 611, 612, 613</t>
  </si>
  <si>
    <t>ENFERMARIA 604</t>
  </si>
  <si>
    <t>TIPO 15 - MANTA VINÍLICA TARKETT - LINHA ECLIPSE PREMIUM - 21020645 (BRANCO)</t>
  </si>
  <si>
    <t>TIPO 05 - TINTA ACRÍLICA SUVINIL NA COR LUA NOVA (CÓD. A163), APLICADA SOBRE MASSA ACRÍLICA - ACABAMENTO ACETINADO; RODAPÉ EM MANTA VINÍLICA TARKETT - LINHA ECLIPSE PREMIUM - 21020645 (BRANCO)</t>
  </si>
  <si>
    <t>TIPO 11 - CHAPA DE GESSO KNAUF ACARTONADO ST COM PINTURA ACRÍLICA SUVINIL NA COR BRANCO NEVE SEM TABICAS</t>
  </si>
  <si>
    <t>TIPO 6 - RODAPÉ EM MANTA VINÍLICA TARKETT - LINHA ECLIPSE PREMIUM - 21020645 (BRANCO)</t>
  </si>
  <si>
    <t>TIPO 06</t>
  </si>
  <si>
    <t>POSTO ENFERMAGEM/ SALÃO UTI A</t>
  </si>
  <si>
    <t>POSTO ENFERMAGEM/ SALÃO UTI B</t>
  </si>
  <si>
    <t>ESPERA VISITANTES</t>
  </si>
  <si>
    <t>LABORATÓRIO SUPORTE</t>
  </si>
  <si>
    <t>ESTAR MÉDICOS</t>
  </si>
  <si>
    <t xml:space="preserve">SECRETARIA CENTRAL ADM. </t>
  </si>
  <si>
    <t>ACOLHIMENTO</t>
  </si>
  <si>
    <t>PARAM./HIGIEN.</t>
  </si>
  <si>
    <t>REPOUSO TÉCNICOS</t>
  </si>
  <si>
    <t>REPOUSO MÉDICO</t>
  </si>
  <si>
    <t>QUARTO 1 ISOLAMENTO</t>
  </si>
  <si>
    <t>QUARTO 2 ISOLAMENTO</t>
  </si>
  <si>
    <t>QUARTO 04 e 05</t>
  </si>
  <si>
    <t>BANH. QUARTO UTI</t>
  </si>
  <si>
    <t>BANH. QUARTO ISOLAMENTO</t>
  </si>
  <si>
    <t>BANH. COLETIVO UTI</t>
  </si>
  <si>
    <t>SANIT. PÚBL.</t>
  </si>
  <si>
    <t>SANIT. ACOMP.</t>
  </si>
  <si>
    <t>BANH. REPOUSO MÉDICO</t>
  </si>
  <si>
    <t>RODAPÉ EM MANTA VINÍLICA TARKETT - LINHA ECLIPSE PREMIUM - 21020645 (BRANCO)</t>
  </si>
  <si>
    <t>BHO QUARTO 7</t>
  </si>
  <si>
    <t>BHO QUARTO 6</t>
  </si>
  <si>
    <t>QUARTO 02 ISOLAMENTO</t>
  </si>
  <si>
    <t>QUARTO 01 ISOLAMENTO</t>
  </si>
  <si>
    <t>SANIT. PUB. 01 e 02</t>
  </si>
  <si>
    <t>TIPO 16 - MANTA VINÍLICA TARKETT - LINHA ECLIPSE PREMIUM - 21020645 (BRANCO) DETALHES EM MANTA VINÍLICA TARKETT - LINHA ECLIPSE PREMIUM - 21020978 (AZUL)</t>
  </si>
  <si>
    <t>TIPO 15 - TINTA ACRÍLICA SUVINIL NA COR VERDE-LAVADO (CÓD. B055), APLICADA SOBRE MASSA ACRÍLICA - ACABAMENTO ACETINADO; RODAPÉ EM MANTA VINÍLICA TARKETT - LINHA IQ TORO SC - 3093960 (AZUL)</t>
  </si>
  <si>
    <t>REPOUSO MASC.</t>
  </si>
  <si>
    <t>REPOUSO FEM.</t>
  </si>
  <si>
    <t>RECEPÇÃO/ESPERA/CIRC.</t>
  </si>
  <si>
    <t>PRESCRIÇÃO</t>
  </si>
  <si>
    <t>PREPARO PACIENTES</t>
  </si>
  <si>
    <t>ISOLAMENTO</t>
  </si>
  <si>
    <t>TIPO 17 - TINTA ACRÍLICA SHERWIN WILLIAMS - LINHA HOSPITALAR SEM CHEIRO (PAREDES E TETO) - BRANCO REFLEXO INTENSO SW 7757 (BRANCO); APLICADA SOBRE MASSA ACRÍLICA ACABAMENTO ACETINADO; RODAPÉ EM PERFIL "C" DE ALUMÍNIO ANODIZADO COR NATURAL (H= 5CM) EMBUTIDO NA ALVENARIA COM CAVIDADE PARA DENTRO</t>
  </si>
  <si>
    <t>TIPO 12 - FORRO RIPADO MDF DURATEX - LINHA DESIGN - NOGUEIRA THAR - 6MM</t>
  </si>
  <si>
    <t>RPA/POSTODE EMFERMAGEM</t>
  </si>
  <si>
    <r>
      <t>DATA: MAIO</t>
    </r>
    <r>
      <rPr>
        <sz val="10"/>
        <rFont val="Calibri"/>
        <family val="2"/>
        <scheme val="minor"/>
      </rPr>
      <t>/2024</t>
    </r>
  </si>
  <si>
    <t>ANTE- CAMARA 03</t>
  </si>
  <si>
    <t>LAJE IMPERMEABILIZADA</t>
  </si>
  <si>
    <r>
      <t>DATA: JUNHO</t>
    </r>
    <r>
      <rPr>
        <sz val="10"/>
        <rFont val="Calibri"/>
        <family val="2"/>
        <scheme val="minor"/>
      </rPr>
      <t>/2024</t>
    </r>
  </si>
  <si>
    <t>SOMA TOTAL TÉRREO  AO 11.o PAV.</t>
  </si>
  <si>
    <t>ONDE TEM REVEST. DE PAREDE TIPO 14</t>
  </si>
  <si>
    <t>ONDE TEM REVEST. DE PAREDE TIPO 15</t>
  </si>
  <si>
    <t>PRANCHA 03/40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</si>
</sst>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&quot;;#,##0.00&quot; &quot;;&quot;-&quot;#&quot; &quot;;@&quot; &quot;"/>
    <numFmt numFmtId="165" formatCode="[$R$-416]&quot; &quot;#,##0.00;[Red]&quot;-&quot;[$R$-416]&quot; &quot;#,##0.00"/>
    <numFmt numFmtId="166" formatCode="#,##0.0;[Red]#,##0.0"/>
    <numFmt numFmtId="167" formatCode="#,##0&quot; &quot;;#,##0&quot; &quot;;&quot;-&quot;#&quot; &quot;;@&quot; &quot;"/>
    <numFmt numFmtId="168" formatCode="#,##0.00;[Red]#,##0.00"/>
    <numFmt numFmtId="169" formatCode="#,##0.000&quot; &quot;;#,##0.000&quot; &quot;;&quot;-&quot;#.0&quot; &quot;;@&quot; &quot;"/>
    <numFmt numFmtId="170" formatCode="0.000"/>
    <numFmt numFmtId="171" formatCode="#,##0.00&quot; &quot;;#,##0.00&quot; &quot;;&quot;-&quot;#.0&quot; &quot;;@&quot; &quot;"/>
  </numFmts>
  <fonts count="44">
    <font>
      <sz val="11"/>
      <color rgb="FF000000"/>
      <name val="Calibri1"/>
    </font>
    <font>
      <sz val="11"/>
      <color rgb="FF000000"/>
      <name val="Calibri1"/>
    </font>
    <font>
      <b/>
      <sz val="10"/>
      <color rgb="FF000000"/>
      <name val="Calibri1"/>
    </font>
    <font>
      <sz val="10"/>
      <color rgb="FFFFFFFF"/>
      <name val="Calibri1"/>
    </font>
    <font>
      <sz val="10"/>
      <color rgb="FFCC0000"/>
      <name val="Calibri1"/>
    </font>
    <font>
      <b/>
      <sz val="10"/>
      <color rgb="FFFFFFFF"/>
      <name val="Calibri1"/>
    </font>
    <font>
      <sz val="11"/>
      <color rgb="FF000000"/>
      <name val="Calibri"/>
      <family val="2"/>
    </font>
    <font>
      <i/>
      <sz val="10"/>
      <color rgb="FF808080"/>
      <name val="Calibri1"/>
    </font>
    <font>
      <sz val="10"/>
      <color rgb="FF006600"/>
      <name val="Calibri1"/>
    </font>
    <font>
      <b/>
      <sz val="24"/>
      <color rgb="FF000000"/>
      <name val="Calibri1"/>
    </font>
    <font>
      <sz val="18"/>
      <color rgb="FF000000"/>
      <name val="Calibri1"/>
    </font>
    <font>
      <sz val="12"/>
      <color rgb="FF000000"/>
      <name val="Calibri1"/>
    </font>
    <font>
      <u/>
      <sz val="10"/>
      <color rgb="FF0000EE"/>
      <name val="Calibri1"/>
    </font>
    <font>
      <sz val="10"/>
      <color rgb="FF996600"/>
      <name val="Calibri1"/>
    </font>
    <font>
      <sz val="10"/>
      <color rgb="FF333333"/>
      <name val="Calibri1"/>
    </font>
    <font>
      <b/>
      <i/>
      <u/>
      <sz val="11"/>
      <color rgb="FF000000"/>
      <name val="Calibri1"/>
    </font>
    <font>
      <sz val="11"/>
      <color rgb="FFFF0000"/>
      <name val="Calibri1"/>
    </font>
    <font>
      <b/>
      <sz val="11"/>
      <color rgb="FF000000"/>
      <name val="Calibri1"/>
    </font>
    <font>
      <sz val="10"/>
      <name val="Arial"/>
      <family val="2"/>
    </font>
    <font>
      <sz val="8"/>
      <name val="Calibri1"/>
    </font>
    <font>
      <sz val="9"/>
      <color theme="1"/>
      <name val="Calibri"/>
      <family val="2"/>
      <scheme val="minor"/>
    </font>
    <font>
      <sz val="10"/>
      <color rgb="FF000000"/>
      <name val="Calibri1"/>
    </font>
    <font>
      <sz val="9"/>
      <color rgb="FF000000"/>
      <name val="Calibri1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1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9"/>
      <color rgb="FF000000"/>
      <name val="Calibri1"/>
    </font>
    <font>
      <b/>
      <sz val="9"/>
      <color rgb="FFFFFFFF"/>
      <name val="Calibri1"/>
    </font>
    <font>
      <sz val="9"/>
      <color rgb="FFFF0000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FF0000"/>
      <name val="Calibri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AC090"/>
        <bgColor rgb="FFFAC090"/>
      </patternFill>
    </fill>
    <fill>
      <patternFill patternType="solid">
        <fgColor rgb="FF66FFFF"/>
        <bgColor rgb="FF66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66FFFF"/>
      </patternFill>
    </fill>
    <fill>
      <patternFill patternType="solid">
        <fgColor theme="0"/>
        <bgColor rgb="FFFAC090"/>
      </patternFill>
    </fill>
    <fill>
      <patternFill patternType="solid">
        <fgColor theme="0"/>
        <bgColor rgb="FF93CDDD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rgb="FF66FFFF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DDDDDD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DDDDD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DDDDDD"/>
      </patternFill>
    </fill>
    <fill>
      <patternFill patternType="solid">
        <fgColor rgb="FFFFC000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rgb="FFDDDDD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DDDDD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6" fillId="0" borderId="0"/>
    <xf numFmtId="164" fontId="6" fillId="0" borderId="0"/>
    <xf numFmtId="9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9" fillId="0" borderId="0">
      <alignment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5" fontId="15" fillId="0" borderId="0"/>
    <xf numFmtId="0" fontId="1" fillId="0" borderId="0"/>
    <xf numFmtId="0" fontId="1" fillId="0" borderId="0"/>
    <xf numFmtId="0" fontId="4" fillId="0" borderId="0"/>
    <xf numFmtId="0" fontId="18" fillId="0" borderId="0"/>
  </cellStyleXfs>
  <cellXfs count="327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4" fillId="0" borderId="0" xfId="24" applyFont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16" borderId="0" xfId="0" applyFill="1"/>
    <xf numFmtId="164" fontId="0" fillId="16" borderId="0" xfId="0" applyNumberFormat="1" applyFill="1"/>
    <xf numFmtId="0" fontId="0" fillId="19" borderId="0" xfId="0" applyFill="1"/>
    <xf numFmtId="0" fontId="25" fillId="16" borderId="0" xfId="0" applyFont="1" applyFill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16" borderId="0" xfId="24" applyFont="1" applyFill="1" applyAlignment="1">
      <alignment vertical="center"/>
    </xf>
    <xf numFmtId="0" fontId="23" fillId="16" borderId="0" xfId="0" applyFont="1" applyFill="1"/>
    <xf numFmtId="0" fontId="23" fillId="9" borderId="0" xfId="0" applyFont="1" applyFill="1"/>
    <xf numFmtId="0" fontId="29" fillId="0" borderId="0" xfId="0" applyFont="1"/>
    <xf numFmtId="0" fontId="23" fillId="0" borderId="0" xfId="0" applyFont="1" applyAlignment="1">
      <alignment horizontal="left"/>
    </xf>
    <xf numFmtId="0" fontId="23" fillId="18" borderId="6" xfId="0" applyFont="1" applyFill="1" applyBorder="1" applyAlignment="1">
      <alignment horizontal="center" vertical="center"/>
    </xf>
    <xf numFmtId="164" fontId="23" fillId="18" borderId="6" xfId="0" applyNumberFormat="1" applyFont="1" applyFill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164" fontId="23" fillId="0" borderId="0" xfId="0" applyNumberFormat="1" applyFont="1"/>
    <xf numFmtId="164" fontId="23" fillId="9" borderId="0" xfId="0" applyNumberFormat="1" applyFont="1" applyFill="1"/>
    <xf numFmtId="0" fontId="23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0" fontId="22" fillId="16" borderId="0" xfId="0" applyFont="1" applyFill="1"/>
    <xf numFmtId="164" fontId="22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19" borderId="0" xfId="0" applyFont="1" applyFill="1"/>
    <xf numFmtId="164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164" fontId="23" fillId="20" borderId="6" xfId="0" applyNumberFormat="1" applyFont="1" applyFill="1" applyBorder="1" applyAlignment="1">
      <alignment horizontal="center" vertical="center"/>
    </xf>
    <xf numFmtId="164" fontId="22" fillId="9" borderId="0" xfId="0" applyNumberFormat="1" applyFont="1" applyFill="1"/>
    <xf numFmtId="0" fontId="22" fillId="0" borderId="0" xfId="0" applyFont="1" applyAlignment="1">
      <alignment horizontal="center" vertical="center"/>
    </xf>
    <xf numFmtId="164" fontId="28" fillId="17" borderId="0" xfId="0" applyNumberFormat="1" applyFont="1" applyFill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17" fillId="0" borderId="0" xfId="0" applyNumberFormat="1" applyFont="1"/>
    <xf numFmtId="0" fontId="16" fillId="0" borderId="0" xfId="0" applyFont="1" applyAlignment="1">
      <alignment horizontal="justify" vertical="center"/>
    </xf>
    <xf numFmtId="4" fontId="23" fillId="0" borderId="0" xfId="0" applyNumberFormat="1" applyFont="1"/>
    <xf numFmtId="4" fontId="23" fillId="0" borderId="0" xfId="0" applyNumberFormat="1" applyFont="1" applyAlignment="1">
      <alignment horizontal="left" vertical="center"/>
    </xf>
    <xf numFmtId="0" fontId="16" fillId="0" borderId="0" xfId="0" applyFont="1"/>
    <xf numFmtId="0" fontId="32" fillId="0" borderId="0" xfId="0" applyFont="1"/>
    <xf numFmtId="0" fontId="32" fillId="0" borderId="0" xfId="0" applyFont="1" applyAlignment="1">
      <alignment horizontal="left" vertical="center" wrapText="1"/>
    </xf>
    <xf numFmtId="0" fontId="34" fillId="0" borderId="0" xfId="0" applyFont="1"/>
    <xf numFmtId="4" fontId="16" fillId="0" borderId="0" xfId="0" applyNumberFormat="1" applyFont="1"/>
    <xf numFmtId="0" fontId="27" fillId="0" borderId="0" xfId="0" applyFont="1" applyAlignment="1">
      <alignment horizontal="center"/>
    </xf>
    <xf numFmtId="166" fontId="23" fillId="0" borderId="0" xfId="0" applyNumberFormat="1" applyFont="1"/>
    <xf numFmtId="0" fontId="25" fillId="0" borderId="0" xfId="0" applyFont="1"/>
    <xf numFmtId="0" fontId="26" fillId="0" borderId="0" xfId="0" applyFont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35" fillId="17" borderId="0" xfId="0" applyFont="1" applyFill="1" applyAlignment="1">
      <alignment horizontal="center" vertical="center"/>
    </xf>
    <xf numFmtId="0" fontId="35" fillId="27" borderId="0" xfId="0" applyFont="1" applyFill="1" applyAlignment="1">
      <alignment horizontal="center" vertical="center"/>
    </xf>
    <xf numFmtId="0" fontId="35" fillId="29" borderId="0" xfId="0" applyFont="1" applyFill="1" applyAlignment="1">
      <alignment horizontal="center" vertical="center"/>
    </xf>
    <xf numFmtId="0" fontId="23" fillId="17" borderId="0" xfId="0" applyFont="1" applyFill="1" applyAlignment="1">
      <alignment horizontal="center"/>
    </xf>
    <xf numFmtId="0" fontId="28" fillId="30" borderId="0" xfId="0" applyFont="1" applyFill="1" applyAlignment="1">
      <alignment horizontal="left" vertical="center"/>
    </xf>
    <xf numFmtId="0" fontId="35" fillId="33" borderId="0" xfId="0" applyFont="1" applyFill="1" applyAlignment="1">
      <alignment vertical="center"/>
    </xf>
    <xf numFmtId="0" fontId="32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30" fillId="0" borderId="0" xfId="0" applyNumberFormat="1" applyFont="1"/>
    <xf numFmtId="164" fontId="36" fillId="13" borderId="6" xfId="0" applyNumberFormat="1" applyFont="1" applyFill="1" applyBorder="1" applyAlignment="1">
      <alignment horizontal="center"/>
    </xf>
    <xf numFmtId="164" fontId="36" fillId="13" borderId="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164" fontId="36" fillId="14" borderId="6" xfId="0" applyNumberFormat="1" applyFont="1" applyFill="1" applyBorder="1" applyAlignment="1">
      <alignment horizontal="center"/>
    </xf>
    <xf numFmtId="164" fontId="36" fillId="14" borderId="6" xfId="0" applyNumberFormat="1" applyFont="1" applyFill="1" applyBorder="1" applyAlignment="1">
      <alignment horizontal="center" vertical="center"/>
    </xf>
    <xf numFmtId="0" fontId="36" fillId="0" borderId="0" xfId="0" applyFont="1"/>
    <xf numFmtId="164" fontId="36" fillId="11" borderId="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11" borderId="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6" fillId="15" borderId="6" xfId="0" applyNumberFormat="1" applyFont="1" applyFill="1" applyBorder="1" applyAlignment="1">
      <alignment horizontal="center" vertical="center"/>
    </xf>
    <xf numFmtId="0" fontId="36" fillId="16" borderId="0" xfId="0" applyFont="1" applyFill="1" applyAlignment="1">
      <alignment horizontal="center"/>
    </xf>
    <xf numFmtId="0" fontId="36" fillId="16" borderId="0" xfId="0" applyFont="1" applyFill="1"/>
    <xf numFmtId="167" fontId="36" fillId="16" borderId="6" xfId="0" applyNumberFormat="1" applyFont="1" applyFill="1" applyBorder="1" applyAlignment="1">
      <alignment horizontal="center" vertical="center"/>
    </xf>
    <xf numFmtId="0" fontId="36" fillId="16" borderId="6" xfId="0" applyFont="1" applyFill="1" applyBorder="1" applyAlignment="1">
      <alignment horizontal="center" vertical="center"/>
    </xf>
    <xf numFmtId="0" fontId="36" fillId="17" borderId="6" xfId="0" applyFont="1" applyFill="1" applyBorder="1"/>
    <xf numFmtId="164" fontId="36" fillId="0" borderId="6" xfId="0" applyNumberFormat="1" applyFont="1" applyBorder="1" applyAlignment="1">
      <alignment horizontal="center"/>
    </xf>
    <xf numFmtId="164" fontId="36" fillId="0" borderId="6" xfId="0" applyNumberFormat="1" applyFont="1" applyBorder="1" applyAlignment="1">
      <alignment horizontal="center" vertical="center"/>
    </xf>
    <xf numFmtId="0" fontId="36" fillId="17" borderId="6" xfId="0" applyFont="1" applyFill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18" borderId="6" xfId="0" applyFont="1" applyFill="1" applyBorder="1" applyAlignment="1">
      <alignment horizontal="center"/>
    </xf>
    <xf numFmtId="164" fontId="36" fillId="16" borderId="6" xfId="0" applyNumberFormat="1" applyFont="1" applyFill="1" applyBorder="1" applyAlignment="1">
      <alignment horizontal="center"/>
    </xf>
    <xf numFmtId="164" fontId="36" fillId="26" borderId="6" xfId="0" applyNumberFormat="1" applyFont="1" applyFill="1" applyBorder="1" applyAlignment="1">
      <alignment horizontal="center"/>
    </xf>
    <xf numFmtId="164" fontId="36" fillId="17" borderId="6" xfId="0" applyNumberFormat="1" applyFont="1" applyFill="1" applyBorder="1" applyAlignment="1">
      <alignment horizontal="center"/>
    </xf>
    <xf numFmtId="0" fontId="36" fillId="16" borderId="6" xfId="0" applyFont="1" applyFill="1" applyBorder="1" applyAlignment="1">
      <alignment horizontal="center"/>
    </xf>
    <xf numFmtId="0" fontId="36" fillId="16" borderId="0" xfId="0" applyFont="1" applyFill="1" applyAlignment="1">
      <alignment horizontal="center" vertical="center"/>
    </xf>
    <xf numFmtId="164" fontId="36" fillId="16" borderId="3" xfId="0" applyNumberFormat="1" applyFont="1" applyFill="1" applyBorder="1" applyAlignment="1">
      <alignment horizontal="center" vertical="center"/>
    </xf>
    <xf numFmtId="2" fontId="36" fillId="0" borderId="6" xfId="0" applyNumberFormat="1" applyFont="1" applyBorder="1" applyAlignment="1">
      <alignment horizontal="center" vertical="center"/>
    </xf>
    <xf numFmtId="0" fontId="36" fillId="16" borderId="10" xfId="0" applyFont="1" applyFill="1" applyBorder="1" applyAlignment="1">
      <alignment horizontal="center" vertical="center"/>
    </xf>
    <xf numFmtId="0" fontId="36" fillId="26" borderId="5" xfId="0" applyFont="1" applyFill="1" applyBorder="1" applyAlignment="1">
      <alignment horizontal="center" vertical="center"/>
    </xf>
    <xf numFmtId="164" fontId="36" fillId="16" borderId="6" xfId="0" applyNumberFormat="1" applyFont="1" applyFill="1" applyBorder="1" applyAlignment="1">
      <alignment horizontal="center" vertical="center"/>
    </xf>
    <xf numFmtId="164" fontId="36" fillId="16" borderId="0" xfId="0" applyNumberFormat="1" applyFont="1" applyFill="1" applyAlignment="1">
      <alignment horizontal="center"/>
    </xf>
    <xf numFmtId="164" fontId="36" fillId="16" borderId="0" xfId="0" applyNumberFormat="1" applyFont="1" applyFill="1"/>
    <xf numFmtId="0" fontId="36" fillId="27" borderId="6" xfId="0" applyFont="1" applyFill="1" applyBorder="1"/>
    <xf numFmtId="164" fontId="36" fillId="27" borderId="6" xfId="0" applyNumberFormat="1" applyFont="1" applyFill="1" applyBorder="1" applyAlignment="1">
      <alignment horizontal="center"/>
    </xf>
    <xf numFmtId="164" fontId="36" fillId="28" borderId="6" xfId="0" applyNumberFormat="1" applyFont="1" applyFill="1" applyBorder="1" applyAlignment="1">
      <alignment horizontal="center"/>
    </xf>
    <xf numFmtId="2" fontId="36" fillId="16" borderId="10" xfId="0" applyNumberFormat="1" applyFont="1" applyFill="1" applyBorder="1" applyAlignment="1">
      <alignment horizontal="center" vertical="center"/>
    </xf>
    <xf numFmtId="0" fontId="36" fillId="28" borderId="5" xfId="0" applyFont="1" applyFill="1" applyBorder="1" applyAlignment="1">
      <alignment horizontal="center" vertical="center"/>
    </xf>
    <xf numFmtId="0" fontId="36" fillId="28" borderId="6" xfId="0" applyFont="1" applyFill="1" applyBorder="1" applyAlignment="1">
      <alignment horizontal="center" vertical="center"/>
    </xf>
    <xf numFmtId="167" fontId="36" fillId="0" borderId="6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26" borderId="6" xfId="0" applyFont="1" applyFill="1" applyBorder="1" applyAlignment="1">
      <alignment horizontal="center" vertical="center"/>
    </xf>
    <xf numFmtId="0" fontId="36" fillId="0" borderId="6" xfId="0" applyFont="1" applyBorder="1"/>
    <xf numFmtId="164" fontId="36" fillId="18" borderId="6" xfId="0" applyNumberFormat="1" applyFont="1" applyFill="1" applyBorder="1" applyAlignment="1">
      <alignment horizontal="center"/>
    </xf>
    <xf numFmtId="164" fontId="36" fillId="17" borderId="5" xfId="0" applyNumberFormat="1" applyFont="1" applyFill="1" applyBorder="1" applyAlignment="1">
      <alignment horizontal="center" vertical="center"/>
    </xf>
    <xf numFmtId="164" fontId="36" fillId="17" borderId="6" xfId="0" applyNumberFormat="1" applyFont="1" applyFill="1" applyBorder="1" applyAlignment="1">
      <alignment horizontal="center" vertical="center"/>
    </xf>
    <xf numFmtId="164" fontId="36" fillId="0" borderId="5" xfId="0" applyNumberFormat="1" applyFont="1" applyBorder="1" applyAlignment="1">
      <alignment horizontal="center" vertical="center"/>
    </xf>
    <xf numFmtId="164" fontId="36" fillId="16" borderId="10" xfId="0" applyNumberFormat="1" applyFont="1" applyFill="1" applyBorder="1" applyAlignment="1">
      <alignment horizontal="center" vertical="center"/>
    </xf>
    <xf numFmtId="164" fontId="36" fillId="0" borderId="3" xfId="0" applyNumberFormat="1" applyFont="1" applyBorder="1" applyAlignment="1">
      <alignment horizontal="center" vertical="center"/>
    </xf>
    <xf numFmtId="164" fontId="36" fillId="0" borderId="10" xfId="0" applyNumberFormat="1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2" fontId="36" fillId="0" borderId="10" xfId="0" applyNumberFormat="1" applyFont="1" applyBorder="1" applyAlignment="1">
      <alignment horizontal="center" vertical="center"/>
    </xf>
    <xf numFmtId="0" fontId="36" fillId="27" borderId="6" xfId="0" applyFont="1" applyFill="1" applyBorder="1" applyAlignment="1">
      <alignment horizontal="center"/>
    </xf>
    <xf numFmtId="2" fontId="36" fillId="17" borderId="6" xfId="0" applyNumberFormat="1" applyFont="1" applyFill="1" applyBorder="1" applyAlignment="1">
      <alignment horizontal="center"/>
    </xf>
    <xf numFmtId="2" fontId="36" fillId="27" borderId="6" xfId="0" applyNumberFormat="1" applyFont="1" applyFill="1" applyBorder="1" applyAlignment="1">
      <alignment horizontal="center"/>
    </xf>
    <xf numFmtId="164" fontId="36" fillId="0" borderId="0" xfId="0" applyNumberFormat="1" applyFont="1" applyAlignment="1">
      <alignment horizontal="center"/>
    </xf>
    <xf numFmtId="169" fontId="36" fillId="16" borderId="6" xfId="0" applyNumberFormat="1" applyFont="1" applyFill="1" applyBorder="1" applyAlignment="1">
      <alignment horizontal="center"/>
    </xf>
    <xf numFmtId="0" fontId="36" fillId="27" borderId="7" xfId="0" applyFont="1" applyFill="1" applyBorder="1"/>
    <xf numFmtId="0" fontId="36" fillId="27" borderId="8" xfId="0" applyFont="1" applyFill="1" applyBorder="1"/>
    <xf numFmtId="167" fontId="36" fillId="17" borderId="6" xfId="0" applyNumberFormat="1" applyFont="1" applyFill="1" applyBorder="1" applyAlignment="1">
      <alignment horizontal="center" vertical="center"/>
    </xf>
    <xf numFmtId="0" fontId="36" fillId="17" borderId="6" xfId="0" applyFont="1" applyFill="1" applyBorder="1" applyAlignment="1">
      <alignment horizontal="center" vertical="center"/>
    </xf>
    <xf numFmtId="2" fontId="36" fillId="33" borderId="6" xfId="0" applyNumberFormat="1" applyFont="1" applyFill="1" applyBorder="1" applyAlignment="1">
      <alignment horizontal="center"/>
    </xf>
    <xf numFmtId="0" fontId="36" fillId="34" borderId="5" xfId="0" applyFont="1" applyFill="1" applyBorder="1" applyAlignment="1">
      <alignment horizontal="center" vertical="center"/>
    </xf>
    <xf numFmtId="164" fontId="36" fillId="33" borderId="6" xfId="0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6" fillId="33" borderId="6" xfId="0" applyFont="1" applyFill="1" applyBorder="1" applyAlignment="1">
      <alignment horizontal="center" vertical="center"/>
    </xf>
    <xf numFmtId="164" fontId="36" fillId="9" borderId="10" xfId="0" applyNumberFormat="1" applyFont="1" applyFill="1" applyBorder="1" applyAlignment="1">
      <alignment horizontal="center" vertical="center"/>
    </xf>
    <xf numFmtId="164" fontId="36" fillId="26" borderId="6" xfId="0" applyNumberFormat="1" applyFont="1" applyFill="1" applyBorder="1" applyAlignment="1">
      <alignment horizontal="center" vertical="center"/>
    </xf>
    <xf numFmtId="164" fontId="36" fillId="16" borderId="0" xfId="0" applyNumberFormat="1" applyFont="1" applyFill="1" applyAlignment="1">
      <alignment horizontal="center" vertical="center"/>
    </xf>
    <xf numFmtId="0" fontId="36" fillId="33" borderId="6" xfId="0" applyFont="1" applyFill="1" applyBorder="1" applyAlignment="1">
      <alignment horizontal="center"/>
    </xf>
    <xf numFmtId="0" fontId="36" fillId="34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16" borderId="0" xfId="0" applyFont="1" applyFill="1" applyAlignment="1">
      <alignment horizontal="left" vertical="center"/>
    </xf>
    <xf numFmtId="164" fontId="35" fillId="10" borderId="6" xfId="0" applyNumberFormat="1" applyFont="1" applyFill="1" applyBorder="1" applyAlignment="1">
      <alignment horizontal="center"/>
    </xf>
    <xf numFmtId="164" fontId="35" fillId="0" borderId="0" xfId="0" applyNumberFormat="1" applyFont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164" fontId="35" fillId="19" borderId="0" xfId="0" applyNumberFormat="1" applyFont="1" applyFill="1" applyAlignment="1">
      <alignment horizontal="center" vertical="center"/>
    </xf>
    <xf numFmtId="164" fontId="35" fillId="10" borderId="6" xfId="0" applyNumberFormat="1" applyFont="1" applyFill="1" applyBorder="1" applyAlignment="1">
      <alignment vertical="center"/>
    </xf>
    <xf numFmtId="164" fontId="35" fillId="0" borderId="0" xfId="0" applyNumberFormat="1" applyFont="1" applyAlignment="1">
      <alignment vertical="center"/>
    </xf>
    <xf numFmtId="164" fontId="35" fillId="10" borderId="6" xfId="0" applyNumberFormat="1" applyFont="1" applyFill="1" applyBorder="1" applyAlignment="1">
      <alignment horizontal="center" vertical="center"/>
    </xf>
    <xf numFmtId="164" fontId="36" fillId="24" borderId="6" xfId="0" applyNumberFormat="1" applyFont="1" applyFill="1" applyBorder="1" applyAlignment="1">
      <alignment horizontal="center" vertical="center"/>
    </xf>
    <xf numFmtId="164" fontId="36" fillId="25" borderId="6" xfId="0" applyNumberFormat="1" applyFont="1" applyFill="1" applyBorder="1" applyAlignment="1">
      <alignment horizontal="center" vertical="center"/>
    </xf>
    <xf numFmtId="0" fontId="36" fillId="17" borderId="6" xfId="0" applyFont="1" applyFill="1" applyBorder="1" applyAlignment="1">
      <alignment horizontal="left" vertical="center"/>
    </xf>
    <xf numFmtId="164" fontId="36" fillId="18" borderId="6" xfId="0" applyNumberFormat="1" applyFont="1" applyFill="1" applyBorder="1" applyAlignment="1">
      <alignment horizontal="center" vertical="center"/>
    </xf>
    <xf numFmtId="2" fontId="36" fillId="16" borderId="6" xfId="0" applyNumberFormat="1" applyFont="1" applyFill="1" applyBorder="1" applyAlignment="1">
      <alignment horizontal="center" vertical="center"/>
    </xf>
    <xf numFmtId="164" fontId="36" fillId="31" borderId="6" xfId="0" applyNumberFormat="1" applyFont="1" applyFill="1" applyBorder="1" applyAlignment="1">
      <alignment horizontal="center" vertical="center"/>
    </xf>
    <xf numFmtId="164" fontId="36" fillId="30" borderId="6" xfId="0" applyNumberFormat="1" applyFont="1" applyFill="1" applyBorder="1" applyAlignment="1">
      <alignment horizontal="center" vertical="center"/>
    </xf>
    <xf numFmtId="164" fontId="36" fillId="34" borderId="6" xfId="0" applyNumberFormat="1" applyFont="1" applyFill="1" applyBorder="1" applyAlignment="1">
      <alignment horizontal="center" vertical="center"/>
    </xf>
    <xf numFmtId="0" fontId="36" fillId="27" borderId="6" xfId="0" applyFont="1" applyFill="1" applyBorder="1" applyAlignment="1">
      <alignment horizontal="left" vertical="center"/>
    </xf>
    <xf numFmtId="164" fontId="36" fillId="27" borderId="6" xfId="0" applyNumberFormat="1" applyFont="1" applyFill="1" applyBorder="1" applyAlignment="1">
      <alignment horizontal="center" vertical="center"/>
    </xf>
    <xf numFmtId="164" fontId="36" fillId="28" borderId="6" xfId="0" applyNumberFormat="1" applyFont="1" applyFill="1" applyBorder="1" applyAlignment="1">
      <alignment horizontal="center" vertical="center"/>
    </xf>
    <xf numFmtId="164" fontId="36" fillId="0" borderId="0" xfId="0" applyNumberFormat="1" applyFont="1"/>
    <xf numFmtId="0" fontId="37" fillId="0" borderId="6" xfId="0" applyFont="1" applyBorder="1" applyAlignment="1">
      <alignment horizontal="left" vertical="center" wrapText="1"/>
    </xf>
    <xf numFmtId="164" fontId="37" fillId="0" borderId="6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0" xfId="0" applyFont="1"/>
    <xf numFmtId="164" fontId="37" fillId="0" borderId="0" xfId="0" applyNumberFormat="1" applyFont="1"/>
    <xf numFmtId="2" fontId="37" fillId="0" borderId="6" xfId="0" applyNumberFormat="1" applyFont="1" applyBorder="1" applyAlignment="1">
      <alignment horizontal="center" vertical="center"/>
    </xf>
    <xf numFmtId="0" fontId="37" fillId="27" borderId="6" xfId="0" applyFont="1" applyFill="1" applyBorder="1" applyAlignment="1">
      <alignment horizontal="left" vertical="center" wrapText="1"/>
    </xf>
    <xf numFmtId="164" fontId="37" fillId="27" borderId="6" xfId="0" applyNumberFormat="1" applyFont="1" applyFill="1" applyBorder="1" applyAlignment="1">
      <alignment horizontal="center" vertical="center"/>
    </xf>
    <xf numFmtId="164" fontId="37" fillId="33" borderId="6" xfId="0" applyNumberFormat="1" applyFont="1" applyFill="1" applyBorder="1" applyAlignment="1">
      <alignment horizontal="center" vertical="center"/>
    </xf>
    <xf numFmtId="0" fontId="36" fillId="32" borderId="6" xfId="0" applyFont="1" applyFill="1" applyBorder="1" applyAlignment="1">
      <alignment horizontal="left" vertical="center"/>
    </xf>
    <xf numFmtId="164" fontId="36" fillId="9" borderId="6" xfId="0" applyNumberFormat="1" applyFont="1" applyFill="1" applyBorder="1" applyAlignment="1">
      <alignment horizontal="center" vertical="center"/>
    </xf>
    <xf numFmtId="164" fontId="36" fillId="32" borderId="6" xfId="0" applyNumberFormat="1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/>
    </xf>
    <xf numFmtId="0" fontId="36" fillId="9" borderId="0" xfId="0" applyFont="1" applyFill="1"/>
    <xf numFmtId="2" fontId="36" fillId="9" borderId="6" xfId="0" applyNumberFormat="1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164" fontId="35" fillId="10" borderId="0" xfId="0" applyNumberFormat="1" applyFont="1" applyFill="1" applyAlignment="1">
      <alignment horizontal="center" vertical="center"/>
    </xf>
    <xf numFmtId="164" fontId="35" fillId="10" borderId="0" xfId="0" applyNumberFormat="1" applyFont="1" applyFill="1" applyAlignment="1">
      <alignment vertical="center"/>
    </xf>
    <xf numFmtId="0" fontId="36" fillId="0" borderId="0" xfId="0" applyFont="1" applyAlignment="1">
      <alignment vertical="center"/>
    </xf>
    <xf numFmtId="164" fontId="36" fillId="13" borderId="6" xfId="0" applyNumberFormat="1" applyFont="1" applyFill="1" applyBorder="1" applyAlignment="1">
      <alignment horizontal="left" vertical="center"/>
    </xf>
    <xf numFmtId="0" fontId="36" fillId="16" borderId="0" xfId="0" applyFont="1" applyFill="1" applyAlignment="1">
      <alignment vertical="center"/>
    </xf>
    <xf numFmtId="164" fontId="36" fillId="16" borderId="6" xfId="0" applyNumberFormat="1" applyFont="1" applyFill="1" applyBorder="1" applyAlignment="1">
      <alignment vertical="center"/>
    </xf>
    <xf numFmtId="164" fontId="36" fillId="16" borderId="0" xfId="0" applyNumberFormat="1" applyFont="1" applyFill="1" applyAlignment="1">
      <alignment vertical="center"/>
    </xf>
    <xf numFmtId="0" fontId="36" fillId="0" borderId="2" xfId="0" applyFont="1" applyBorder="1" applyAlignment="1">
      <alignment vertical="center"/>
    </xf>
    <xf numFmtId="164" fontId="36" fillId="0" borderId="2" xfId="0" applyNumberFormat="1" applyFont="1" applyBorder="1" applyAlignment="1">
      <alignment vertical="center"/>
    </xf>
    <xf numFmtId="164" fontId="36" fillId="0" borderId="6" xfId="0" applyNumberFormat="1" applyFont="1" applyBorder="1" applyAlignment="1">
      <alignment vertical="center"/>
    </xf>
    <xf numFmtId="164" fontId="36" fillId="0" borderId="0" xfId="0" applyNumberFormat="1" applyFont="1" applyAlignment="1">
      <alignment vertical="center"/>
    </xf>
    <xf numFmtId="164" fontId="35" fillId="19" borderId="0" xfId="0" applyNumberFormat="1" applyFont="1" applyFill="1" applyAlignment="1">
      <alignment vertical="center"/>
    </xf>
    <xf numFmtId="0" fontId="36" fillId="27" borderId="6" xfId="0" applyFont="1" applyFill="1" applyBorder="1" applyAlignment="1">
      <alignment horizontal="center" vertical="center"/>
    </xf>
    <xf numFmtId="4" fontId="36" fillId="18" borderId="6" xfId="0" applyNumberFormat="1" applyFont="1" applyFill="1" applyBorder="1" applyAlignment="1">
      <alignment horizontal="center" vertical="center"/>
    </xf>
    <xf numFmtId="4" fontId="36" fillId="34" borderId="6" xfId="0" applyNumberFormat="1" applyFont="1" applyFill="1" applyBorder="1" applyAlignment="1">
      <alignment horizontal="center" vertical="center"/>
    </xf>
    <xf numFmtId="4" fontId="36" fillId="0" borderId="6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6" fillId="16" borderId="6" xfId="0" applyFont="1" applyFill="1" applyBorder="1" applyAlignment="1">
      <alignment horizontal="left"/>
    </xf>
    <xf numFmtId="164" fontId="36" fillId="21" borderId="6" xfId="0" applyNumberFormat="1" applyFont="1" applyFill="1" applyBorder="1" applyAlignment="1">
      <alignment vertical="center"/>
    </xf>
    <xf numFmtId="0" fontId="36" fillId="18" borderId="6" xfId="0" applyFont="1" applyFill="1" applyBorder="1" applyAlignment="1">
      <alignment horizontal="left"/>
    </xf>
    <xf numFmtId="0" fontId="36" fillId="0" borderId="6" xfId="0" applyFont="1" applyBorder="1" applyAlignment="1">
      <alignment horizontal="left" vertical="center" wrapText="1"/>
    </xf>
    <xf numFmtId="164" fontId="36" fillId="0" borderId="0" xfId="0" applyNumberFormat="1" applyFont="1" applyAlignment="1">
      <alignment horizontal="left"/>
    </xf>
    <xf numFmtId="4" fontId="35" fillId="10" borderId="0" xfId="0" applyNumberFormat="1" applyFont="1" applyFill="1" applyAlignment="1">
      <alignment vertical="center"/>
    </xf>
    <xf numFmtId="167" fontId="36" fillId="16" borderId="6" xfId="0" applyNumberFormat="1" applyFont="1" applyFill="1" applyBorder="1" applyAlignment="1">
      <alignment horizontal="left" vertical="center"/>
    </xf>
    <xf numFmtId="2" fontId="36" fillId="0" borderId="6" xfId="0" applyNumberFormat="1" applyFont="1" applyBorder="1" applyAlignment="1">
      <alignment horizontal="center" vertical="center" wrapText="1"/>
    </xf>
    <xf numFmtId="168" fontId="35" fillId="17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164" fontId="36" fillId="9" borderId="0" xfId="0" applyNumberFormat="1" applyFont="1" applyFill="1" applyAlignment="1">
      <alignment vertical="center"/>
    </xf>
    <xf numFmtId="164" fontId="36" fillId="0" borderId="6" xfId="0" applyNumberFormat="1" applyFont="1" applyBorder="1" applyAlignment="1">
      <alignment horizontal="left" vertical="center"/>
    </xf>
    <xf numFmtId="164" fontId="36" fillId="22" borderId="6" xfId="0" applyNumberFormat="1" applyFont="1" applyFill="1" applyBorder="1" applyAlignment="1">
      <alignment horizontal="center" vertical="center"/>
    </xf>
    <xf numFmtId="164" fontId="36" fillId="21" borderId="6" xfId="0" applyNumberFormat="1" applyFont="1" applyFill="1" applyBorder="1" applyAlignment="1">
      <alignment horizontal="center" vertical="center"/>
    </xf>
    <xf numFmtId="0" fontId="36" fillId="18" borderId="6" xfId="0" applyFont="1" applyFill="1" applyBorder="1" applyAlignment="1">
      <alignment horizontal="left" vertical="center"/>
    </xf>
    <xf numFmtId="164" fontId="36" fillId="20" borderId="6" xfId="0" applyNumberFormat="1" applyFont="1" applyFill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164" fontId="36" fillId="0" borderId="0" xfId="0" applyNumberFormat="1" applyFont="1" applyAlignment="1">
      <alignment horizontal="left" vertical="center"/>
    </xf>
    <xf numFmtId="4" fontId="35" fillId="10" borderId="0" xfId="0" applyNumberFormat="1" applyFont="1" applyFill="1" applyAlignment="1">
      <alignment horizontal="center" vertical="center"/>
    </xf>
    <xf numFmtId="4" fontId="36" fillId="0" borderId="0" xfId="0" applyNumberFormat="1" applyFont="1" applyAlignment="1">
      <alignment vertical="center"/>
    </xf>
    <xf numFmtId="164" fontId="36" fillId="9" borderId="0" xfId="0" applyNumberFormat="1" applyFont="1" applyFill="1"/>
    <xf numFmtId="0" fontId="38" fillId="0" borderId="0" xfId="0" applyFont="1"/>
    <xf numFmtId="0" fontId="36" fillId="18" borderId="6" xfId="0" applyFont="1" applyFill="1" applyBorder="1" applyAlignment="1">
      <alignment horizontal="center" vertical="center"/>
    </xf>
    <xf numFmtId="164" fontId="36" fillId="9" borderId="0" xfId="0" applyNumberFormat="1" applyFont="1" applyFill="1" applyAlignment="1">
      <alignment horizontal="center" vertical="center"/>
    </xf>
    <xf numFmtId="4" fontId="36" fillId="0" borderId="0" xfId="0" applyNumberFormat="1" applyFont="1" applyAlignment="1">
      <alignment horizontal="center" vertical="center"/>
    </xf>
    <xf numFmtId="164" fontId="36" fillId="22" borderId="12" xfId="0" applyNumberFormat="1" applyFont="1" applyFill="1" applyBorder="1" applyAlignment="1">
      <alignment horizontal="center" vertical="center"/>
    </xf>
    <xf numFmtId="4" fontId="35" fillId="10" borderId="13" xfId="0" applyNumberFormat="1" applyFont="1" applyFill="1" applyBorder="1" applyAlignment="1">
      <alignment horizontal="center" vertical="center"/>
    </xf>
    <xf numFmtId="168" fontId="36" fillId="0" borderId="6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36" fillId="0" borderId="6" xfId="0" applyFont="1" applyBorder="1" applyAlignment="1">
      <alignment horizontal="center" vertical="center" wrapText="1"/>
    </xf>
    <xf numFmtId="0" fontId="36" fillId="27" borderId="6" xfId="0" applyFont="1" applyFill="1" applyBorder="1" applyAlignment="1">
      <alignment horizontal="left" vertical="center" wrapText="1"/>
    </xf>
    <xf numFmtId="4" fontId="36" fillId="33" borderId="6" xfId="0" applyNumberFormat="1" applyFont="1" applyFill="1" applyBorder="1" applyAlignment="1">
      <alignment horizontal="center" vertical="center"/>
    </xf>
    <xf numFmtId="0" fontId="36" fillId="16" borderId="6" xfId="0" applyFont="1" applyFill="1" applyBorder="1" applyAlignment="1">
      <alignment horizontal="left" vertical="center"/>
    </xf>
    <xf numFmtId="164" fontId="35" fillId="17" borderId="0" xfId="0" applyNumberFormat="1" applyFont="1" applyFill="1" applyAlignment="1">
      <alignment horizontal="center" vertical="center"/>
    </xf>
    <xf numFmtId="164" fontId="35" fillId="0" borderId="0" xfId="0" applyNumberFormat="1" applyFont="1"/>
    <xf numFmtId="164" fontId="36" fillId="16" borderId="6" xfId="0" applyNumberFormat="1" applyFont="1" applyFill="1" applyBorder="1" applyAlignment="1">
      <alignment horizontal="left" vertical="center"/>
    </xf>
    <xf numFmtId="0" fontId="36" fillId="27" borderId="6" xfId="0" applyFont="1" applyFill="1" applyBorder="1" applyAlignment="1">
      <alignment horizontal="center" vertical="center" wrapText="1"/>
    </xf>
    <xf numFmtId="164" fontId="35" fillId="10" borderId="0" xfId="0" applyNumberFormat="1" applyFont="1" applyFill="1" applyAlignment="1">
      <alignment horizontal="left" vertical="center"/>
    </xf>
    <xf numFmtId="164" fontId="35" fillId="19" borderId="0" xfId="0" applyNumberFormat="1" applyFont="1" applyFill="1" applyAlignment="1">
      <alignment horizontal="left" vertical="center"/>
    </xf>
    <xf numFmtId="164" fontId="35" fillId="0" borderId="0" xfId="0" applyNumberFormat="1" applyFont="1" applyAlignment="1">
      <alignment horizontal="center" vertical="center"/>
    </xf>
    <xf numFmtId="164" fontId="36" fillId="11" borderId="6" xfId="0" applyNumberFormat="1" applyFont="1" applyFill="1" applyBorder="1" applyAlignment="1">
      <alignment horizontal="center"/>
    </xf>
    <xf numFmtId="164" fontId="35" fillId="19" borderId="0" xfId="0" applyNumberFormat="1" applyFont="1" applyFill="1"/>
    <xf numFmtId="0" fontId="38" fillId="0" borderId="0" xfId="0" applyFont="1" applyAlignment="1">
      <alignment vertical="center"/>
    </xf>
    <xf numFmtId="164" fontId="36" fillId="15" borderId="6" xfId="0" applyNumberFormat="1" applyFont="1" applyFill="1" applyBorder="1" applyAlignment="1">
      <alignment horizontal="left"/>
    </xf>
    <xf numFmtId="164" fontId="36" fillId="15" borderId="6" xfId="0" applyNumberFormat="1" applyFont="1" applyFill="1" applyBorder="1" applyAlignment="1">
      <alignment horizontal="center"/>
    </xf>
    <xf numFmtId="164" fontId="36" fillId="17" borderId="6" xfId="0" applyNumberFormat="1" applyFont="1" applyFill="1" applyBorder="1" applyAlignment="1">
      <alignment vertical="center"/>
    </xf>
    <xf numFmtId="0" fontId="36" fillId="16" borderId="6" xfId="0" applyFont="1" applyFill="1" applyBorder="1" applyAlignment="1">
      <alignment vertical="center"/>
    </xf>
    <xf numFmtId="170" fontId="36" fillId="16" borderId="6" xfId="0" applyNumberFormat="1" applyFont="1" applyFill="1" applyBorder="1" applyAlignment="1">
      <alignment horizontal="center" vertical="center"/>
    </xf>
    <xf numFmtId="0" fontId="36" fillId="16" borderId="0" xfId="0" applyFont="1" applyFill="1" applyAlignment="1">
      <alignment horizontal="left"/>
    </xf>
    <xf numFmtId="164" fontId="36" fillId="18" borderId="6" xfId="0" applyNumberFormat="1" applyFont="1" applyFill="1" applyBorder="1"/>
    <xf numFmtId="0" fontId="36" fillId="19" borderId="6" xfId="0" applyFont="1" applyFill="1" applyBorder="1" applyAlignment="1">
      <alignment horizontal="center" vertical="center"/>
    </xf>
    <xf numFmtId="164" fontId="36" fillId="19" borderId="6" xfId="0" applyNumberFormat="1" applyFont="1" applyFill="1" applyBorder="1" applyAlignment="1">
      <alignment horizontal="center" vertical="center"/>
    </xf>
    <xf numFmtId="0" fontId="36" fillId="19" borderId="0" xfId="0" applyFont="1" applyFill="1"/>
    <xf numFmtId="164" fontId="36" fillId="19" borderId="6" xfId="0" applyNumberFormat="1" applyFont="1" applyFill="1" applyBorder="1"/>
    <xf numFmtId="164" fontId="36" fillId="16" borderId="6" xfId="0" applyNumberFormat="1" applyFont="1" applyFill="1" applyBorder="1"/>
    <xf numFmtId="0" fontId="36" fillId="27" borderId="0" xfId="0" applyFont="1" applyFill="1" applyAlignment="1">
      <alignment horizontal="center" vertical="center"/>
    </xf>
    <xf numFmtId="2" fontId="36" fillId="27" borderId="0" xfId="0" applyNumberFormat="1" applyFont="1" applyFill="1" applyAlignment="1">
      <alignment horizontal="center" vertical="center"/>
    </xf>
    <xf numFmtId="2" fontId="36" fillId="27" borderId="6" xfId="0" applyNumberFormat="1" applyFont="1" applyFill="1" applyBorder="1" applyAlignment="1">
      <alignment horizontal="center" vertical="center"/>
    </xf>
    <xf numFmtId="0" fontId="36" fillId="17" borderId="6" xfId="0" applyFont="1" applyFill="1" applyBorder="1" applyAlignment="1">
      <alignment horizontal="center" vertical="center" wrapText="1"/>
    </xf>
    <xf numFmtId="164" fontId="37" fillId="31" borderId="6" xfId="0" applyNumberFormat="1" applyFont="1" applyFill="1" applyBorder="1" applyAlignment="1">
      <alignment horizontal="center" vertical="center"/>
    </xf>
    <xf numFmtId="2" fontId="36" fillId="17" borderId="6" xfId="0" applyNumberFormat="1" applyFont="1" applyFill="1" applyBorder="1" applyAlignment="1">
      <alignment horizontal="center" vertical="center"/>
    </xf>
    <xf numFmtId="2" fontId="35" fillId="17" borderId="0" xfId="0" applyNumberFormat="1" applyFont="1" applyFill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68" fontId="35" fillId="10" borderId="0" xfId="0" applyNumberFormat="1" applyFont="1" applyFill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 wrapText="1"/>
    </xf>
    <xf numFmtId="0" fontId="39" fillId="12" borderId="0" xfId="0" applyFont="1" applyFill="1"/>
    <xf numFmtId="0" fontId="39" fillId="12" borderId="0" xfId="0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39" fillId="12" borderId="0" xfId="0" applyFont="1" applyFill="1" applyAlignment="1">
      <alignment horizontal="center" vertical="center"/>
    </xf>
    <xf numFmtId="0" fontId="39" fillId="12" borderId="0" xfId="0" applyFont="1" applyFill="1" applyAlignment="1">
      <alignment horizontal="left" vertical="center"/>
    </xf>
    <xf numFmtId="0" fontId="39" fillId="12" borderId="0" xfId="0" applyFont="1" applyFill="1" applyAlignment="1">
      <alignment horizontal="left"/>
    </xf>
    <xf numFmtId="0" fontId="39" fillId="0" borderId="0" xfId="0" applyFont="1" applyAlignment="1">
      <alignment vertical="center"/>
    </xf>
    <xf numFmtId="0" fontId="40" fillId="0" borderId="0" xfId="24" applyFont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24" applyFont="1" applyAlignment="1">
      <alignment horizontal="center" vertical="center"/>
    </xf>
    <xf numFmtId="0" fontId="37" fillId="16" borderId="0" xfId="0" applyFont="1" applyFill="1" applyAlignment="1">
      <alignment horizontal="left" vertical="center"/>
    </xf>
    <xf numFmtId="0" fontId="40" fillId="16" borderId="0" xfId="24" applyFont="1" applyFill="1" applyAlignment="1">
      <alignment horizontal="left" vertical="center"/>
    </xf>
    <xf numFmtId="0" fontId="37" fillId="16" borderId="0" xfId="0" applyFont="1" applyFill="1" applyAlignment="1">
      <alignment vertical="center"/>
    </xf>
    <xf numFmtId="0" fontId="40" fillId="16" borderId="0" xfId="24" applyFont="1" applyFill="1" applyAlignment="1">
      <alignment vertical="center"/>
    </xf>
    <xf numFmtId="164" fontId="36" fillId="14" borderId="3" xfId="0" applyNumberFormat="1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164" fontId="36" fillId="0" borderId="1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5" fillId="0" borderId="0" xfId="0" applyFont="1"/>
    <xf numFmtId="0" fontId="41" fillId="23" borderId="3" xfId="0" applyFont="1" applyFill="1" applyBorder="1" applyAlignment="1">
      <alignment horizontal="center" vertical="center"/>
    </xf>
    <xf numFmtId="0" fontId="41" fillId="23" borderId="4" xfId="0" applyFont="1" applyFill="1" applyBorder="1" applyAlignment="1">
      <alignment horizontal="center" vertical="center"/>
    </xf>
    <xf numFmtId="0" fontId="41" fillId="23" borderId="5" xfId="0" applyFont="1" applyFill="1" applyBorder="1" applyAlignment="1">
      <alignment horizontal="center" vertical="center"/>
    </xf>
    <xf numFmtId="0" fontId="41" fillId="23" borderId="3" xfId="0" applyFont="1" applyFill="1" applyBorder="1" applyAlignment="1">
      <alignment horizontal="left" vertical="center"/>
    </xf>
    <xf numFmtId="0" fontId="41" fillId="23" borderId="6" xfId="0" applyFont="1" applyFill="1" applyBorder="1" applyAlignment="1">
      <alignment horizontal="center" vertical="center"/>
    </xf>
    <xf numFmtId="0" fontId="42" fillId="16" borderId="6" xfId="0" applyFont="1" applyFill="1" applyBorder="1" applyAlignment="1">
      <alignment horizontal="left" vertical="center" wrapText="1"/>
    </xf>
    <xf numFmtId="0" fontId="42" fillId="16" borderId="6" xfId="0" applyFont="1" applyFill="1" applyBorder="1" applyAlignment="1">
      <alignment horizontal="center" vertical="center"/>
    </xf>
    <xf numFmtId="168" fontId="42" fillId="1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166" fontId="36" fillId="0" borderId="0" xfId="0" applyNumberFormat="1" applyFont="1" applyAlignment="1">
      <alignment horizontal="center" vertical="center"/>
    </xf>
    <xf numFmtId="0" fontId="43" fillId="0" borderId="0" xfId="0" applyFont="1"/>
    <xf numFmtId="0" fontId="43" fillId="16" borderId="6" xfId="0" applyFont="1" applyFill="1" applyBorder="1" applyAlignment="1">
      <alignment horizontal="left" vertical="center" wrapText="1"/>
    </xf>
    <xf numFmtId="0" fontId="43" fillId="16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41" fillId="23" borderId="6" xfId="0" applyFont="1" applyFill="1" applyBorder="1" applyAlignment="1">
      <alignment horizontal="left" vertical="center"/>
    </xf>
    <xf numFmtId="164" fontId="36" fillId="0" borderId="6" xfId="0" applyNumberFormat="1" applyFont="1" applyBorder="1" applyAlignment="1">
      <alignment vertical="center" wrapText="1"/>
    </xf>
    <xf numFmtId="164" fontId="36" fillId="0" borderId="4" xfId="0" applyNumberFormat="1" applyFont="1" applyBorder="1" applyAlignment="1">
      <alignment horizontal="center" vertical="center"/>
    </xf>
    <xf numFmtId="164" fontId="36" fillId="0" borderId="6" xfId="0" applyNumberFormat="1" applyFont="1" applyBorder="1"/>
    <xf numFmtId="4" fontId="36" fillId="0" borderId="0" xfId="0" applyNumberFormat="1" applyFont="1"/>
    <xf numFmtId="168" fontId="36" fillId="0" borderId="6" xfId="0" applyNumberFormat="1" applyFont="1" applyBorder="1" applyAlignment="1">
      <alignment horizontal="center" vertical="center"/>
    </xf>
    <xf numFmtId="168" fontId="43" fillId="0" borderId="6" xfId="0" applyNumberFormat="1" applyFont="1" applyBorder="1" applyAlignment="1">
      <alignment horizontal="center" vertical="center"/>
    </xf>
    <xf numFmtId="168" fontId="40" fillId="16" borderId="6" xfId="0" applyNumberFormat="1" applyFont="1" applyFill="1" applyBorder="1" applyAlignment="1">
      <alignment horizontal="center" vertical="center"/>
    </xf>
    <xf numFmtId="0" fontId="40" fillId="16" borderId="6" xfId="0" applyFont="1" applyFill="1" applyBorder="1" applyAlignment="1">
      <alignment horizontal="center" vertical="center"/>
    </xf>
    <xf numFmtId="164" fontId="36" fillId="35" borderId="6" xfId="0" applyNumberFormat="1" applyFont="1" applyFill="1" applyBorder="1" applyAlignment="1">
      <alignment horizontal="center" vertical="center"/>
    </xf>
    <xf numFmtId="164" fontId="36" fillId="36" borderId="6" xfId="0" applyNumberFormat="1" applyFont="1" applyFill="1" applyBorder="1" applyAlignment="1">
      <alignment horizontal="center" vertical="center"/>
    </xf>
    <xf numFmtId="4" fontId="36" fillId="22" borderId="6" xfId="0" applyNumberFormat="1" applyFont="1" applyFill="1" applyBorder="1" applyAlignment="1">
      <alignment horizontal="center" vertical="center"/>
    </xf>
    <xf numFmtId="171" fontId="36" fillId="33" borderId="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6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</cellXfs>
  <cellStyles count="25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Comma" xfId="7" xr:uid="{00000000-0005-0000-0000-000006000000}"/>
    <cellStyle name="Excel Built-in Explanatory Text" xfId="8" xr:uid="{00000000-0005-0000-0000-000007000000}"/>
    <cellStyle name="Excel Built-in Percent" xfId="9" xr:uid="{00000000-0005-0000-0000-000008000000}"/>
    <cellStyle name="Footnote" xfId="10" xr:uid="{00000000-0005-0000-0000-000009000000}"/>
    <cellStyle name="Good" xfId="11" xr:uid="{00000000-0005-0000-0000-00000A000000}"/>
    <cellStyle name="Heading" xfId="12" xr:uid="{00000000-0005-0000-0000-00000B000000}"/>
    <cellStyle name="Heading 1" xfId="13" xr:uid="{00000000-0005-0000-0000-00000C000000}"/>
    <cellStyle name="Heading 2" xfId="14" xr:uid="{00000000-0005-0000-0000-00000D000000}"/>
    <cellStyle name="Heading1" xfId="15" xr:uid="{00000000-0005-0000-0000-00000E000000}"/>
    <cellStyle name="Hyperlink" xfId="16" xr:uid="{00000000-0005-0000-0000-00000F000000}"/>
    <cellStyle name="Neutral" xfId="17" xr:uid="{00000000-0005-0000-0000-000010000000}"/>
    <cellStyle name="Normal" xfId="0" builtinId="0" customBuiltin="1"/>
    <cellStyle name="Normal 10 22" xfId="24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0" defaultTableStyle="TableStyleMedium2" defaultPivotStyle="PivotStyleLight16"/>
  <colors>
    <mruColors>
      <color rgb="FFE808C8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8"/>
  <sheetViews>
    <sheetView topLeftCell="A38" zoomScale="110" zoomScaleNormal="110" workbookViewId="0">
      <selection activeCell="E46" sqref="E46"/>
    </sheetView>
  </sheetViews>
  <sheetFormatPr defaultRowHeight="13.8"/>
  <cols>
    <col min="1" max="1" width="8.09765625" style="16" customWidth="1"/>
    <col min="2" max="2" width="61" style="16" customWidth="1"/>
    <col min="3" max="3" width="5.5" style="16" customWidth="1"/>
    <col min="4" max="4" width="11.69921875" style="9" customWidth="1"/>
    <col min="5" max="5" width="10.59765625" style="16" customWidth="1"/>
    <col min="6" max="6" width="32.796875" style="10" customWidth="1"/>
    <col min="7" max="9" width="10.59765625" style="16" customWidth="1"/>
    <col min="10" max="10" width="26.3984375" style="16" customWidth="1"/>
    <col min="11" max="11" width="10.59765625" style="16" customWidth="1"/>
    <col min="12" max="12" width="10" customWidth="1"/>
    <col min="13" max="13" width="12.8984375" style="1" customWidth="1"/>
    <col min="14" max="14" width="10.19921875" customWidth="1"/>
    <col min="15" max="15" width="121.59765625" customWidth="1"/>
    <col min="16" max="18" width="10.59765625" customWidth="1"/>
  </cols>
  <sheetData>
    <row r="1" spans="1:12">
      <c r="C1" s="9"/>
      <c r="L1" s="5"/>
    </row>
    <row r="2" spans="1:12">
      <c r="A2" s="279" t="s">
        <v>281</v>
      </c>
      <c r="B2" s="280" t="s">
        <v>282</v>
      </c>
      <c r="C2" s="85"/>
      <c r="D2" s="85"/>
      <c r="L2" s="5"/>
    </row>
    <row r="3" spans="1:12">
      <c r="A3" s="279" t="s">
        <v>283</v>
      </c>
      <c r="B3" s="280" t="s">
        <v>284</v>
      </c>
      <c r="C3" s="85"/>
      <c r="D3" s="85"/>
      <c r="L3" s="5"/>
    </row>
    <row r="4" spans="1:12" ht="14.4">
      <c r="A4" s="83"/>
      <c r="B4" s="279" t="s">
        <v>639</v>
      </c>
      <c r="C4" s="85"/>
      <c r="D4" s="85"/>
      <c r="L4" s="5"/>
    </row>
    <row r="5" spans="1:12" ht="14.4">
      <c r="A5" s="83"/>
      <c r="B5" s="83"/>
      <c r="C5" s="85"/>
      <c r="D5" s="85"/>
      <c r="L5" s="5"/>
    </row>
    <row r="6" spans="1:12" ht="14.4">
      <c r="A6" s="292" t="s">
        <v>640</v>
      </c>
      <c r="B6" s="292"/>
      <c r="C6" s="85"/>
      <c r="D6" s="85"/>
      <c r="L6" s="5"/>
    </row>
    <row r="7" spans="1:12" ht="14.4">
      <c r="A7" s="292" t="s">
        <v>342</v>
      </c>
      <c r="B7" s="83"/>
      <c r="C7" s="83"/>
      <c r="D7" s="85"/>
      <c r="L7" s="5"/>
    </row>
    <row r="8" spans="1:12" ht="14.4">
      <c r="A8" s="83"/>
      <c r="B8" s="293" t="s">
        <v>0</v>
      </c>
      <c r="C8" s="294" t="s">
        <v>285</v>
      </c>
      <c r="D8" s="295" t="s">
        <v>286</v>
      </c>
    </row>
    <row r="9" spans="1:12" ht="14.4">
      <c r="A9" s="83"/>
      <c r="B9" s="296" t="s">
        <v>35</v>
      </c>
      <c r="C9" s="297" t="s">
        <v>1</v>
      </c>
      <c r="D9" s="297"/>
    </row>
    <row r="10" spans="1:12" ht="39.75" customHeight="1">
      <c r="A10" s="83"/>
      <c r="B10" s="298" t="s">
        <v>287</v>
      </c>
      <c r="C10" s="299" t="s">
        <v>1</v>
      </c>
      <c r="D10" s="300">
        <f>SUM(TÉRREO!C171+'PAV 1'!C140+'PAV 2'!C129+'PAV 3'!C117+'PAV 4'!C102+'PAV 5'!C93+'PAV 6'!C89+'PAV7'!C109+'PAV 8'!C109+'PAV 9'!C85+'PAV 10'!C34+'PAV 11'!C20)</f>
        <v>7968.3899999999994</v>
      </c>
      <c r="E10" s="61"/>
    </row>
    <row r="11" spans="1:12" ht="39.75" customHeight="1">
      <c r="A11" s="83"/>
      <c r="B11" s="298" t="s">
        <v>288</v>
      </c>
      <c r="C11" s="299" t="s">
        <v>1</v>
      </c>
      <c r="D11" s="300">
        <f>SUM(TÉRREO!C172)</f>
        <v>115.98</v>
      </c>
      <c r="F11" s="73"/>
    </row>
    <row r="12" spans="1:12" ht="40.5" customHeight="1">
      <c r="A12" s="83"/>
      <c r="B12" s="298" t="s">
        <v>289</v>
      </c>
      <c r="C12" s="299" t="s">
        <v>1</v>
      </c>
      <c r="D12" s="300">
        <f>SUM(TÉRREO!C173)</f>
        <v>220.48999999999995</v>
      </c>
    </row>
    <row r="13" spans="1:12" ht="35.25" customHeight="1">
      <c r="A13" s="83"/>
      <c r="B13" s="298" t="s">
        <v>290</v>
      </c>
      <c r="C13" s="299" t="s">
        <v>1</v>
      </c>
      <c r="D13" s="300">
        <f>SUM(TÉRREO!C174+'PAV 1'!C143+'PAV 2'!C132+'PAV 3'!C120+'PAV 4'!C105+'PAV 5'!C96+'PAV 6'!C92+'PAV7'!C112+'PAV 8'!C112+'PAV 9'!C88)</f>
        <v>1095.55</v>
      </c>
    </row>
    <row r="14" spans="1:12" ht="28.5" customHeight="1">
      <c r="A14" s="83"/>
      <c r="B14" s="298" t="s">
        <v>291</v>
      </c>
      <c r="C14" s="299" t="s">
        <v>1</v>
      </c>
      <c r="D14" s="300">
        <f>SUM('PAV 2'!C133+'PAV7'!C113+'PAV 8'!C113+'PAV 9'!C89)</f>
        <v>690.77</v>
      </c>
      <c r="F14" s="74"/>
    </row>
    <row r="15" spans="1:12" ht="34.950000000000003" customHeight="1">
      <c r="A15" s="83"/>
      <c r="B15" s="298" t="s">
        <v>419</v>
      </c>
      <c r="C15" s="299" t="s">
        <v>1</v>
      </c>
      <c r="D15" s="300">
        <f>SUM(TÉRREO!C176+'PAV 2'!C134+'PAV 3'!C122+'PAV 4'!C107+'PAV 5'!C98+'PAV 6'!C94+'PAV7'!C114+'PAV 8'!C114+'PAV 9'!C90)</f>
        <v>240.22</v>
      </c>
      <c r="F15" s="73"/>
    </row>
    <row r="16" spans="1:12" ht="25.05" customHeight="1">
      <c r="A16" s="83"/>
      <c r="B16" s="298" t="s">
        <v>446</v>
      </c>
      <c r="C16" s="299" t="s">
        <v>1</v>
      </c>
      <c r="D16" s="300">
        <f>SUM(TÉRREO!C177+'PAV 1'!C146+'PAV 2'!C135+'PAV 3'!C123+'PAV 4'!C108+'PAV 5'!C99+'PAV 6'!C95+'PAV7'!C115+'PAV 8'!C115+'PAV 9'!C91+'PAV 10'!C40+'PAV 11'!C26)</f>
        <v>0</v>
      </c>
    </row>
    <row r="17" spans="1:12" ht="15.75" customHeight="1">
      <c r="A17" s="83"/>
      <c r="B17" s="298" t="s">
        <v>292</v>
      </c>
      <c r="C17" s="299" t="s">
        <v>1</v>
      </c>
      <c r="D17" s="300">
        <f>SUM(TÉRREO!C178+'PAV 1'!C147+'PAV 2'!C136+'PAV 3'!C124+'PAV 4'!C109+'PAV 5'!C100+'PAV 6'!C96+'PAV7'!C116+'PAV 8'!C116+'PAV 9'!C92+'PAV 10'!C41+'PAV 11'!C27)</f>
        <v>3299.6000000000004</v>
      </c>
    </row>
    <row r="18" spans="1:12" ht="16.5" customHeight="1">
      <c r="A18" s="83"/>
      <c r="B18" s="298" t="s">
        <v>293</v>
      </c>
      <c r="C18" s="299" t="s">
        <v>1</v>
      </c>
      <c r="D18" s="300">
        <f>SUM(TÉRREO!C179+'PAV 1'!C148+'PAV 2'!C137+'PAV 3'!C125+'PAV 4'!C110+'PAV 5'!C101+'PAV 6'!C97+'PAV7'!C117+'PAV 8'!C117+'PAV 9'!C93+'PAV 10'!C42+'PAV 11'!C28)</f>
        <v>0</v>
      </c>
    </row>
    <row r="19" spans="1:12" ht="36.75" customHeight="1">
      <c r="A19" s="83"/>
      <c r="B19" s="298" t="s">
        <v>294</v>
      </c>
      <c r="C19" s="299" t="s">
        <v>1</v>
      </c>
      <c r="D19" s="300">
        <f>SUM(TÉRREO!C180+'PAV 1'!C149+'PAV 2'!C138+'PAV 3'!C126+'PAV 4'!C111+'PAV 5'!C102+'PAV 6'!C98+'PAV7'!C118+'PAV 8'!C118+'PAV 9'!C94+'PAV 10'!C43+'PAV 11'!C29)</f>
        <v>0</v>
      </c>
      <c r="L19" s="5"/>
    </row>
    <row r="20" spans="1:12" ht="17.25" customHeight="1">
      <c r="A20" s="83"/>
      <c r="B20" s="298" t="s">
        <v>295</v>
      </c>
      <c r="C20" s="299" t="s">
        <v>1</v>
      </c>
      <c r="D20" s="300">
        <f>SUM('PAV 9'!C95)</f>
        <v>269.32</v>
      </c>
      <c r="L20" s="5"/>
    </row>
    <row r="21" spans="1:12" ht="34.950000000000003" customHeight="1">
      <c r="A21" s="83"/>
      <c r="B21" s="298" t="s">
        <v>447</v>
      </c>
      <c r="C21" s="85" t="s">
        <v>1</v>
      </c>
      <c r="D21" s="300">
        <f>SUM('PAV 1'!C151)</f>
        <v>20.32</v>
      </c>
      <c r="L21" s="5"/>
    </row>
    <row r="22" spans="1:12" ht="34.950000000000003" customHeight="1">
      <c r="A22" s="83"/>
      <c r="B22" s="298" t="s">
        <v>473</v>
      </c>
      <c r="C22" s="299" t="s">
        <v>1</v>
      </c>
      <c r="D22" s="300">
        <f>SUM('PAV 1'!C152)</f>
        <v>502.87</v>
      </c>
      <c r="L22" s="5"/>
    </row>
    <row r="23" spans="1:12" ht="25.05" customHeight="1">
      <c r="A23" s="83"/>
      <c r="B23" s="298" t="s">
        <v>533</v>
      </c>
      <c r="C23" s="299" t="s">
        <v>1</v>
      </c>
      <c r="D23" s="300">
        <f>'PAV 2'!C142+'PAV 3'!C130+'PAV 4'!C115+'PAV 5'!C106+'PAV 6'!C102-'PAV 1'!C153-'PAV 2'!C142-'PAV 3'!C130-'PAV 4'!C115-'PAV 5'!C106-'PAV 6'!C102</f>
        <v>0</v>
      </c>
      <c r="L23" s="5"/>
    </row>
    <row r="24" spans="1:12" ht="15" customHeight="1">
      <c r="A24" s="83"/>
      <c r="B24" s="298" t="s">
        <v>595</v>
      </c>
      <c r="C24" s="299" t="s">
        <v>1</v>
      </c>
      <c r="D24" s="300">
        <f>SUM('PAV7'!C123+'PAV 8'!C123)</f>
        <v>1046.9300000000003</v>
      </c>
      <c r="L24" s="5"/>
    </row>
    <row r="25" spans="1:12" ht="25.05" customHeight="1">
      <c r="A25" s="83"/>
      <c r="B25" s="298" t="s">
        <v>625</v>
      </c>
      <c r="C25" s="299" t="s">
        <v>1</v>
      </c>
      <c r="D25" s="300">
        <f>SUM('PAV 9'!C100)</f>
        <v>379.52</v>
      </c>
      <c r="L25" s="5"/>
    </row>
    <row r="26" spans="1:12" ht="14.25" customHeight="1">
      <c r="A26" s="83"/>
      <c r="B26" s="301" t="s">
        <v>372</v>
      </c>
      <c r="C26" s="317" t="s">
        <v>1</v>
      </c>
      <c r="D26" s="316">
        <f>SUM(D10:D25)</f>
        <v>15849.96</v>
      </c>
      <c r="L26" s="5"/>
    </row>
    <row r="27" spans="1:12" ht="12" customHeight="1">
      <c r="A27" s="83"/>
      <c r="B27" s="188"/>
      <c r="C27" s="83"/>
      <c r="D27" s="302"/>
      <c r="L27" s="5"/>
    </row>
    <row r="28" spans="1:12" ht="14.25" customHeight="1">
      <c r="A28" s="83"/>
      <c r="B28" s="188"/>
      <c r="C28" s="83"/>
      <c r="D28" s="85"/>
      <c r="L28" s="5"/>
    </row>
    <row r="29" spans="1:12" ht="16.5" customHeight="1">
      <c r="A29" s="83"/>
      <c r="B29" s="293" t="s">
        <v>0</v>
      </c>
      <c r="C29" s="294" t="s">
        <v>285</v>
      </c>
      <c r="D29" s="295" t="s">
        <v>286</v>
      </c>
      <c r="L29" s="5"/>
    </row>
    <row r="30" spans="1:12" ht="17.25" customHeight="1">
      <c r="A30" s="83"/>
      <c r="B30" s="296" t="s">
        <v>296</v>
      </c>
      <c r="C30" s="297" t="s">
        <v>1</v>
      </c>
      <c r="D30" s="297"/>
      <c r="L30" s="5"/>
    </row>
    <row r="31" spans="1:12" ht="50.25" customHeight="1">
      <c r="A31" s="83"/>
      <c r="B31" s="298" t="s">
        <v>297</v>
      </c>
      <c r="C31" s="299" t="s">
        <v>1</v>
      </c>
      <c r="D31" s="314">
        <f>SUM(TÉRREO!M171+'PAV 1'!N140+'PAV 2'!N129+'PAV 3'!N117+'PAV 4'!M102+'PAV 5'!N93+'PAV 6'!N89+'PAV7'!N109+'PAV 8'!N109+'PAV 9'!N85)</f>
        <v>18113.356499999998</v>
      </c>
      <c r="L31" s="5"/>
    </row>
    <row r="32" spans="1:12" ht="49.95" customHeight="1">
      <c r="A32" s="83"/>
      <c r="B32" s="298" t="s">
        <v>475</v>
      </c>
      <c r="C32" s="299" t="s">
        <v>1</v>
      </c>
      <c r="D32" s="314">
        <f>SUM(TÉRREO!M172+'PAV 1'!N141+'PAV 2'!N130+'PAV 3'!N118+'PAV 4'!M103+'PAV 5'!N94+'PAV 6'!N90+'PAV7'!N110+'PAV 8'!N110+'PAV 9'!N86)</f>
        <v>4797.7689999999993</v>
      </c>
      <c r="F32" s="72"/>
      <c r="L32" s="5"/>
    </row>
    <row r="33" spans="1:13" ht="34.950000000000003" customHeight="1">
      <c r="A33" s="83"/>
      <c r="B33" s="298" t="s">
        <v>449</v>
      </c>
      <c r="C33" s="299" t="s">
        <v>1</v>
      </c>
      <c r="D33" s="314">
        <f>SUM(TÉRREO!M173+'PAV 1'!N142+'PAV 2'!N131+'PAV 3'!N119+'PAV7'!N111+'PAV 8'!N111+'PAV 9'!N87)</f>
        <v>5282.4740000000002</v>
      </c>
      <c r="F33" s="73"/>
      <c r="L33" s="5"/>
    </row>
    <row r="34" spans="1:13" ht="34.950000000000003" customHeight="1">
      <c r="A34" s="83"/>
      <c r="B34" s="298" t="s">
        <v>420</v>
      </c>
      <c r="C34" s="299" t="s">
        <v>1</v>
      </c>
      <c r="D34" s="314">
        <f>SUM(TÉRREO!M174+'PAV 1'!N143+'PAV 2'!N132+'PAV 3'!N120+'PAV 4'!M105+'PAV 5'!N96+'PAV 6'!N92+'PAV 9'!N88)</f>
        <v>704.32400000000007</v>
      </c>
      <c r="F34" s="38"/>
      <c r="L34" s="5"/>
    </row>
    <row r="35" spans="1:13" ht="38.25" customHeight="1">
      <c r="A35" s="83"/>
      <c r="B35" s="298" t="s">
        <v>596</v>
      </c>
      <c r="C35" s="299" t="s">
        <v>1</v>
      </c>
      <c r="D35" s="314">
        <f>SUM('PAV7'!N113+'PAV 8'!N113+'PAV 9'!N89)</f>
        <v>2963.3429999999998</v>
      </c>
      <c r="F35" s="38"/>
      <c r="L35" s="5"/>
    </row>
    <row r="36" spans="1:13" ht="40.049999999999997" customHeight="1">
      <c r="A36" s="83"/>
      <c r="B36" s="298" t="s">
        <v>298</v>
      </c>
      <c r="C36" s="299" t="s">
        <v>1</v>
      </c>
      <c r="D36" s="314">
        <f>SUM('PAV 1'!N145+'PAV7'!N114+'PAV 8'!N114)</f>
        <v>358.42500000000001</v>
      </c>
      <c r="F36" s="38"/>
      <c r="L36" s="5"/>
    </row>
    <row r="37" spans="1:13" ht="64.5" customHeight="1">
      <c r="A37" s="83"/>
      <c r="B37" s="298" t="s">
        <v>299</v>
      </c>
      <c r="C37" s="299" t="s">
        <v>1</v>
      </c>
      <c r="D37" s="314">
        <f>TÉRREO!M177+'PAV 1'!N146+'PAV 2'!N135+'PAV 3'!N123+'PAV 4'!M108+'PAV 5'!N99+'PAV 6'!N95+'PAV7'!N115+'PAV 8'!N115+'PAV 9'!N91+'PAV 10'!O40</f>
        <v>0</v>
      </c>
      <c r="F37" s="38"/>
      <c r="L37" s="5"/>
    </row>
    <row r="38" spans="1:13" ht="39" customHeight="1">
      <c r="A38" s="83"/>
      <c r="B38" s="298" t="s">
        <v>300</v>
      </c>
      <c r="C38" s="299" t="s">
        <v>1</v>
      </c>
      <c r="D38" s="314">
        <f>SUM(TÉRREO!M178+'PAV 1'!N147+'PAV 2'!N136+'PAV 3'!N124+'PAV 6'!N96+'PAV7'!N116+'PAV 8'!N116+'PAV 9'!N92)</f>
        <v>3950.5326</v>
      </c>
      <c r="F38" s="38"/>
      <c r="L38" s="5"/>
    </row>
    <row r="39" spans="1:13" ht="38.25" customHeight="1">
      <c r="A39" s="83"/>
      <c r="B39" s="298" t="s">
        <v>301</v>
      </c>
      <c r="C39" s="299" t="s">
        <v>1</v>
      </c>
      <c r="D39" s="314">
        <f>TÉRREO!M179+'PAV 1'!N148+'PAV 2'!N137+'PAV 3'!N125+'PAV 4'!M110+'PAV 5'!N101+'PAV 6'!N97+'PAV7'!N117+'PAV 8'!N117+'PAV 9'!N93+'PAV 10'!O42</f>
        <v>0</v>
      </c>
      <c r="F39" s="38"/>
      <c r="L39" s="5"/>
    </row>
    <row r="40" spans="1:13" s="55" customFormat="1" ht="17.25" customHeight="1">
      <c r="A40" s="303"/>
      <c r="B40" s="304" t="s">
        <v>354</v>
      </c>
      <c r="C40" s="305" t="s">
        <v>1</v>
      </c>
      <c r="D40" s="315">
        <v>0</v>
      </c>
      <c r="E40" s="56"/>
      <c r="F40" s="57"/>
      <c r="G40" s="56"/>
      <c r="H40" s="56"/>
      <c r="I40" s="56"/>
      <c r="J40" s="56"/>
      <c r="K40" s="56"/>
      <c r="L40" s="58"/>
      <c r="M40" s="59"/>
    </row>
    <row r="41" spans="1:13" s="55" customFormat="1" ht="15.75" customHeight="1">
      <c r="A41" s="303"/>
      <c r="B41" s="304" t="s">
        <v>355</v>
      </c>
      <c r="C41" s="305" t="s">
        <v>1</v>
      </c>
      <c r="D41" s="315">
        <f>TÉRREO!M181+'PAV 1'!N150+'PAV 2'!N139+'PAV 3'!N127+'PAV 4'!M112+'PAV 5'!N103+'PAV 6'!N99+'PAV7'!N121+'PAV 8'!N119+'PAV 9'!N95+'PAV 10'!O43</f>
        <v>0</v>
      </c>
      <c r="E41" s="56"/>
      <c r="F41" s="57"/>
      <c r="G41" s="56"/>
      <c r="H41" s="56"/>
      <c r="I41" s="56"/>
      <c r="J41" s="56"/>
      <c r="K41" s="56"/>
      <c r="L41" s="58"/>
      <c r="M41" s="59"/>
    </row>
    <row r="42" spans="1:13" ht="17.25" customHeight="1">
      <c r="A42" s="83"/>
      <c r="B42" s="298" t="s">
        <v>302</v>
      </c>
      <c r="C42" s="299" t="s">
        <v>1</v>
      </c>
      <c r="D42" s="314">
        <f>TÉRREO!M182+'PAV 1'!N151+'PAV 2'!N140+'PAV 3'!N128+'PAV 4'!M113+'PAV 5'!N104+'PAV 6'!N100+'PAV7'!N122+'PAV 8'!N120+'PAV 9'!N96+'PAV 10'!O44</f>
        <v>0</v>
      </c>
      <c r="F42" s="38"/>
      <c r="L42" s="5"/>
    </row>
    <row r="43" spans="1:13" ht="27.75" customHeight="1">
      <c r="A43" s="83"/>
      <c r="B43" s="298" t="s">
        <v>398</v>
      </c>
      <c r="C43" s="299" t="s">
        <v>1</v>
      </c>
      <c r="D43" s="314">
        <f>SUM(TÉRREO!M183)</f>
        <v>49.522000000000006</v>
      </c>
      <c r="F43" s="38"/>
      <c r="L43" s="5"/>
    </row>
    <row r="44" spans="1:13" ht="39" customHeight="1">
      <c r="A44" s="83"/>
      <c r="B44" s="298" t="s">
        <v>303</v>
      </c>
      <c r="C44" s="299" t="s">
        <v>1</v>
      </c>
      <c r="D44" s="314">
        <f>TÉRREO!M184+'PAV 1'!N153+'PAV 2'!N142+'PAV 3'!N130+'PAV 4'!M115+'PAV 5'!N106+'PAV 6'!N102+'PAV7'!N124+'PAV 8'!N122+'PAV 9'!N98+'PAV 10'!O46</f>
        <v>1016.7689999999999</v>
      </c>
      <c r="F44" s="38"/>
      <c r="L44" s="5"/>
    </row>
    <row r="45" spans="1:13" ht="40.5" customHeight="1">
      <c r="A45" s="83"/>
      <c r="B45" s="298" t="s">
        <v>626</v>
      </c>
      <c r="C45" s="299" t="s">
        <v>1</v>
      </c>
      <c r="D45" s="314">
        <v>0</v>
      </c>
      <c r="F45" s="73"/>
      <c r="G45" s="291"/>
      <c r="H45" s="290"/>
      <c r="L45" s="5"/>
    </row>
    <row r="46" spans="1:13" ht="51.75" customHeight="1">
      <c r="A46" s="83"/>
      <c r="B46" s="298" t="s">
        <v>304</v>
      </c>
      <c r="C46" s="299" t="s">
        <v>1</v>
      </c>
      <c r="D46" s="315">
        <f>SUM('PAV 10'!O48)</f>
        <v>218.34400000000002</v>
      </c>
      <c r="E46" s="322"/>
      <c r="F46" s="57"/>
      <c r="L46" s="5"/>
    </row>
    <row r="47" spans="1:13" ht="49.95" customHeight="1">
      <c r="A47" s="83"/>
      <c r="B47" s="306" t="s">
        <v>633</v>
      </c>
      <c r="C47" s="118" t="s">
        <v>1</v>
      </c>
      <c r="D47" s="314">
        <f>SUM('PAV 10'!O49+'PAV 11'!N36)</f>
        <v>1527.4120000000003</v>
      </c>
      <c r="F47" s="73"/>
      <c r="G47" s="291"/>
      <c r="H47" s="290"/>
      <c r="L47" s="5"/>
    </row>
    <row r="48" spans="1:13" ht="34.950000000000003" customHeight="1">
      <c r="A48" s="83"/>
      <c r="B48" s="298" t="s">
        <v>305</v>
      </c>
      <c r="C48" s="299" t="s">
        <v>1</v>
      </c>
      <c r="D48" s="314">
        <f>TÉRREO!M188</f>
        <v>614.75700000000006</v>
      </c>
      <c r="F48" s="38"/>
      <c r="L48" s="5"/>
    </row>
    <row r="49" spans="1:12" ht="51.75" customHeight="1">
      <c r="A49" s="83"/>
      <c r="B49" s="298" t="s">
        <v>445</v>
      </c>
      <c r="C49" s="299" t="s">
        <v>1</v>
      </c>
      <c r="D49" s="314">
        <f>'PAV 1'!N158+'PAV 3'!N135</f>
        <v>723.51949999999999</v>
      </c>
      <c r="F49" s="38"/>
      <c r="L49" s="5"/>
    </row>
    <row r="50" spans="1:12" ht="18.75" customHeight="1">
      <c r="A50" s="83"/>
      <c r="B50" s="298" t="s">
        <v>343</v>
      </c>
      <c r="C50" s="299" t="s">
        <v>1</v>
      </c>
      <c r="D50" s="314">
        <f>TÉRREO!M190+'PAV 1'!N159+'PAV 2'!N148+'PAV 3'!N136+'PAV 4'!M121+'PAV 5'!N112+'PAV 6'!N108+'PAV7'!N130+'PAV 8'!N128+'PAV 9'!N104+'PAV 10'!O52</f>
        <v>99.724999999999994</v>
      </c>
      <c r="F50" s="38"/>
      <c r="L50" s="5"/>
    </row>
    <row r="51" spans="1:12" ht="25.05" customHeight="1">
      <c r="A51" s="83"/>
      <c r="B51" s="298" t="s">
        <v>529</v>
      </c>
      <c r="C51" s="299" t="s">
        <v>1</v>
      </c>
      <c r="D51" s="314">
        <f>SUM('PAV 4'!M122+'PAV 5'!N113+'PAV 6'!N109+'PAV7'!N129+'PAV 8'!N129)</f>
        <v>1270.1999999999998</v>
      </c>
      <c r="F51" s="38"/>
      <c r="L51" s="5"/>
    </row>
    <row r="52" spans="1:12" ht="15" customHeight="1">
      <c r="A52" s="83"/>
      <c r="B52" s="298" t="s">
        <v>382</v>
      </c>
      <c r="C52" s="299" t="s">
        <v>1</v>
      </c>
      <c r="D52" s="314">
        <f>SUM(D31:D51)</f>
        <v>41690.472599999994</v>
      </c>
      <c r="F52" s="38"/>
      <c r="L52" s="5"/>
    </row>
    <row r="53" spans="1:12" ht="15" customHeight="1">
      <c r="A53" s="83"/>
      <c r="B53" s="298" t="s">
        <v>383</v>
      </c>
      <c r="C53" s="299" t="s">
        <v>1</v>
      </c>
      <c r="D53" s="314">
        <f>SUM(D31,D33,D35,D38,D43,D44,D47,D49,D50,D51)</f>
        <v>34996.853599999995</v>
      </c>
      <c r="F53" s="38"/>
      <c r="L53" s="5"/>
    </row>
    <row r="54" spans="1:12" ht="15" customHeight="1">
      <c r="A54" s="307"/>
      <c r="B54" s="298" t="s">
        <v>384</v>
      </c>
      <c r="C54" s="299" t="s">
        <v>1</v>
      </c>
      <c r="D54" s="314">
        <f>D52-D53</f>
        <v>6693.6189999999988</v>
      </c>
      <c r="F54" s="38"/>
      <c r="L54" s="5"/>
    </row>
    <row r="55" spans="1:12" ht="13.5" customHeight="1">
      <c r="A55" s="307"/>
      <c r="B55" s="83"/>
      <c r="C55" s="83"/>
      <c r="D55" s="308"/>
      <c r="F55" s="38"/>
      <c r="L55" s="5"/>
    </row>
    <row r="56" spans="1:12" ht="18" customHeight="1">
      <c r="A56" s="83"/>
      <c r="B56" s="297" t="s">
        <v>0</v>
      </c>
      <c r="C56" s="297" t="s">
        <v>285</v>
      </c>
      <c r="D56" s="297" t="s">
        <v>286</v>
      </c>
      <c r="F56" s="38"/>
      <c r="L56" s="5"/>
    </row>
    <row r="57" spans="1:12" ht="16.5" customHeight="1">
      <c r="A57" s="83"/>
      <c r="B57" s="309" t="s">
        <v>37</v>
      </c>
      <c r="C57" s="297" t="s">
        <v>1</v>
      </c>
      <c r="D57" s="297"/>
      <c r="F57" s="38"/>
      <c r="L57" s="5"/>
    </row>
    <row r="58" spans="1:12" ht="24.75" customHeight="1">
      <c r="A58" s="83"/>
      <c r="B58" s="298" t="s">
        <v>306</v>
      </c>
      <c r="C58" s="299" t="s">
        <v>1</v>
      </c>
      <c r="D58" s="314">
        <f>SUM(TÉRREO!AB171+'PAV 1'!Y140+'PAV 2'!Z129+'PAV 3'!Y117+'PAV 4'!Z103+'PAV 5'!Y93+'PAV 6'!Z89+'PAV7'!X109+'PAV 8'!AA109+'PAV 9'!AD85)</f>
        <v>8351.26</v>
      </c>
      <c r="F58" s="38"/>
      <c r="L58" s="5"/>
    </row>
    <row r="59" spans="1:12" ht="37.5" customHeight="1">
      <c r="A59" s="83"/>
      <c r="B59" s="298" t="s">
        <v>307</v>
      </c>
      <c r="C59" s="299" t="s">
        <v>1</v>
      </c>
      <c r="D59" s="314">
        <f>SUM(TÉRREO!AB172+'PAV 1'!Y141+'PAV 2'!Z130+'PAV 3'!Y118+'PAV 4'!Z104+'PAV 5'!Y94+'PAV 6'!Z90+'PAV7'!X110+'PAV 8'!AA110+'PAV 9'!AD86)</f>
        <v>1429.97</v>
      </c>
      <c r="F59" s="38"/>
      <c r="L59" s="5"/>
    </row>
    <row r="60" spans="1:12" ht="26.25" customHeight="1">
      <c r="A60" s="83"/>
      <c r="B60" s="298" t="s">
        <v>308</v>
      </c>
      <c r="C60" s="299" t="s">
        <v>1</v>
      </c>
      <c r="D60" s="314">
        <f>SUM(TÉRREO!AB173+'PAV 1'!Y142+'PAV 2'!Z131+'PAV 3'!Y119+'PAV 4'!Z105+'PAV 5'!Y95+'PAV 6'!Z91+'PAV7'!X111+'PAV 8'!AA111+'PAV 9'!AD87+'PAV 10'!Y36+'PAV 11'!Y22)</f>
        <v>1147.8600000000001</v>
      </c>
      <c r="F60" s="38"/>
      <c r="L60" s="5"/>
    </row>
    <row r="61" spans="1:12" ht="25.05" customHeight="1">
      <c r="A61" s="83"/>
      <c r="B61" s="298" t="s">
        <v>309</v>
      </c>
      <c r="C61" s="299" t="s">
        <v>1</v>
      </c>
      <c r="D61" s="314">
        <f>SUM(TÉRREO!AB174+'PAV 1'!Y143+'PAV 2'!Z132+'PAV 3'!Y120+'PAV 4'!Z106+'PAV 5'!Y96+'PAV 6'!Z92+'PAV7'!X112+'PAV 8'!AA112+'PAV 9'!AD88+'PAV 10'!Y37)</f>
        <v>1995.84</v>
      </c>
      <c r="F61" s="38"/>
      <c r="L61" s="5"/>
    </row>
    <row r="62" spans="1:12" ht="16.5" customHeight="1">
      <c r="A62" s="83"/>
      <c r="B62" s="298" t="s">
        <v>310</v>
      </c>
      <c r="C62" s="299" t="s">
        <v>1</v>
      </c>
      <c r="D62" s="314">
        <f>TÉRREO!AB175+'PAV 1'!Y144+'PAV 2'!Z133+'PAV 3'!Y121+'PAV 4'!Z107+'PAV 5'!Y97+'PAV 6'!Z93+'PAV7'!X113+'PAV 8'!AA113+'PAV 9'!AD89+'PAV 10'!Y38</f>
        <v>40.659999999999997</v>
      </c>
      <c r="F62" s="38"/>
      <c r="L62" s="5"/>
    </row>
    <row r="63" spans="1:12" ht="25.05" customHeight="1">
      <c r="A63" s="83"/>
      <c r="B63" s="298" t="s">
        <v>381</v>
      </c>
      <c r="C63" s="299" t="s">
        <v>1</v>
      </c>
      <c r="D63" s="314">
        <f>SUM('PAV 1'!Y147+'PAV 2'!Z136+'PAV 3'!Y124+'PAV 6'!Z96+'PAV7'!X116+'PAV 8'!AA116+'PAV 9'!AD92)</f>
        <v>596.03</v>
      </c>
      <c r="F63" s="38"/>
      <c r="L63" s="5"/>
    </row>
    <row r="64" spans="1:12" ht="39" customHeight="1">
      <c r="A64" s="83"/>
      <c r="B64" s="298" t="s">
        <v>311</v>
      </c>
      <c r="C64" s="299" t="s">
        <v>1</v>
      </c>
      <c r="D64" s="314">
        <f>SUM(TÉRREO!AB179)</f>
        <v>267.35000000000002</v>
      </c>
    </row>
    <row r="65" spans="1:15" ht="25.05" customHeight="1">
      <c r="A65" s="83"/>
      <c r="B65" s="298" t="s">
        <v>597</v>
      </c>
      <c r="C65" s="299" t="s">
        <v>1</v>
      </c>
      <c r="D65" s="314">
        <f>SUM('PAV7'!X119+'PAV 8'!AA119+'PAV 9'!AD95)</f>
        <v>1163.58</v>
      </c>
    </row>
    <row r="66" spans="1:15" ht="15" customHeight="1">
      <c r="A66" s="83"/>
      <c r="B66" s="222" t="s">
        <v>634</v>
      </c>
      <c r="C66" s="85" t="s">
        <v>1</v>
      </c>
      <c r="D66" s="314">
        <f>SUM('PAV 10'!Y45)</f>
        <v>905.49</v>
      </c>
    </row>
    <row r="67" spans="1:15" ht="14.4">
      <c r="A67" s="83"/>
      <c r="B67" s="297" t="s">
        <v>0</v>
      </c>
      <c r="C67" s="297" t="s">
        <v>285</v>
      </c>
      <c r="D67" s="297" t="s">
        <v>286</v>
      </c>
    </row>
    <row r="68" spans="1:15" ht="14.4">
      <c r="A68" s="227"/>
      <c r="B68" s="309" t="s">
        <v>33</v>
      </c>
      <c r="C68" s="297" t="s">
        <v>371</v>
      </c>
      <c r="D68" s="297"/>
    </row>
    <row r="69" spans="1:15" ht="39.75" customHeight="1">
      <c r="A69" s="227"/>
      <c r="B69" s="209" t="s">
        <v>367</v>
      </c>
      <c r="C69" s="118" t="s">
        <v>371</v>
      </c>
      <c r="D69" s="314">
        <f>SUM(TÉRREO!F194+'PAV 1'!F163+'PAV 2'!F152+'PAV 3'!F140+'PAV 4'!F126+'PAV 5'!F121+'PAV 6'!F116+'PAV7'!F140+'PAV 8'!F136+'PAV 9'!F110+'PAV 10'!F56)</f>
        <v>4138.71</v>
      </c>
      <c r="F69" s="188" t="s">
        <v>477</v>
      </c>
      <c r="G69" s="80"/>
      <c r="H69" s="80"/>
      <c r="I69" s="210"/>
    </row>
    <row r="70" spans="1:15" ht="34.799999999999997" customHeight="1">
      <c r="A70" s="227"/>
      <c r="B70" s="306" t="s">
        <v>368</v>
      </c>
      <c r="C70" s="118" t="s">
        <v>371</v>
      </c>
      <c r="D70" s="314">
        <f>SUM(TÉRREO!F195+'PAV 1'!F164+'PAV 2'!F153+'PAV 3'!F141+'PAV 4'!F127+'PAV 5'!F122+'PAV 6'!F117+'PAV7'!F141+'PAV 8'!F137+'PAV 9'!F111+'PAV 10'!F57)</f>
        <v>1822.7400000000002</v>
      </c>
      <c r="F70" s="188" t="s">
        <v>476</v>
      </c>
      <c r="G70" s="80"/>
      <c r="H70" s="80"/>
      <c r="I70" s="210"/>
    </row>
    <row r="71" spans="1:15" ht="19.8" customHeight="1">
      <c r="A71" s="133"/>
      <c r="B71" s="310" t="s">
        <v>369</v>
      </c>
      <c r="C71" s="118" t="s">
        <v>371</v>
      </c>
      <c r="D71" s="314">
        <f>SUM(TÉRREO!F196+'PAV 1'!F165+'PAV 2'!F154+'PAV 3'!F142+'PAV 4'!F128+'PAV 5'!F123+'PAV 6'!F118+'PAV7'!F142+'PAV 8'!F138+'PAV 9'!F112+'PAV 10'!F58)</f>
        <v>1558.5300000000002</v>
      </c>
      <c r="E71" s="26"/>
      <c r="F71" s="188" t="s">
        <v>478</v>
      </c>
      <c r="G71" s="188"/>
      <c r="H71" s="80"/>
      <c r="I71" s="210"/>
      <c r="J71" s="26"/>
      <c r="K71" s="26"/>
      <c r="L71" s="2"/>
      <c r="M71" s="51"/>
      <c r="O71" s="52"/>
    </row>
    <row r="72" spans="1:15" ht="25.05" customHeight="1">
      <c r="A72" s="133"/>
      <c r="B72" s="310" t="s">
        <v>370</v>
      </c>
      <c r="C72" s="118" t="s">
        <v>371</v>
      </c>
      <c r="D72" s="314">
        <f>SUM(TÉRREO!F197+'PAV 1'!F166+'PAV 2'!F155+'PAV 3'!F143+'PAV 4'!F129+'PAV 5'!F124+'PAV 6'!F119+'PAV7'!F143+'PAV 8'!F139+'PAV 9'!F113+'PAV 10'!F59)</f>
        <v>1888.2300000000002</v>
      </c>
      <c r="E72" s="26"/>
      <c r="F72" s="188" t="s">
        <v>479</v>
      </c>
      <c r="G72" s="80"/>
      <c r="H72" s="80"/>
      <c r="I72" s="210"/>
      <c r="J72" s="26"/>
      <c r="K72" s="26"/>
      <c r="L72" s="2"/>
      <c r="M72" s="51"/>
      <c r="O72" s="52"/>
    </row>
    <row r="73" spans="1:15" ht="34.950000000000003" customHeight="1">
      <c r="A73" s="133"/>
      <c r="B73" s="310" t="s">
        <v>531</v>
      </c>
      <c r="C73" s="118" t="s">
        <v>371</v>
      </c>
      <c r="D73" s="314">
        <f>SUM('PAV 1'!F167+'PAV 2'!F156+'PAV 3'!F144+'PAV 4'!F130+'PAV 5'!F125+'PAV 6'!F120+'PAV7'!F144+'PAV 8'!F140+'PAV 9'!F114)</f>
        <v>3071.6699999999996</v>
      </c>
      <c r="E73" s="26"/>
      <c r="F73" s="188" t="s">
        <v>641</v>
      </c>
      <c r="G73" s="26"/>
      <c r="H73" s="26"/>
      <c r="I73" s="26"/>
      <c r="J73" s="26"/>
      <c r="K73" s="26"/>
      <c r="L73" s="2"/>
      <c r="M73" s="51"/>
      <c r="O73" s="52"/>
    </row>
    <row r="74" spans="1:15" ht="25.05" customHeight="1">
      <c r="A74" s="133"/>
      <c r="B74" s="310" t="s">
        <v>598</v>
      </c>
      <c r="C74" s="311" t="s">
        <v>371</v>
      </c>
      <c r="D74" s="314">
        <f>SUM('PAV7'!F145+'PAV 8'!F141+'PAV 9'!F115)</f>
        <v>1035.4499999999998</v>
      </c>
      <c r="E74" s="26"/>
      <c r="F74" s="188" t="s">
        <v>642</v>
      </c>
      <c r="G74" s="26"/>
      <c r="H74" s="26"/>
      <c r="I74" s="26"/>
      <c r="J74" s="26"/>
      <c r="K74" s="26"/>
      <c r="L74" s="2"/>
      <c r="M74" s="51"/>
      <c r="O74" s="52"/>
    </row>
    <row r="75" spans="1:15" ht="14.4">
      <c r="A75" s="133"/>
      <c r="B75" s="297" t="s">
        <v>0</v>
      </c>
      <c r="C75" s="297" t="s">
        <v>285</v>
      </c>
      <c r="D75" s="297" t="s">
        <v>286</v>
      </c>
      <c r="E75" s="26"/>
      <c r="F75" s="37"/>
      <c r="G75" s="26"/>
      <c r="H75" s="26"/>
      <c r="I75" s="26"/>
      <c r="J75" s="26"/>
      <c r="K75" s="26"/>
      <c r="L75" s="2"/>
      <c r="M75" s="51"/>
      <c r="O75" s="52"/>
    </row>
    <row r="76" spans="1:15" ht="14.4">
      <c r="A76" s="133"/>
      <c r="B76" s="309" t="s">
        <v>34</v>
      </c>
      <c r="C76" s="297" t="s">
        <v>371</v>
      </c>
      <c r="D76" s="297"/>
      <c r="E76" s="26"/>
      <c r="F76" s="37"/>
      <c r="G76" s="26"/>
      <c r="H76" s="26"/>
      <c r="I76" s="26"/>
      <c r="J76" s="26"/>
      <c r="K76" s="26"/>
      <c r="L76" s="2"/>
      <c r="M76" s="51"/>
      <c r="O76" s="52"/>
    </row>
    <row r="77" spans="1:15" ht="14.4">
      <c r="A77" s="133"/>
      <c r="B77" s="312" t="s">
        <v>363</v>
      </c>
      <c r="C77" s="94" t="s">
        <v>371</v>
      </c>
      <c r="D77" s="95">
        <f>SUM(TÉRREO!AN172+'PAV 1'!AI141+'PAV 2'!AI130+'PAV 3'!AI118+'PAV 4'!AI104+'PAV 5'!AI94+'PAV 6'!AI90+'PAV7'!AI110+'PAV 8'!AI110+'PAV 9'!AL86)</f>
        <v>10662.29</v>
      </c>
      <c r="E77" s="26"/>
      <c r="F77" s="37"/>
      <c r="G77" s="26"/>
      <c r="H77" s="26"/>
      <c r="I77" s="26"/>
      <c r="J77" s="26"/>
      <c r="K77" s="26"/>
      <c r="L77" s="2"/>
      <c r="M77" s="51"/>
      <c r="O77" s="52"/>
    </row>
    <row r="78" spans="1:15" ht="14.4">
      <c r="A78" s="133"/>
      <c r="B78" s="170"/>
      <c r="C78" s="170"/>
      <c r="D78" s="87"/>
      <c r="E78" s="26"/>
      <c r="F78" s="37"/>
      <c r="G78" s="26"/>
      <c r="H78" s="26"/>
      <c r="I78" s="26"/>
      <c r="J78" s="26"/>
      <c r="K78" s="26"/>
      <c r="L78" s="2"/>
      <c r="M78" s="51"/>
      <c r="O78" s="52"/>
    </row>
    <row r="79" spans="1:15" ht="14.4">
      <c r="A79" s="133"/>
      <c r="B79" s="170"/>
      <c r="C79" s="170"/>
      <c r="D79" s="87"/>
      <c r="E79" s="26"/>
      <c r="F79" s="37"/>
      <c r="G79" s="26"/>
      <c r="H79" s="26"/>
      <c r="I79" s="26"/>
      <c r="J79" s="26"/>
      <c r="K79" s="26"/>
      <c r="L79" s="2"/>
      <c r="M79" s="51"/>
      <c r="O79" s="52"/>
    </row>
    <row r="80" spans="1:15" ht="14.4">
      <c r="A80" s="133"/>
      <c r="B80" s="170"/>
      <c r="C80" s="170"/>
      <c r="D80" s="87"/>
      <c r="E80" s="26"/>
      <c r="F80" s="37"/>
      <c r="G80" s="26"/>
      <c r="H80" s="26"/>
      <c r="I80" s="26"/>
      <c r="J80" s="26"/>
      <c r="K80" s="26"/>
      <c r="L80" s="2"/>
      <c r="M80" s="51"/>
      <c r="O80" s="52"/>
    </row>
    <row r="81" spans="1:17" ht="14.4">
      <c r="A81" s="133"/>
      <c r="B81" s="170"/>
      <c r="C81" s="170"/>
      <c r="D81" s="87"/>
      <c r="E81" s="26"/>
      <c r="F81" s="37"/>
      <c r="G81" s="26"/>
      <c r="H81" s="26"/>
      <c r="I81" s="26"/>
      <c r="J81" s="26"/>
      <c r="K81" s="26"/>
      <c r="L81" s="2"/>
      <c r="M81" s="51"/>
      <c r="O81" s="52"/>
    </row>
    <row r="82" spans="1:17" ht="14.4">
      <c r="A82" s="133"/>
      <c r="B82" s="170"/>
      <c r="C82" s="170"/>
      <c r="D82" s="85"/>
      <c r="G82" s="26"/>
      <c r="I82" s="26"/>
      <c r="K82" s="26"/>
      <c r="M82" s="51"/>
    </row>
    <row r="83" spans="1:17" ht="14.4">
      <c r="A83" s="133"/>
      <c r="B83" s="170"/>
      <c r="C83" s="170"/>
      <c r="D83" s="85"/>
      <c r="I83" s="26"/>
      <c r="K83" s="26"/>
      <c r="M83" s="51"/>
    </row>
    <row r="84" spans="1:17" ht="14.4">
      <c r="A84" s="133"/>
      <c r="B84" s="313"/>
      <c r="C84" s="313"/>
      <c r="D84" s="230"/>
      <c r="E84" s="53"/>
      <c r="F84" s="54"/>
      <c r="G84" s="53"/>
      <c r="H84" s="53"/>
      <c r="I84" s="53"/>
      <c r="J84" s="53"/>
      <c r="K84" s="53"/>
      <c r="L84" s="1"/>
    </row>
    <row r="85" spans="1:17" ht="14.4">
      <c r="A85" s="83"/>
      <c r="B85" s="83"/>
      <c r="C85" s="83"/>
      <c r="D85" s="85"/>
    </row>
    <row r="86" spans="1:17" ht="14.4">
      <c r="A86" s="83"/>
      <c r="B86" s="83"/>
      <c r="C86" s="83"/>
      <c r="D86" s="85"/>
    </row>
    <row r="87" spans="1:17" ht="14.4">
      <c r="A87" s="83"/>
      <c r="B87" s="83"/>
      <c r="C87" s="83"/>
      <c r="D87" s="85"/>
    </row>
    <row r="88" spans="1:17" ht="14.4">
      <c r="A88" s="83"/>
      <c r="B88" s="83"/>
      <c r="C88" s="83"/>
      <c r="D88" s="85"/>
    </row>
    <row r="89" spans="1:17" ht="14.4">
      <c r="A89" s="83"/>
      <c r="B89" s="83"/>
      <c r="C89" s="83"/>
      <c r="D89" s="85"/>
    </row>
    <row r="90" spans="1:17" ht="14.4">
      <c r="A90" s="227"/>
      <c r="B90" s="83"/>
      <c r="C90" s="83"/>
      <c r="D90" s="85"/>
      <c r="O90" s="52"/>
    </row>
    <row r="91" spans="1:17" ht="14.4">
      <c r="A91" s="80"/>
      <c r="B91" s="170"/>
      <c r="C91" s="170"/>
      <c r="D91" s="87"/>
      <c r="E91" s="26"/>
      <c r="F91" s="37"/>
      <c r="G91" s="26"/>
      <c r="H91" s="26"/>
      <c r="I91" s="26"/>
      <c r="J91" s="26"/>
      <c r="K91" s="26"/>
      <c r="L91" s="2"/>
      <c r="M91" s="51"/>
      <c r="O91" s="52"/>
    </row>
    <row r="92" spans="1:17" ht="14.4">
      <c r="A92" s="80"/>
      <c r="B92" s="170"/>
      <c r="C92" s="170"/>
      <c r="D92" s="87"/>
      <c r="E92" s="26"/>
      <c r="F92" s="37"/>
      <c r="G92" s="26"/>
      <c r="H92" s="26"/>
      <c r="I92" s="26"/>
      <c r="J92" s="26"/>
      <c r="K92" s="26"/>
      <c r="L92" s="2"/>
      <c r="M92" s="51"/>
      <c r="O92" s="52"/>
      <c r="P92" s="1"/>
      <c r="Q92" s="1"/>
    </row>
    <row r="93" spans="1:17" ht="14.4">
      <c r="A93" s="80"/>
      <c r="B93" s="170"/>
      <c r="C93" s="170"/>
      <c r="D93" s="87"/>
      <c r="E93" s="26"/>
      <c r="F93" s="37"/>
      <c r="G93" s="26"/>
      <c r="H93" s="26"/>
      <c r="I93" s="26"/>
      <c r="J93" s="26"/>
      <c r="K93" s="26"/>
      <c r="L93" s="2"/>
      <c r="M93" s="51"/>
      <c r="O93" s="52"/>
    </row>
    <row r="94" spans="1:17" ht="14.4">
      <c r="A94" s="80"/>
      <c r="B94" s="170"/>
      <c r="C94" s="170"/>
      <c r="D94" s="87"/>
      <c r="E94" s="26"/>
      <c r="F94" s="37"/>
      <c r="G94" s="26"/>
      <c r="H94" s="26"/>
      <c r="I94" s="26"/>
      <c r="J94" s="26"/>
      <c r="K94" s="26"/>
      <c r="L94" s="2"/>
      <c r="M94" s="51"/>
      <c r="O94" s="52"/>
    </row>
    <row r="95" spans="1:17" ht="14.4">
      <c r="A95" s="80"/>
      <c r="B95" s="170"/>
      <c r="C95" s="170"/>
      <c r="D95" s="87"/>
      <c r="E95" s="26"/>
      <c r="F95" s="37"/>
      <c r="G95" s="26"/>
      <c r="H95" s="26"/>
      <c r="I95" s="26"/>
      <c r="J95" s="26"/>
      <c r="K95" s="26"/>
      <c r="L95" s="2"/>
      <c r="M95" s="51"/>
      <c r="O95" s="52"/>
    </row>
    <row r="96" spans="1:17" ht="14.4">
      <c r="A96" s="80"/>
      <c r="B96" s="170"/>
      <c r="C96" s="170"/>
      <c r="D96" s="87"/>
      <c r="E96" s="26"/>
      <c r="F96" s="37"/>
      <c r="G96" s="26"/>
      <c r="H96" s="26"/>
      <c r="I96" s="26"/>
      <c r="J96" s="26"/>
      <c r="K96" s="26"/>
      <c r="L96" s="2"/>
      <c r="M96" s="51"/>
      <c r="O96" s="52"/>
    </row>
    <row r="97" spans="1:17" ht="14.4">
      <c r="A97" s="80"/>
      <c r="B97" s="170"/>
      <c r="C97" s="170"/>
      <c r="D97" s="87"/>
      <c r="E97" s="26"/>
      <c r="F97" s="37"/>
      <c r="G97" s="26"/>
      <c r="H97" s="26"/>
      <c r="I97" s="26"/>
      <c r="J97" s="26"/>
      <c r="K97" s="26"/>
      <c r="L97" s="2"/>
      <c r="M97" s="51"/>
      <c r="O97" s="52"/>
      <c r="P97" s="1"/>
      <c r="Q97" s="1"/>
    </row>
    <row r="98" spans="1:17" ht="43.5" customHeight="1">
      <c r="A98" s="80"/>
      <c r="B98" s="170"/>
      <c r="C98" s="170"/>
      <c r="D98" s="87"/>
      <c r="E98" s="26"/>
      <c r="F98" s="37"/>
      <c r="G98" s="26"/>
      <c r="H98" s="26"/>
      <c r="I98" s="26"/>
      <c r="J98" s="26"/>
      <c r="K98" s="26"/>
      <c r="L98" s="2"/>
      <c r="M98" s="51"/>
      <c r="O98" s="52"/>
    </row>
    <row r="99" spans="1:17" ht="26.1" customHeight="1">
      <c r="A99" s="80"/>
      <c r="B99" s="170"/>
      <c r="C99" s="170"/>
      <c r="D99" s="87"/>
      <c r="E99" s="26"/>
      <c r="F99" s="37"/>
      <c r="G99" s="26"/>
      <c r="H99" s="26"/>
      <c r="I99" s="26"/>
      <c r="J99" s="26"/>
      <c r="K99" s="26"/>
      <c r="L99" s="2"/>
      <c r="M99" s="51"/>
      <c r="O99" s="55"/>
    </row>
    <row r="100" spans="1:17" ht="59.25" customHeight="1">
      <c r="A100" s="80"/>
      <c r="B100" s="170"/>
      <c r="C100" s="170"/>
      <c r="D100" s="87"/>
      <c r="E100" s="26"/>
      <c r="F100" s="37"/>
      <c r="G100" s="26"/>
      <c r="H100" s="26"/>
      <c r="I100" s="26"/>
      <c r="J100" s="26"/>
      <c r="K100" s="26"/>
      <c r="L100" s="2"/>
      <c r="M100" s="51"/>
      <c r="O100" s="52"/>
      <c r="Q100" s="1"/>
    </row>
    <row r="101" spans="1:17" ht="51.45" customHeight="1">
      <c r="A101" s="80"/>
      <c r="B101" s="170"/>
      <c r="C101" s="170"/>
      <c r="D101" s="87"/>
      <c r="E101" s="26"/>
      <c r="F101" s="37"/>
      <c r="G101" s="26"/>
      <c r="H101" s="26"/>
      <c r="I101" s="26"/>
      <c r="J101" s="26"/>
      <c r="K101" s="26"/>
      <c r="L101" s="2"/>
      <c r="M101" s="51"/>
      <c r="O101" s="52"/>
    </row>
    <row r="102" spans="1:17" ht="36.75" customHeight="1">
      <c r="A102" s="80"/>
      <c r="B102" s="170"/>
      <c r="C102" s="170"/>
      <c r="D102" s="87"/>
      <c r="E102" s="26"/>
      <c r="F102" s="37"/>
      <c r="G102" s="26"/>
      <c r="H102" s="26"/>
      <c r="I102" s="26"/>
      <c r="J102" s="26"/>
      <c r="K102" s="26"/>
      <c r="L102" s="2"/>
      <c r="M102" s="51"/>
      <c r="O102" s="52"/>
    </row>
    <row r="103" spans="1:17" ht="41.7" customHeight="1">
      <c r="A103" s="80"/>
      <c r="B103" s="170"/>
      <c r="C103" s="170"/>
      <c r="D103" s="87"/>
      <c r="E103" s="26"/>
      <c r="F103" s="37"/>
      <c r="G103" s="26"/>
      <c r="H103" s="26"/>
      <c r="I103" s="26"/>
      <c r="J103" s="26"/>
      <c r="K103" s="26"/>
      <c r="L103" s="2"/>
      <c r="M103" s="51"/>
      <c r="O103" s="52"/>
    </row>
    <row r="104" spans="1:17" ht="45.75" customHeight="1">
      <c r="A104" s="80"/>
      <c r="B104" s="170"/>
      <c r="C104" s="170"/>
      <c r="D104" s="87"/>
      <c r="E104" s="26"/>
      <c r="F104" s="37"/>
      <c r="G104" s="26"/>
      <c r="H104" s="26"/>
      <c r="I104" s="26"/>
      <c r="J104" s="26"/>
      <c r="K104" s="26"/>
      <c r="L104" s="2"/>
      <c r="M104" s="51"/>
      <c r="O104" s="52"/>
    </row>
    <row r="105" spans="1:17" ht="14.4">
      <c r="A105" s="80"/>
      <c r="B105" s="170"/>
      <c r="C105" s="170"/>
      <c r="D105" s="87"/>
      <c r="E105" s="26"/>
      <c r="F105" s="37"/>
      <c r="G105" s="26"/>
      <c r="H105" s="26"/>
      <c r="I105" s="26"/>
      <c r="J105" s="26"/>
      <c r="K105" s="26"/>
      <c r="L105" s="2"/>
      <c r="M105" s="51"/>
      <c r="O105" s="52"/>
      <c r="P105" s="1"/>
      <c r="Q105" s="1"/>
    </row>
    <row r="106" spans="1:17" ht="27.9" customHeight="1">
      <c r="A106" s="80"/>
      <c r="B106" s="170"/>
      <c r="C106" s="170"/>
      <c r="D106" s="87"/>
      <c r="E106" s="26"/>
      <c r="F106" s="37"/>
      <c r="G106" s="26"/>
      <c r="H106" s="26"/>
      <c r="I106" s="26"/>
      <c r="J106" s="26"/>
      <c r="K106" s="26"/>
      <c r="L106" s="2"/>
      <c r="M106" s="51"/>
      <c r="O106" s="55"/>
    </row>
    <row r="107" spans="1:17" ht="23.1" customHeight="1">
      <c r="A107" s="83"/>
      <c r="B107" s="313"/>
      <c r="C107" s="313"/>
      <c r="D107" s="230"/>
      <c r="E107" s="53"/>
      <c r="F107" s="54"/>
      <c r="G107" s="53"/>
      <c r="H107" s="53"/>
      <c r="I107" s="53"/>
      <c r="J107" s="53"/>
      <c r="K107" s="53"/>
      <c r="L107" s="1"/>
      <c r="M107" s="51"/>
    </row>
    <row r="108" spans="1:17" ht="14.4">
      <c r="A108" s="83"/>
      <c r="B108" s="83"/>
      <c r="C108" s="83"/>
      <c r="D108" s="85"/>
    </row>
    <row r="109" spans="1:17" ht="19.5" customHeight="1">
      <c r="A109" s="187"/>
      <c r="B109" s="83"/>
      <c r="C109" s="83"/>
      <c r="D109" s="85"/>
    </row>
    <row r="110" spans="1:17" ht="19.5" customHeight="1">
      <c r="A110" s="187"/>
      <c r="B110" s="83"/>
      <c r="C110" s="83"/>
      <c r="D110" s="85"/>
    </row>
    <row r="111" spans="1:17" ht="19.5" customHeight="1">
      <c r="A111" s="187"/>
      <c r="B111" s="83"/>
      <c r="C111" s="83"/>
      <c r="D111" s="85"/>
    </row>
    <row r="112" spans="1:17" ht="19.5" customHeight="1">
      <c r="A112" s="187"/>
      <c r="B112" s="83"/>
      <c r="C112" s="83"/>
      <c r="D112" s="85"/>
    </row>
    <row r="113" spans="1:15" ht="14.4">
      <c r="A113" s="83"/>
      <c r="B113" s="83"/>
      <c r="C113" s="83"/>
      <c r="D113" s="85"/>
    </row>
    <row r="114" spans="1:15" ht="14.4">
      <c r="A114" s="227"/>
      <c r="B114" s="83"/>
      <c r="C114" s="83"/>
      <c r="D114" s="85"/>
    </row>
    <row r="115" spans="1:15" ht="14.4">
      <c r="A115" s="80"/>
      <c r="B115" s="170"/>
      <c r="C115" s="170"/>
      <c r="D115" s="87"/>
      <c r="E115" s="26"/>
      <c r="F115" s="37"/>
      <c r="G115" s="26"/>
      <c r="H115" s="26"/>
      <c r="I115" s="26"/>
      <c r="J115" s="26"/>
      <c r="K115" s="26"/>
      <c r="L115" s="2"/>
      <c r="M115" s="51"/>
      <c r="O115" s="52"/>
    </row>
    <row r="116" spans="1:15" ht="14.4">
      <c r="A116" s="80"/>
      <c r="B116" s="170"/>
      <c r="C116" s="170"/>
      <c r="D116" s="87"/>
      <c r="E116" s="26"/>
      <c r="F116" s="37"/>
      <c r="G116" s="26"/>
      <c r="H116" s="26"/>
      <c r="I116" s="26"/>
      <c r="J116" s="26"/>
      <c r="K116" s="26"/>
      <c r="L116" s="2"/>
      <c r="M116" s="51"/>
      <c r="O116" s="52"/>
    </row>
    <row r="117" spans="1:15" ht="14.4">
      <c r="A117" s="80"/>
      <c r="B117" s="170"/>
      <c r="C117" s="170"/>
      <c r="D117" s="87"/>
      <c r="E117" s="26"/>
      <c r="F117" s="37"/>
      <c r="G117" s="26"/>
      <c r="H117" s="26"/>
      <c r="I117" s="26"/>
      <c r="J117" s="26"/>
      <c r="K117" s="26"/>
      <c r="L117" s="2"/>
      <c r="M117" s="51"/>
      <c r="O117" s="52"/>
    </row>
    <row r="118" spans="1:15" ht="14.4">
      <c r="A118" s="80"/>
      <c r="B118" s="170"/>
      <c r="C118" s="170"/>
      <c r="D118" s="87"/>
      <c r="E118" s="26"/>
      <c r="F118" s="37"/>
      <c r="G118" s="26"/>
      <c r="H118" s="26"/>
      <c r="I118" s="26"/>
      <c r="J118" s="26"/>
      <c r="K118" s="26"/>
      <c r="L118" s="2"/>
      <c r="M118" s="51"/>
      <c r="O118" s="52"/>
    </row>
    <row r="119" spans="1:15" ht="14.4">
      <c r="A119" s="80"/>
      <c r="B119" s="170"/>
      <c r="C119" s="83"/>
      <c r="D119" s="87"/>
      <c r="G119" s="26"/>
      <c r="H119" s="26"/>
      <c r="K119" s="26"/>
      <c r="L119" s="2"/>
      <c r="M119" s="51"/>
      <c r="O119" s="55"/>
    </row>
    <row r="120" spans="1:15" ht="14.4">
      <c r="A120" s="80"/>
      <c r="B120" s="170"/>
      <c r="C120" s="83"/>
      <c r="D120" s="87"/>
      <c r="K120" s="26"/>
      <c r="L120" s="2"/>
      <c r="M120" s="51"/>
      <c r="O120" s="55"/>
    </row>
    <row r="121" spans="1:15" ht="14.4">
      <c r="A121" s="80"/>
      <c r="B121" s="170"/>
      <c r="C121" s="83"/>
      <c r="D121" s="87"/>
      <c r="K121" s="26"/>
      <c r="L121" s="2"/>
      <c r="M121" s="51"/>
      <c r="O121" s="52"/>
    </row>
    <row r="122" spans="1:15" ht="14.4">
      <c r="A122" s="80"/>
      <c r="B122" s="170"/>
      <c r="C122" s="83"/>
      <c r="D122" s="87"/>
      <c r="K122" s="26"/>
      <c r="L122" s="2"/>
      <c r="M122" s="51"/>
      <c r="O122" s="52"/>
    </row>
    <row r="123" spans="1:15" ht="21.9" customHeight="1">
      <c r="A123" s="80"/>
      <c r="B123" s="170"/>
      <c r="C123" s="83"/>
      <c r="D123" s="87"/>
      <c r="L123" s="2"/>
      <c r="M123" s="51"/>
    </row>
    <row r="124" spans="1:15" ht="20.7" customHeight="1">
      <c r="A124" s="80"/>
      <c r="B124" s="170"/>
      <c r="C124" s="83"/>
      <c r="D124" s="85"/>
      <c r="L124" s="2"/>
      <c r="M124" s="51"/>
    </row>
    <row r="125" spans="1:15" ht="19.95" customHeight="1">
      <c r="A125" s="83"/>
      <c r="B125" s="313"/>
      <c r="C125" s="313"/>
      <c r="D125" s="230"/>
      <c r="E125" s="53"/>
      <c r="F125" s="54"/>
      <c r="G125" s="53"/>
      <c r="H125" s="53"/>
      <c r="I125" s="53"/>
      <c r="J125" s="53"/>
      <c r="K125" s="53"/>
      <c r="L125" s="1"/>
      <c r="M125" s="51"/>
    </row>
    <row r="126" spans="1:15" ht="14.4">
      <c r="A126" s="83"/>
      <c r="B126" s="83"/>
      <c r="C126" s="83"/>
      <c r="D126" s="85"/>
      <c r="M126" s="51"/>
    </row>
    <row r="127" spans="1:15" ht="14.4">
      <c r="A127" s="83"/>
      <c r="B127" s="83"/>
      <c r="C127" s="83"/>
      <c r="D127" s="85"/>
    </row>
    <row r="128" spans="1:15" ht="14.4">
      <c r="A128" s="227"/>
      <c r="B128" s="83"/>
      <c r="C128" s="83"/>
      <c r="D128" s="85"/>
    </row>
    <row r="129" spans="1:15" ht="25.95" customHeight="1">
      <c r="A129" s="15"/>
      <c r="B129" s="26"/>
      <c r="C129" s="26"/>
      <c r="D129" s="31"/>
      <c r="E129" s="26"/>
      <c r="F129" s="37"/>
      <c r="G129" s="26"/>
      <c r="H129" s="26"/>
      <c r="I129" s="26"/>
      <c r="J129" s="26"/>
      <c r="K129" s="26"/>
      <c r="L129" s="2"/>
      <c r="M129" s="51"/>
      <c r="O129" s="52"/>
    </row>
    <row r="130" spans="1:15" ht="17.7" customHeight="1">
      <c r="A130" s="15"/>
      <c r="B130" s="26"/>
      <c r="C130" s="26"/>
      <c r="D130" s="31"/>
      <c r="E130" s="26"/>
      <c r="F130" s="37"/>
      <c r="G130" s="26"/>
      <c r="H130" s="26"/>
      <c r="I130" s="26"/>
      <c r="J130" s="26"/>
      <c r="K130" s="26"/>
      <c r="L130" s="2"/>
      <c r="M130" s="51"/>
      <c r="O130" s="52"/>
    </row>
    <row r="131" spans="1:15" ht="17.7" customHeight="1">
      <c r="A131" s="15"/>
      <c r="B131" s="26"/>
      <c r="C131" s="26"/>
      <c r="D131" s="31"/>
      <c r="E131" s="26"/>
      <c r="F131" s="37"/>
      <c r="G131" s="26"/>
      <c r="H131" s="26"/>
      <c r="I131" s="26"/>
      <c r="J131" s="26"/>
      <c r="K131" s="26"/>
      <c r="L131" s="2"/>
      <c r="M131" s="51"/>
      <c r="O131" s="52"/>
    </row>
    <row r="132" spans="1:15" ht="31.65" customHeight="1">
      <c r="A132" s="15"/>
      <c r="B132" s="26"/>
      <c r="C132" s="26"/>
      <c r="D132" s="31"/>
      <c r="E132" s="26"/>
      <c r="F132" s="37"/>
      <c r="G132" s="26"/>
      <c r="H132" s="26"/>
      <c r="I132" s="26"/>
      <c r="J132" s="26"/>
      <c r="K132" s="26"/>
      <c r="L132" s="2"/>
      <c r="M132" s="51"/>
      <c r="O132" s="52"/>
    </row>
    <row r="133" spans="1:15" ht="31.65" customHeight="1">
      <c r="A133" s="15"/>
      <c r="B133" s="26"/>
      <c r="C133" s="26"/>
      <c r="D133" s="31"/>
      <c r="E133" s="26"/>
      <c r="F133" s="37"/>
      <c r="G133" s="26"/>
      <c r="H133" s="26"/>
      <c r="I133" s="26"/>
      <c r="J133" s="26"/>
      <c r="K133" s="26"/>
      <c r="L133" s="2"/>
      <c r="M133" s="51"/>
      <c r="O133" s="52"/>
    </row>
    <row r="134" spans="1:15">
      <c r="M134" s="51"/>
      <c r="O134" s="52"/>
    </row>
    <row r="135" spans="1:15">
      <c r="M135" s="51"/>
    </row>
    <row r="136" spans="1:15">
      <c r="A136" s="20"/>
    </row>
    <row r="137" spans="1:15">
      <c r="A137" s="15"/>
      <c r="B137" s="26"/>
      <c r="C137" s="26"/>
      <c r="D137" s="31"/>
      <c r="E137" s="26"/>
      <c r="F137" s="37"/>
      <c r="G137" s="26"/>
      <c r="H137" s="26"/>
      <c r="I137" s="26"/>
      <c r="J137" s="26"/>
      <c r="K137" s="26"/>
      <c r="L137" s="2"/>
      <c r="M137" s="51"/>
    </row>
    <row r="138" spans="1:15">
      <c r="M138" s="51"/>
    </row>
  </sheetData>
  <phoneticPr fontId="19" type="noConversion"/>
  <pageMargins left="0" right="0" top="0.39370078740157483" bottom="0.39370078740157483" header="0" footer="0"/>
  <pageSetup paperSize="9" scale="71" fitToHeight="0" pageOrder="overThenDown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972"/>
  <sheetViews>
    <sheetView topLeftCell="W166" zoomScale="110" zoomScaleNormal="110" workbookViewId="0">
      <selection activeCell="AO166" sqref="AO166"/>
    </sheetView>
  </sheetViews>
  <sheetFormatPr defaultRowHeight="15" customHeight="1"/>
  <cols>
    <col min="1" max="1" width="3.796875" style="16" customWidth="1"/>
    <col min="2" max="2" width="23.8984375" style="16" customWidth="1"/>
    <col min="3" max="3" width="9.296875" style="15" customWidth="1"/>
    <col min="4" max="4" width="6.59765625" style="15" customWidth="1"/>
    <col min="5" max="5" width="7.8984375" style="15" customWidth="1"/>
    <col min="6" max="6" width="8.69921875" style="10" customWidth="1"/>
    <col min="7" max="7" width="9" style="15" customWidth="1"/>
    <col min="8" max="8" width="9.09765625" style="15" hidden="1" customWidth="1"/>
    <col min="9" max="9" width="9.69921875" style="15" customWidth="1"/>
    <col min="10" max="10" width="9.69921875" style="21" customWidth="1"/>
    <col min="11" max="11" width="2.69921875" style="15" customWidth="1"/>
    <col min="12" max="12" width="7.69921875" style="15" customWidth="1"/>
    <col min="13" max="13" width="7.796875" style="15" customWidth="1"/>
    <col min="14" max="14" width="9.69921875" style="15" customWidth="1"/>
    <col min="15" max="15" width="9.8984375" style="15" customWidth="1"/>
    <col min="16" max="16" width="11.8984375" style="15" hidden="1" customWidth="1"/>
    <col min="17" max="17" width="13.19921875" style="15" hidden="1" customWidth="1"/>
    <col min="18" max="18" width="8.796875" style="15" customWidth="1"/>
    <col min="19" max="19" width="9.8984375" style="15" customWidth="1"/>
    <col min="20" max="20" width="6.5" style="16" hidden="1" customWidth="1"/>
    <col min="21" max="21" width="8.69921875" style="9" hidden="1" customWidth="1"/>
    <col min="22" max="22" width="11.09765625" style="9" hidden="1" customWidth="1"/>
    <col min="23" max="23" width="2.69921875" style="9" customWidth="1"/>
    <col min="24" max="24" width="7.296875" style="9" customWidth="1"/>
    <col min="25" max="25" width="9.19921875" style="9" customWidth="1"/>
    <col min="26" max="26" width="2.796875" style="9" customWidth="1"/>
    <col min="27" max="27" width="7.69921875" style="9" bestFit="1" customWidth="1"/>
    <col min="28" max="28" width="7.59765625" style="9" bestFit="1" customWidth="1"/>
    <col min="29" max="29" width="8.69921875" style="9" customWidth="1"/>
    <col min="30" max="30" width="6.8984375" style="9" bestFit="1" customWidth="1"/>
    <col min="31" max="31" width="8.69921875" style="9" customWidth="1"/>
    <col min="32" max="32" width="8.796875" style="9" customWidth="1"/>
    <col min="33" max="33" width="8.8984375" style="9" customWidth="1"/>
    <col min="34" max="34" width="2.69921875" style="9" customWidth="1"/>
    <col min="35" max="35" width="7.8984375" style="9" customWidth="1"/>
    <col min="36" max="36" width="11.59765625" style="9" customWidth="1"/>
    <col min="37" max="38" width="13.3984375" customWidth="1"/>
    <col min="39" max="39" width="11.09765625" customWidth="1"/>
    <col min="40" max="40" width="9.8984375" customWidth="1"/>
    <col min="41" max="1028" width="13.3984375" customWidth="1"/>
  </cols>
  <sheetData>
    <row r="2" spans="1:36" ht="15" customHeight="1">
      <c r="A2" s="279" t="s">
        <v>281</v>
      </c>
      <c r="B2" s="280" t="s">
        <v>282</v>
      </c>
      <c r="C2" s="80"/>
      <c r="D2" s="80"/>
      <c r="E2" s="80"/>
      <c r="J2" s="66" t="s">
        <v>423</v>
      </c>
    </row>
    <row r="3" spans="1:36" ht="15" customHeight="1">
      <c r="A3" s="279" t="s">
        <v>283</v>
      </c>
      <c r="B3" s="280" t="s">
        <v>284</v>
      </c>
      <c r="C3" s="80"/>
      <c r="D3" s="80"/>
      <c r="E3" s="80"/>
      <c r="I3" s="69"/>
      <c r="J3" s="67" t="s">
        <v>391</v>
      </c>
      <c r="K3" s="69"/>
      <c r="L3" s="69"/>
    </row>
    <row r="4" spans="1:36" ht="15" customHeight="1">
      <c r="A4" s="83"/>
      <c r="B4" s="279" t="s">
        <v>636</v>
      </c>
      <c r="C4" s="80"/>
      <c r="D4" s="80"/>
      <c r="E4" s="80"/>
      <c r="J4" s="68" t="s">
        <v>392</v>
      </c>
    </row>
    <row r="5" spans="1:36" ht="15" customHeight="1">
      <c r="J5" s="71" t="s">
        <v>526</v>
      </c>
    </row>
    <row r="8" spans="1:36" ht="13.8">
      <c r="B8" s="273" t="s">
        <v>35</v>
      </c>
      <c r="C8" s="85"/>
      <c r="D8" s="85"/>
      <c r="E8" s="85"/>
      <c r="F8" s="188"/>
      <c r="G8" s="85"/>
      <c r="H8" s="85"/>
      <c r="I8" s="85"/>
      <c r="J8" s="188"/>
      <c r="K8" s="85"/>
      <c r="L8" s="276" t="s">
        <v>36</v>
      </c>
      <c r="M8" s="275"/>
      <c r="N8" s="85"/>
      <c r="O8" s="85"/>
      <c r="P8" s="85"/>
      <c r="Q8" s="85"/>
      <c r="R8" s="85"/>
      <c r="S8" s="85"/>
      <c r="T8" s="191"/>
      <c r="U8" s="275" t="s">
        <v>33</v>
      </c>
      <c r="V8" s="275"/>
      <c r="W8" s="85"/>
      <c r="X8" s="273" t="s">
        <v>33</v>
      </c>
      <c r="Y8" s="273"/>
      <c r="Z8" s="278"/>
      <c r="AA8" s="275" t="s">
        <v>37</v>
      </c>
      <c r="AB8" s="85"/>
      <c r="AC8" s="85"/>
      <c r="AD8" s="85"/>
      <c r="AE8" s="85"/>
      <c r="AF8" s="85"/>
      <c r="AG8" s="85"/>
      <c r="AH8" s="85"/>
      <c r="AI8" s="275" t="s">
        <v>34</v>
      </c>
      <c r="AJ8" s="275"/>
    </row>
    <row r="9" spans="1:36" ht="15" customHeight="1">
      <c r="A9" s="16" t="s">
        <v>643</v>
      </c>
      <c r="X9" s="16"/>
      <c r="Y9" s="16"/>
      <c r="Z9" s="16"/>
    </row>
    <row r="10" spans="1:36" s="4" customFormat="1" ht="14.25" customHeight="1">
      <c r="A10" s="16" t="s">
        <v>344</v>
      </c>
      <c r="B10" s="78" t="s">
        <v>38</v>
      </c>
      <c r="C10" s="78" t="s">
        <v>39</v>
      </c>
      <c r="D10" s="78" t="s">
        <v>40</v>
      </c>
      <c r="E10" s="78" t="s">
        <v>41</v>
      </c>
      <c r="F10" s="79" t="s">
        <v>42</v>
      </c>
      <c r="G10" s="78" t="s">
        <v>43</v>
      </c>
      <c r="H10" s="78" t="s">
        <v>44</v>
      </c>
      <c r="I10" s="78" t="s">
        <v>45</v>
      </c>
      <c r="J10" s="78" t="s">
        <v>46</v>
      </c>
      <c r="K10" s="80"/>
      <c r="L10" s="81" t="s">
        <v>39</v>
      </c>
      <c r="M10" s="81" t="s">
        <v>40</v>
      </c>
      <c r="N10" s="81" t="s">
        <v>47</v>
      </c>
      <c r="O10" s="81" t="s">
        <v>48</v>
      </c>
      <c r="P10" s="81" t="s">
        <v>44</v>
      </c>
      <c r="Q10" s="81" t="s">
        <v>49</v>
      </c>
      <c r="R10" s="82" t="s">
        <v>44</v>
      </c>
      <c r="S10" s="81" t="s">
        <v>46</v>
      </c>
      <c r="T10" s="83"/>
      <c r="U10" s="84" t="s">
        <v>39</v>
      </c>
      <c r="V10" s="84" t="s">
        <v>47</v>
      </c>
      <c r="W10" s="85"/>
      <c r="X10" s="84" t="s">
        <v>39</v>
      </c>
      <c r="Y10" s="86" t="s">
        <v>47</v>
      </c>
      <c r="Z10" s="87"/>
      <c r="AA10" s="88" t="s">
        <v>39</v>
      </c>
      <c r="AB10" s="88" t="s">
        <v>41</v>
      </c>
      <c r="AC10" s="88" t="s">
        <v>42</v>
      </c>
      <c r="AD10" s="88" t="s">
        <v>43</v>
      </c>
      <c r="AE10" s="88" t="s">
        <v>44</v>
      </c>
      <c r="AF10" s="88" t="s">
        <v>45</v>
      </c>
      <c r="AG10" s="88" t="s">
        <v>46</v>
      </c>
      <c r="AH10" s="85"/>
      <c r="AI10" s="84" t="s">
        <v>39</v>
      </c>
      <c r="AJ10" s="84" t="s">
        <v>47</v>
      </c>
    </row>
    <row r="11" spans="1:36" s="4" customFormat="1" ht="13.8">
      <c r="A11" s="16"/>
      <c r="B11" s="78"/>
      <c r="C11" s="78"/>
      <c r="D11" s="78"/>
      <c r="E11" s="78" t="s">
        <v>51</v>
      </c>
      <c r="F11" s="79" t="s">
        <v>52</v>
      </c>
      <c r="G11" s="78" t="s">
        <v>51</v>
      </c>
      <c r="H11" s="78" t="s">
        <v>51</v>
      </c>
      <c r="I11" s="78" t="s">
        <v>51</v>
      </c>
      <c r="J11" s="78" t="s">
        <v>51</v>
      </c>
      <c r="K11" s="80"/>
      <c r="L11" s="81"/>
      <c r="M11" s="81"/>
      <c r="N11" s="81" t="s">
        <v>52</v>
      </c>
      <c r="O11" s="81" t="s">
        <v>51</v>
      </c>
      <c r="P11" s="81" t="s">
        <v>51</v>
      </c>
      <c r="Q11" s="81" t="s">
        <v>51</v>
      </c>
      <c r="R11" s="82" t="s">
        <v>51</v>
      </c>
      <c r="S11" s="81" t="s">
        <v>51</v>
      </c>
      <c r="T11" s="83"/>
      <c r="U11" s="84"/>
      <c r="V11" s="84" t="s">
        <v>52</v>
      </c>
      <c r="W11" s="85"/>
      <c r="X11" s="84"/>
      <c r="Y11" s="86" t="s">
        <v>52</v>
      </c>
      <c r="Z11" s="87"/>
      <c r="AA11" s="88"/>
      <c r="AB11" s="88" t="s">
        <v>51</v>
      </c>
      <c r="AC11" s="88" t="s">
        <v>52</v>
      </c>
      <c r="AD11" s="88" t="s">
        <v>51</v>
      </c>
      <c r="AE11" s="88" t="s">
        <v>51</v>
      </c>
      <c r="AF11" s="88" t="s">
        <v>51</v>
      </c>
      <c r="AG11" s="88" t="s">
        <v>51</v>
      </c>
      <c r="AH11" s="85"/>
      <c r="AI11" s="84"/>
      <c r="AJ11" s="84" t="s">
        <v>52</v>
      </c>
    </row>
    <row r="12" spans="1:36" s="11" customFormat="1" ht="14.4">
      <c r="A12" s="18"/>
      <c r="B12" s="93" t="s">
        <v>385</v>
      </c>
      <c r="C12" s="94" t="s">
        <v>246</v>
      </c>
      <c r="D12" s="94">
        <v>1</v>
      </c>
      <c r="E12" s="94" t="s">
        <v>57</v>
      </c>
      <c r="F12" s="95" t="s">
        <v>57</v>
      </c>
      <c r="G12" s="96">
        <v>62.18</v>
      </c>
      <c r="H12" s="97"/>
      <c r="I12" s="94">
        <f t="shared" ref="I12:I48" si="0">(G12-H12)</f>
        <v>62.18</v>
      </c>
      <c r="J12" s="94">
        <f t="shared" ref="J12:J48" si="1">I12*D12</f>
        <v>62.18</v>
      </c>
      <c r="K12" s="89"/>
      <c r="L12" s="98" t="s">
        <v>24</v>
      </c>
      <c r="M12" s="99">
        <v>1</v>
      </c>
      <c r="N12" s="100">
        <v>31.78</v>
      </c>
      <c r="O12" s="101">
        <v>3.15</v>
      </c>
      <c r="P12" s="102"/>
      <c r="Q12" s="102"/>
      <c r="R12" s="102"/>
      <c r="S12" s="99">
        <f t="shared" ref="S12:S41" si="2">(N12*O12-P12)*M12</f>
        <v>100.107</v>
      </c>
      <c r="T12" s="90"/>
      <c r="U12" s="91" t="s">
        <v>356</v>
      </c>
      <c r="V12" s="92">
        <f>N12*M12</f>
        <v>31.78</v>
      </c>
      <c r="W12" s="103"/>
      <c r="X12" s="104" t="s">
        <v>20</v>
      </c>
      <c r="Y12" s="105">
        <f t="shared" ref="Y12:Y17" si="3">N12*M12</f>
        <v>31.78</v>
      </c>
      <c r="Z12" s="106"/>
      <c r="AA12" s="107" t="s">
        <v>20</v>
      </c>
      <c r="AB12" s="108" t="str">
        <f t="shared" ref="AB12:AG13" si="4">E12</f>
        <v>cad</v>
      </c>
      <c r="AC12" s="108" t="str">
        <f t="shared" si="4"/>
        <v>cad</v>
      </c>
      <c r="AD12" s="108">
        <f t="shared" si="4"/>
        <v>62.18</v>
      </c>
      <c r="AE12" s="108">
        <f t="shared" si="4"/>
        <v>0</v>
      </c>
      <c r="AF12" s="108">
        <f t="shared" si="4"/>
        <v>62.18</v>
      </c>
      <c r="AG12" s="108">
        <f t="shared" si="4"/>
        <v>62.18</v>
      </c>
      <c r="AH12" s="103"/>
      <c r="AI12" s="92"/>
      <c r="AJ12" s="108"/>
    </row>
    <row r="13" spans="1:36" s="11" customFormat="1" ht="14.4">
      <c r="A13" s="18"/>
      <c r="B13" s="93" t="s">
        <v>247</v>
      </c>
      <c r="C13" s="94" t="s">
        <v>390</v>
      </c>
      <c r="D13" s="94">
        <v>1</v>
      </c>
      <c r="E13" s="94" t="s">
        <v>57</v>
      </c>
      <c r="F13" s="95" t="s">
        <v>57</v>
      </c>
      <c r="G13" s="101">
        <v>64.739999999999995</v>
      </c>
      <c r="H13" s="97"/>
      <c r="I13" s="94">
        <f t="shared" si="0"/>
        <v>64.739999999999995</v>
      </c>
      <c r="J13" s="94">
        <f t="shared" si="1"/>
        <v>64.739999999999995</v>
      </c>
      <c r="K13" s="109"/>
      <c r="L13" s="98" t="s">
        <v>17</v>
      </c>
      <c r="M13" s="99">
        <v>1</v>
      </c>
      <c r="N13" s="100">
        <f>34.23-5.33</f>
        <v>28.9</v>
      </c>
      <c r="O13" s="101">
        <v>2.4</v>
      </c>
      <c r="P13" s="102"/>
      <c r="Q13" s="102"/>
      <c r="R13" s="102"/>
      <c r="S13" s="99">
        <f t="shared" si="2"/>
        <v>69.36</v>
      </c>
      <c r="T13" s="110"/>
      <c r="U13" s="91" t="s">
        <v>357</v>
      </c>
      <c r="V13" s="92">
        <f>N13*M13</f>
        <v>28.9</v>
      </c>
      <c r="W13" s="103"/>
      <c r="X13" s="104" t="s">
        <v>17</v>
      </c>
      <c r="Y13" s="105">
        <f t="shared" si="3"/>
        <v>28.9</v>
      </c>
      <c r="Z13" s="106"/>
      <c r="AA13" s="107" t="s">
        <v>25</v>
      </c>
      <c r="AB13" s="108" t="str">
        <f t="shared" si="4"/>
        <v>cad</v>
      </c>
      <c r="AC13" s="108" t="str">
        <f t="shared" si="4"/>
        <v>cad</v>
      </c>
      <c r="AD13" s="108">
        <f t="shared" si="4"/>
        <v>64.739999999999995</v>
      </c>
      <c r="AE13" s="108">
        <f t="shared" si="4"/>
        <v>0</v>
      </c>
      <c r="AF13" s="108">
        <f t="shared" si="4"/>
        <v>64.739999999999995</v>
      </c>
      <c r="AG13" s="108">
        <f t="shared" si="4"/>
        <v>64.739999999999995</v>
      </c>
      <c r="AH13" s="103"/>
      <c r="AI13" s="92"/>
      <c r="AJ13" s="108"/>
    </row>
    <row r="14" spans="1:36" s="11" customFormat="1" ht="14.4">
      <c r="A14" s="18"/>
      <c r="B14" s="111" t="s">
        <v>400</v>
      </c>
      <c r="C14" s="94" t="s">
        <v>390</v>
      </c>
      <c r="D14" s="94">
        <v>1</v>
      </c>
      <c r="E14" s="94" t="s">
        <v>57</v>
      </c>
      <c r="F14" s="95" t="s">
        <v>57</v>
      </c>
      <c r="G14" s="112">
        <v>21.33</v>
      </c>
      <c r="H14" s="97"/>
      <c r="I14" s="94">
        <f t="shared" ref="I14" si="5">(G14-H14)</f>
        <v>21.33</v>
      </c>
      <c r="J14" s="94">
        <f t="shared" ref="J14" si="6">I14*D14</f>
        <v>21.33</v>
      </c>
      <c r="K14" s="109"/>
      <c r="L14" s="98" t="s">
        <v>17</v>
      </c>
      <c r="M14" s="99">
        <v>1</v>
      </c>
      <c r="N14" s="113">
        <v>21.47</v>
      </c>
      <c r="O14" s="112">
        <v>2.4</v>
      </c>
      <c r="P14" s="102"/>
      <c r="Q14" s="102"/>
      <c r="R14" s="102"/>
      <c r="S14" s="99">
        <f t="shared" si="2"/>
        <v>51.527999999999999</v>
      </c>
      <c r="T14" s="110"/>
      <c r="U14" s="91"/>
      <c r="V14" s="92"/>
      <c r="W14" s="103"/>
      <c r="X14" s="104" t="s">
        <v>18</v>
      </c>
      <c r="Y14" s="105">
        <f t="shared" si="3"/>
        <v>21.47</v>
      </c>
      <c r="Z14" s="114"/>
      <c r="AA14" s="115" t="s">
        <v>25</v>
      </c>
      <c r="AB14" s="108" t="str">
        <f t="shared" ref="AB14:AB31" si="7">E14</f>
        <v>cad</v>
      </c>
      <c r="AC14" s="108" t="str">
        <f t="shared" ref="AC14:AC31" si="8">F14</f>
        <v>cad</v>
      </c>
      <c r="AD14" s="108">
        <f t="shared" ref="AD14:AD31" si="9">G14</f>
        <v>21.33</v>
      </c>
      <c r="AE14" s="108"/>
      <c r="AF14" s="108">
        <f t="shared" ref="AF14:AF18" si="10">I14</f>
        <v>21.33</v>
      </c>
      <c r="AG14" s="108">
        <f t="shared" ref="AG14:AG18" si="11">J14</f>
        <v>21.33</v>
      </c>
      <c r="AH14" s="103"/>
      <c r="AI14" s="92"/>
      <c r="AJ14" s="108"/>
    </row>
    <row r="15" spans="1:36" s="11" customFormat="1" ht="14.4">
      <c r="A15" s="18"/>
      <c r="B15" s="111" t="s">
        <v>157</v>
      </c>
      <c r="C15" s="94" t="s">
        <v>390</v>
      </c>
      <c r="D15" s="94">
        <v>1</v>
      </c>
      <c r="E15" s="94" t="s">
        <v>57</v>
      </c>
      <c r="F15" s="95" t="s">
        <v>57</v>
      </c>
      <c r="G15" s="112">
        <v>6.86</v>
      </c>
      <c r="H15" s="97"/>
      <c r="I15" s="94">
        <f t="shared" ref="I15" si="12">(G15-H15)</f>
        <v>6.86</v>
      </c>
      <c r="J15" s="94">
        <f t="shared" ref="J15" si="13">I15*D15</f>
        <v>6.86</v>
      </c>
      <c r="K15" s="109"/>
      <c r="L15" s="98" t="s">
        <v>17</v>
      </c>
      <c r="M15" s="99">
        <v>1</v>
      </c>
      <c r="N15" s="113">
        <v>10.86</v>
      </c>
      <c r="O15" s="112">
        <v>2.4</v>
      </c>
      <c r="P15" s="102"/>
      <c r="Q15" s="102"/>
      <c r="R15" s="102"/>
      <c r="S15" s="99">
        <f t="shared" si="2"/>
        <v>26.063999999999997</v>
      </c>
      <c r="T15" s="110"/>
      <c r="U15" s="91"/>
      <c r="V15" s="92"/>
      <c r="W15" s="103"/>
      <c r="X15" s="104" t="s">
        <v>17</v>
      </c>
      <c r="Y15" s="105">
        <f t="shared" si="3"/>
        <v>10.86</v>
      </c>
      <c r="Z15" s="106"/>
      <c r="AA15" s="115" t="s">
        <v>25</v>
      </c>
      <c r="AB15" s="108" t="str">
        <f t="shared" si="7"/>
        <v>cad</v>
      </c>
      <c r="AC15" s="108" t="str">
        <f t="shared" si="8"/>
        <v>cad</v>
      </c>
      <c r="AD15" s="108">
        <f t="shared" si="9"/>
        <v>6.86</v>
      </c>
      <c r="AE15" s="108"/>
      <c r="AF15" s="108">
        <f t="shared" si="10"/>
        <v>6.86</v>
      </c>
      <c r="AG15" s="108">
        <f t="shared" si="11"/>
        <v>6.86</v>
      </c>
      <c r="AH15" s="103"/>
      <c r="AI15" s="92"/>
      <c r="AJ15" s="108"/>
    </row>
    <row r="16" spans="1:36" s="11" customFormat="1" ht="14.4">
      <c r="A16" s="18"/>
      <c r="B16" s="111" t="s">
        <v>138</v>
      </c>
      <c r="C16" s="94" t="s">
        <v>318</v>
      </c>
      <c r="D16" s="94">
        <v>2</v>
      </c>
      <c r="E16" s="94" t="s">
        <v>57</v>
      </c>
      <c r="F16" s="95" t="s">
        <v>57</v>
      </c>
      <c r="G16" s="112">
        <v>3.44</v>
      </c>
      <c r="H16" s="97"/>
      <c r="I16" s="94">
        <f t="shared" ref="I16" si="14">(G16-H16)</f>
        <v>3.44</v>
      </c>
      <c r="J16" s="94">
        <f t="shared" ref="J16" si="15">I16*D16</f>
        <v>6.88</v>
      </c>
      <c r="K16" s="109"/>
      <c r="L16" s="98" t="s">
        <v>18</v>
      </c>
      <c r="M16" s="99">
        <v>1</v>
      </c>
      <c r="N16" s="113">
        <v>7.52</v>
      </c>
      <c r="O16" s="112">
        <v>2.5</v>
      </c>
      <c r="P16" s="102"/>
      <c r="Q16" s="102"/>
      <c r="R16" s="102"/>
      <c r="S16" s="99">
        <f t="shared" si="2"/>
        <v>18.799999999999997</v>
      </c>
      <c r="T16" s="110"/>
      <c r="U16" s="91"/>
      <c r="V16" s="92"/>
      <c r="W16" s="103"/>
      <c r="X16" s="104" t="s">
        <v>18</v>
      </c>
      <c r="Y16" s="105">
        <f t="shared" si="3"/>
        <v>7.52</v>
      </c>
      <c r="Z16" s="106"/>
      <c r="AA16" s="115" t="s">
        <v>18</v>
      </c>
      <c r="AB16" s="108" t="str">
        <f t="shared" si="7"/>
        <v>cad</v>
      </c>
      <c r="AC16" s="108" t="str">
        <f t="shared" si="8"/>
        <v>cad</v>
      </c>
      <c r="AD16" s="108">
        <f t="shared" si="9"/>
        <v>3.44</v>
      </c>
      <c r="AE16" s="108"/>
      <c r="AF16" s="108">
        <f t="shared" si="10"/>
        <v>3.44</v>
      </c>
      <c r="AG16" s="108">
        <f t="shared" si="11"/>
        <v>6.88</v>
      </c>
      <c r="AH16" s="103"/>
      <c r="AI16" s="116" t="s">
        <v>17</v>
      </c>
      <c r="AJ16" s="108">
        <f>N16*M16</f>
        <v>7.52</v>
      </c>
    </row>
    <row r="17" spans="1:36" s="11" customFormat="1" ht="14.4">
      <c r="A17" s="18"/>
      <c r="B17" s="111" t="s">
        <v>154</v>
      </c>
      <c r="C17" s="94" t="s">
        <v>390</v>
      </c>
      <c r="D17" s="94">
        <v>1</v>
      </c>
      <c r="E17" s="94" t="s">
        <v>57</v>
      </c>
      <c r="F17" s="95" t="s">
        <v>57</v>
      </c>
      <c r="G17" s="112">
        <v>14.89</v>
      </c>
      <c r="H17" s="97"/>
      <c r="I17" s="94">
        <f t="shared" ref="I17" si="16">(G17-H17)</f>
        <v>14.89</v>
      </c>
      <c r="J17" s="94">
        <f t="shared" ref="J17" si="17">I17*D17</f>
        <v>14.89</v>
      </c>
      <c r="K17" s="109"/>
      <c r="L17" s="98" t="s">
        <v>17</v>
      </c>
      <c r="M17" s="99">
        <v>1</v>
      </c>
      <c r="N17" s="113">
        <v>14.34</v>
      </c>
      <c r="O17" s="112">
        <v>2.4</v>
      </c>
      <c r="P17" s="102"/>
      <c r="Q17" s="102"/>
      <c r="R17" s="102"/>
      <c r="S17" s="99">
        <f t="shared" si="2"/>
        <v>34.415999999999997</v>
      </c>
      <c r="T17" s="110"/>
      <c r="U17" s="91"/>
      <c r="V17" s="92"/>
      <c r="W17" s="103"/>
      <c r="X17" s="104" t="s">
        <v>17</v>
      </c>
      <c r="Y17" s="105">
        <f t="shared" si="3"/>
        <v>14.34</v>
      </c>
      <c r="Z17" s="106"/>
      <c r="AA17" s="115" t="s">
        <v>25</v>
      </c>
      <c r="AB17" s="108" t="str">
        <f t="shared" si="7"/>
        <v>cad</v>
      </c>
      <c r="AC17" s="108" t="str">
        <f t="shared" si="8"/>
        <v>cad</v>
      </c>
      <c r="AD17" s="108">
        <f t="shared" si="9"/>
        <v>14.89</v>
      </c>
      <c r="AE17" s="108"/>
      <c r="AF17" s="108">
        <f t="shared" si="10"/>
        <v>14.89</v>
      </c>
      <c r="AG17" s="108">
        <f t="shared" si="11"/>
        <v>14.89</v>
      </c>
      <c r="AH17" s="103"/>
      <c r="AI17" s="92"/>
      <c r="AJ17" s="108"/>
    </row>
    <row r="18" spans="1:36" s="11" customFormat="1" ht="14.4">
      <c r="A18" s="18"/>
      <c r="B18" s="111" t="s">
        <v>399</v>
      </c>
      <c r="C18" s="94" t="s">
        <v>248</v>
      </c>
      <c r="D18" s="94">
        <v>1</v>
      </c>
      <c r="E18" s="94" t="s">
        <v>57</v>
      </c>
      <c r="F18" s="95" t="s">
        <v>57</v>
      </c>
      <c r="G18" s="112">
        <v>6.65</v>
      </c>
      <c r="H18" s="97"/>
      <c r="I18" s="94">
        <f t="shared" ref="I18" si="18">(G18-H18)</f>
        <v>6.65</v>
      </c>
      <c r="J18" s="94">
        <f t="shared" ref="J18" si="19">I18*D18</f>
        <v>6.65</v>
      </c>
      <c r="K18" s="109"/>
      <c r="L18" s="98" t="s">
        <v>340</v>
      </c>
      <c r="M18" s="99">
        <v>1</v>
      </c>
      <c r="N18" s="113">
        <v>11.94</v>
      </c>
      <c r="O18" s="112">
        <v>2.4</v>
      </c>
      <c r="P18" s="102"/>
      <c r="Q18" s="102"/>
      <c r="R18" s="102"/>
      <c r="S18" s="99">
        <f t="shared" si="2"/>
        <v>28.655999999999999</v>
      </c>
      <c r="T18" s="110"/>
      <c r="U18" s="91"/>
      <c r="V18" s="92"/>
      <c r="W18" s="103"/>
      <c r="X18" s="104"/>
      <c r="Y18" s="105"/>
      <c r="Z18" s="106"/>
      <c r="AA18" s="115" t="s">
        <v>17</v>
      </c>
      <c r="AB18" s="108" t="str">
        <f t="shared" si="7"/>
        <v>cad</v>
      </c>
      <c r="AC18" s="108" t="str">
        <f t="shared" si="8"/>
        <v>cad</v>
      </c>
      <c r="AD18" s="108">
        <f t="shared" si="9"/>
        <v>6.65</v>
      </c>
      <c r="AE18" s="108"/>
      <c r="AF18" s="108">
        <f t="shared" si="10"/>
        <v>6.65</v>
      </c>
      <c r="AG18" s="108">
        <f t="shared" si="11"/>
        <v>6.65</v>
      </c>
      <c r="AH18" s="103"/>
      <c r="AI18" s="116" t="s">
        <v>17</v>
      </c>
      <c r="AJ18" s="108">
        <f t="shared" ref="AJ18:AJ25" si="20">N18*M18</f>
        <v>11.94</v>
      </c>
    </row>
    <row r="19" spans="1:36" s="11" customFormat="1" ht="14.4">
      <c r="A19" s="18"/>
      <c r="B19" s="93" t="s">
        <v>83</v>
      </c>
      <c r="C19" s="94" t="s">
        <v>248</v>
      </c>
      <c r="D19" s="94">
        <v>1</v>
      </c>
      <c r="E19" s="94" t="s">
        <v>57</v>
      </c>
      <c r="F19" s="95" t="s">
        <v>57</v>
      </c>
      <c r="G19" s="101">
        <v>5.33</v>
      </c>
      <c r="H19" s="97"/>
      <c r="I19" s="94">
        <f t="shared" si="0"/>
        <v>5.33</v>
      </c>
      <c r="J19" s="94">
        <f t="shared" si="1"/>
        <v>5.33</v>
      </c>
      <c r="K19" s="109"/>
      <c r="L19" s="98" t="s">
        <v>340</v>
      </c>
      <c r="M19" s="99">
        <v>1</v>
      </c>
      <c r="N19" s="100">
        <f>9.44-1</f>
        <v>8.44</v>
      </c>
      <c r="O19" s="101">
        <v>2.4</v>
      </c>
      <c r="P19" s="102"/>
      <c r="Q19" s="102"/>
      <c r="R19" s="102"/>
      <c r="S19" s="99">
        <f t="shared" si="2"/>
        <v>20.255999999999997</v>
      </c>
      <c r="T19" s="110"/>
      <c r="U19" s="117"/>
      <c r="V19" s="118"/>
      <c r="W19" s="103"/>
      <c r="X19" s="104"/>
      <c r="Y19" s="105"/>
      <c r="Z19" s="106"/>
      <c r="AA19" s="107" t="s">
        <v>18</v>
      </c>
      <c r="AB19" s="108" t="str">
        <f t="shared" si="7"/>
        <v>cad</v>
      </c>
      <c r="AC19" s="108" t="str">
        <f t="shared" si="8"/>
        <v>cad</v>
      </c>
      <c r="AD19" s="108">
        <f t="shared" si="9"/>
        <v>5.33</v>
      </c>
      <c r="AE19" s="108">
        <f t="shared" ref="AE19:AG22" si="21">H19</f>
        <v>0</v>
      </c>
      <c r="AF19" s="108">
        <f t="shared" si="21"/>
        <v>5.33</v>
      </c>
      <c r="AG19" s="108">
        <f t="shared" si="21"/>
        <v>5.33</v>
      </c>
      <c r="AH19" s="103"/>
      <c r="AI19" s="119" t="s">
        <v>17</v>
      </c>
      <c r="AJ19" s="108">
        <f t="shared" si="20"/>
        <v>8.44</v>
      </c>
    </row>
    <row r="20" spans="1:36" s="11" customFormat="1" ht="14.4">
      <c r="A20" s="18"/>
      <c r="B20" s="120" t="s">
        <v>123</v>
      </c>
      <c r="C20" s="94" t="s">
        <v>249</v>
      </c>
      <c r="D20" s="94">
        <v>1</v>
      </c>
      <c r="E20" s="94" t="s">
        <v>57</v>
      </c>
      <c r="F20" s="95" t="s">
        <v>57</v>
      </c>
      <c r="G20" s="94">
        <v>2.04</v>
      </c>
      <c r="H20" s="97"/>
      <c r="I20" s="94">
        <f t="shared" si="0"/>
        <v>2.04</v>
      </c>
      <c r="J20" s="94">
        <f t="shared" si="1"/>
        <v>2.04</v>
      </c>
      <c r="K20" s="109"/>
      <c r="L20" s="98" t="s">
        <v>20</v>
      </c>
      <c r="M20" s="99">
        <v>1</v>
      </c>
      <c r="N20" s="121">
        <v>5.8</v>
      </c>
      <c r="O20" s="101">
        <v>2.4</v>
      </c>
      <c r="P20" s="102"/>
      <c r="Q20" s="102"/>
      <c r="R20" s="102"/>
      <c r="S20" s="99">
        <f t="shared" si="2"/>
        <v>13.92</v>
      </c>
      <c r="T20" s="110"/>
      <c r="U20" s="91"/>
      <c r="V20" s="92"/>
      <c r="W20" s="103"/>
      <c r="X20" s="104"/>
      <c r="Y20" s="105"/>
      <c r="Z20" s="106"/>
      <c r="AA20" s="107" t="s">
        <v>18</v>
      </c>
      <c r="AB20" s="108" t="str">
        <f t="shared" si="7"/>
        <v>cad</v>
      </c>
      <c r="AC20" s="108" t="str">
        <f t="shared" si="8"/>
        <v>cad</v>
      </c>
      <c r="AD20" s="108">
        <f t="shared" si="9"/>
        <v>2.04</v>
      </c>
      <c r="AE20" s="108">
        <f t="shared" si="21"/>
        <v>0</v>
      </c>
      <c r="AF20" s="108">
        <f t="shared" si="21"/>
        <v>2.04</v>
      </c>
      <c r="AG20" s="108">
        <f t="shared" si="21"/>
        <v>2.04</v>
      </c>
      <c r="AH20" s="103"/>
      <c r="AI20" s="119" t="s">
        <v>17</v>
      </c>
      <c r="AJ20" s="108">
        <f t="shared" si="20"/>
        <v>5.8</v>
      </c>
    </row>
    <row r="21" spans="1:36" s="11" customFormat="1" ht="14.4">
      <c r="A21" s="18"/>
      <c r="B21" s="93" t="s">
        <v>227</v>
      </c>
      <c r="C21" s="94" t="s">
        <v>318</v>
      </c>
      <c r="D21" s="94">
        <v>1</v>
      </c>
      <c r="E21" s="94" t="s">
        <v>57</v>
      </c>
      <c r="F21" s="95" t="s">
        <v>57</v>
      </c>
      <c r="G21" s="101">
        <v>1.83</v>
      </c>
      <c r="H21" s="97"/>
      <c r="I21" s="94">
        <f t="shared" si="0"/>
        <v>1.83</v>
      </c>
      <c r="J21" s="94">
        <f t="shared" si="1"/>
        <v>1.83</v>
      </c>
      <c r="K21" s="109"/>
      <c r="L21" s="98" t="s">
        <v>18</v>
      </c>
      <c r="M21" s="99">
        <v>1</v>
      </c>
      <c r="N21" s="121">
        <v>5.55</v>
      </c>
      <c r="O21" s="101">
        <v>2.4</v>
      </c>
      <c r="P21" s="102"/>
      <c r="Q21" s="102"/>
      <c r="R21" s="102"/>
      <c r="S21" s="99">
        <f t="shared" si="2"/>
        <v>13.319999999999999</v>
      </c>
      <c r="T21" s="110"/>
      <c r="U21" s="91"/>
      <c r="V21" s="92"/>
      <c r="W21" s="103"/>
      <c r="X21" s="104" t="s">
        <v>18</v>
      </c>
      <c r="Y21" s="105">
        <f t="shared" ref="Y21:Y62" si="22">N21*M21</f>
        <v>5.55</v>
      </c>
      <c r="Z21" s="106"/>
      <c r="AA21" s="107" t="s">
        <v>17</v>
      </c>
      <c r="AB21" s="108" t="str">
        <f t="shared" si="7"/>
        <v>cad</v>
      </c>
      <c r="AC21" s="108" t="str">
        <f t="shared" si="8"/>
        <v>cad</v>
      </c>
      <c r="AD21" s="108">
        <f t="shared" si="9"/>
        <v>1.83</v>
      </c>
      <c r="AE21" s="108">
        <f t="shared" si="21"/>
        <v>0</v>
      </c>
      <c r="AF21" s="108">
        <f t="shared" si="21"/>
        <v>1.83</v>
      </c>
      <c r="AG21" s="108">
        <f t="shared" si="21"/>
        <v>1.83</v>
      </c>
      <c r="AH21" s="103"/>
      <c r="AI21" s="119" t="s">
        <v>17</v>
      </c>
      <c r="AJ21" s="108">
        <f t="shared" si="20"/>
        <v>5.55</v>
      </c>
    </row>
    <row r="22" spans="1:36" s="11" customFormat="1" ht="14.4">
      <c r="A22" s="18"/>
      <c r="B22" s="93" t="s">
        <v>250</v>
      </c>
      <c r="C22" s="94" t="s">
        <v>248</v>
      </c>
      <c r="D22" s="94">
        <v>1</v>
      </c>
      <c r="E22" s="94" t="s">
        <v>57</v>
      </c>
      <c r="F22" s="95" t="s">
        <v>57</v>
      </c>
      <c r="G22" s="101">
        <v>3.72</v>
      </c>
      <c r="H22" s="97"/>
      <c r="I22" s="94">
        <f t="shared" si="0"/>
        <v>3.72</v>
      </c>
      <c r="J22" s="94">
        <f t="shared" si="1"/>
        <v>3.72</v>
      </c>
      <c r="K22" s="109"/>
      <c r="L22" s="98" t="s">
        <v>340</v>
      </c>
      <c r="M22" s="99">
        <v>1</v>
      </c>
      <c r="N22" s="100">
        <v>7.77</v>
      </c>
      <c r="O22" s="101">
        <v>2.4</v>
      </c>
      <c r="P22" s="102"/>
      <c r="Q22" s="102"/>
      <c r="R22" s="102"/>
      <c r="S22" s="99">
        <f t="shared" si="2"/>
        <v>18.648</v>
      </c>
      <c r="T22" s="110"/>
      <c r="U22" s="91"/>
      <c r="V22" s="92"/>
      <c r="W22" s="103"/>
      <c r="X22" s="104"/>
      <c r="Y22" s="105"/>
      <c r="Z22" s="106"/>
      <c r="AA22" s="107" t="s">
        <v>18</v>
      </c>
      <c r="AB22" s="108" t="str">
        <f t="shared" si="7"/>
        <v>cad</v>
      </c>
      <c r="AC22" s="108" t="str">
        <f t="shared" si="8"/>
        <v>cad</v>
      </c>
      <c r="AD22" s="108">
        <f t="shared" si="9"/>
        <v>3.72</v>
      </c>
      <c r="AE22" s="108">
        <f t="shared" si="21"/>
        <v>0</v>
      </c>
      <c r="AF22" s="108">
        <f t="shared" si="21"/>
        <v>3.72</v>
      </c>
      <c r="AG22" s="108">
        <f t="shared" si="21"/>
        <v>3.72</v>
      </c>
      <c r="AH22" s="103"/>
      <c r="AI22" s="119" t="s">
        <v>17</v>
      </c>
      <c r="AJ22" s="108">
        <f t="shared" si="20"/>
        <v>7.77</v>
      </c>
    </row>
    <row r="23" spans="1:36" s="11" customFormat="1" ht="14.4">
      <c r="A23" s="18"/>
      <c r="B23" s="93" t="s">
        <v>387</v>
      </c>
      <c r="C23" s="94" t="s">
        <v>248</v>
      </c>
      <c r="D23" s="94">
        <v>1</v>
      </c>
      <c r="E23" s="94" t="s">
        <v>57</v>
      </c>
      <c r="F23" s="95" t="s">
        <v>57</v>
      </c>
      <c r="G23" s="101">
        <v>17.989999999999998</v>
      </c>
      <c r="H23" s="97"/>
      <c r="I23" s="94">
        <f t="shared" si="0"/>
        <v>17.989999999999998</v>
      </c>
      <c r="J23" s="94">
        <f t="shared" si="1"/>
        <v>17.989999999999998</v>
      </c>
      <c r="K23" s="109"/>
      <c r="L23" s="98" t="s">
        <v>340</v>
      </c>
      <c r="M23" s="99">
        <v>1</v>
      </c>
      <c r="N23" s="100">
        <v>17.28</v>
      </c>
      <c r="O23" s="101">
        <v>2.4</v>
      </c>
      <c r="P23" s="102"/>
      <c r="Q23" s="102"/>
      <c r="R23" s="102"/>
      <c r="S23" s="99">
        <f t="shared" si="2"/>
        <v>41.472000000000001</v>
      </c>
      <c r="T23" s="110"/>
      <c r="U23" s="91"/>
      <c r="V23" s="92"/>
      <c r="W23" s="103"/>
      <c r="X23" s="104"/>
      <c r="Y23" s="105"/>
      <c r="Z23" s="106"/>
      <c r="AA23" s="107" t="s">
        <v>17</v>
      </c>
      <c r="AB23" s="108" t="str">
        <f t="shared" si="7"/>
        <v>cad</v>
      </c>
      <c r="AC23" s="108" t="str">
        <f t="shared" si="8"/>
        <v>cad</v>
      </c>
      <c r="AD23" s="108">
        <f t="shared" si="9"/>
        <v>17.989999999999998</v>
      </c>
      <c r="AE23" s="108">
        <f>H23</f>
        <v>0</v>
      </c>
      <c r="AF23" s="108">
        <f t="shared" ref="AF23:AF35" si="23">I23</f>
        <v>17.989999999999998</v>
      </c>
      <c r="AG23" s="108">
        <f t="shared" ref="AG23:AG35" si="24">J23</f>
        <v>17.989999999999998</v>
      </c>
      <c r="AH23" s="103"/>
      <c r="AI23" s="119" t="s">
        <v>17</v>
      </c>
      <c r="AJ23" s="108">
        <f t="shared" si="20"/>
        <v>17.28</v>
      </c>
    </row>
    <row r="24" spans="1:36" s="11" customFormat="1" ht="14.4">
      <c r="A24" s="18"/>
      <c r="B24" s="111" t="s">
        <v>388</v>
      </c>
      <c r="C24" s="94" t="s">
        <v>248</v>
      </c>
      <c r="D24" s="94">
        <v>1</v>
      </c>
      <c r="E24" s="94" t="s">
        <v>57</v>
      </c>
      <c r="F24" s="95" t="s">
        <v>57</v>
      </c>
      <c r="G24" s="112">
        <v>7.89</v>
      </c>
      <c r="H24" s="97"/>
      <c r="I24" s="94">
        <f t="shared" si="0"/>
        <v>7.89</v>
      </c>
      <c r="J24" s="94">
        <f t="shared" si="1"/>
        <v>7.89</v>
      </c>
      <c r="K24" s="109"/>
      <c r="L24" s="98" t="s">
        <v>340</v>
      </c>
      <c r="M24" s="99">
        <v>1</v>
      </c>
      <c r="N24" s="113">
        <v>12.59</v>
      </c>
      <c r="O24" s="112">
        <v>2.4</v>
      </c>
      <c r="P24" s="102"/>
      <c r="Q24" s="102"/>
      <c r="R24" s="102"/>
      <c r="S24" s="99">
        <f t="shared" si="2"/>
        <v>30.215999999999998</v>
      </c>
      <c r="T24" s="110"/>
      <c r="U24" s="91"/>
      <c r="V24" s="92"/>
      <c r="W24" s="103"/>
      <c r="X24" s="104"/>
      <c r="Y24" s="105"/>
      <c r="Z24" s="106"/>
      <c r="AA24" s="115" t="s">
        <v>17</v>
      </c>
      <c r="AB24" s="108" t="str">
        <f t="shared" si="7"/>
        <v>cad</v>
      </c>
      <c r="AC24" s="108" t="str">
        <f t="shared" si="8"/>
        <v>cad</v>
      </c>
      <c r="AD24" s="108">
        <f t="shared" si="9"/>
        <v>7.89</v>
      </c>
      <c r="AE24" s="108"/>
      <c r="AF24" s="108">
        <f t="shared" si="23"/>
        <v>7.89</v>
      </c>
      <c r="AG24" s="108">
        <f t="shared" si="24"/>
        <v>7.89</v>
      </c>
      <c r="AH24" s="103"/>
      <c r="AI24" s="116" t="s">
        <v>17</v>
      </c>
      <c r="AJ24" s="108">
        <f t="shared" si="20"/>
        <v>12.59</v>
      </c>
    </row>
    <row r="25" spans="1:36" s="11" customFormat="1" ht="14.4">
      <c r="A25" s="18"/>
      <c r="B25" s="111" t="s">
        <v>386</v>
      </c>
      <c r="C25" s="94" t="s">
        <v>248</v>
      </c>
      <c r="D25" s="94">
        <v>1</v>
      </c>
      <c r="E25" s="94" t="s">
        <v>57</v>
      </c>
      <c r="F25" s="95" t="s">
        <v>57</v>
      </c>
      <c r="G25" s="112">
        <v>6.7</v>
      </c>
      <c r="H25" s="97"/>
      <c r="I25" s="94">
        <f t="shared" si="0"/>
        <v>6.7</v>
      </c>
      <c r="J25" s="94">
        <f t="shared" si="1"/>
        <v>6.7</v>
      </c>
      <c r="K25" s="109"/>
      <c r="L25" s="98" t="s">
        <v>340</v>
      </c>
      <c r="M25" s="99">
        <v>1</v>
      </c>
      <c r="N25" s="113">
        <v>10.35</v>
      </c>
      <c r="O25" s="112">
        <v>2.4</v>
      </c>
      <c r="P25" s="102"/>
      <c r="Q25" s="102"/>
      <c r="R25" s="102"/>
      <c r="S25" s="99">
        <f t="shared" si="2"/>
        <v>24.84</v>
      </c>
      <c r="T25" s="110"/>
      <c r="U25" s="91"/>
      <c r="V25" s="92"/>
      <c r="W25" s="103"/>
      <c r="X25" s="104"/>
      <c r="Y25" s="105"/>
      <c r="Z25" s="106"/>
      <c r="AA25" s="115" t="s">
        <v>17</v>
      </c>
      <c r="AB25" s="108" t="str">
        <f t="shared" si="7"/>
        <v>cad</v>
      </c>
      <c r="AC25" s="108" t="str">
        <f t="shared" si="8"/>
        <v>cad</v>
      </c>
      <c r="AD25" s="108">
        <f t="shared" si="9"/>
        <v>6.7</v>
      </c>
      <c r="AE25" s="108"/>
      <c r="AF25" s="108">
        <f t="shared" si="23"/>
        <v>6.7</v>
      </c>
      <c r="AG25" s="108">
        <f t="shared" si="24"/>
        <v>6.7</v>
      </c>
      <c r="AH25" s="103"/>
      <c r="AI25" s="116" t="s">
        <v>17</v>
      </c>
      <c r="AJ25" s="108">
        <f t="shared" si="20"/>
        <v>10.35</v>
      </c>
    </row>
    <row r="26" spans="1:36" s="11" customFormat="1" ht="14.4">
      <c r="A26" s="18"/>
      <c r="B26" s="111" t="s">
        <v>389</v>
      </c>
      <c r="C26" s="94" t="s">
        <v>390</v>
      </c>
      <c r="D26" s="94">
        <v>1</v>
      </c>
      <c r="E26" s="94" t="s">
        <v>57</v>
      </c>
      <c r="F26" s="95" t="s">
        <v>57</v>
      </c>
      <c r="G26" s="112">
        <v>8.98</v>
      </c>
      <c r="H26" s="97"/>
      <c r="I26" s="94">
        <f t="shared" ref="I26:I27" si="25">(G26-H26)</f>
        <v>8.98</v>
      </c>
      <c r="J26" s="94">
        <f t="shared" ref="J26:J27" si="26">I26*D26</f>
        <v>8.98</v>
      </c>
      <c r="K26" s="109"/>
      <c r="L26" s="98" t="s">
        <v>17</v>
      </c>
      <c r="M26" s="99">
        <v>1</v>
      </c>
      <c r="N26" s="113">
        <v>12.98</v>
      </c>
      <c r="O26" s="112">
        <v>2.2999999999999998</v>
      </c>
      <c r="P26" s="102"/>
      <c r="Q26" s="102"/>
      <c r="R26" s="102"/>
      <c r="S26" s="99">
        <f t="shared" si="2"/>
        <v>29.853999999999999</v>
      </c>
      <c r="T26" s="110"/>
      <c r="U26" s="91"/>
      <c r="V26" s="92"/>
      <c r="W26" s="103"/>
      <c r="X26" s="104" t="s">
        <v>17</v>
      </c>
      <c r="Y26" s="105">
        <f t="shared" si="22"/>
        <v>12.98</v>
      </c>
      <c r="Z26" s="106"/>
      <c r="AA26" s="115" t="s">
        <v>25</v>
      </c>
      <c r="AB26" s="108" t="str">
        <f t="shared" si="7"/>
        <v>cad</v>
      </c>
      <c r="AC26" s="108" t="str">
        <f t="shared" si="8"/>
        <v>cad</v>
      </c>
      <c r="AD26" s="108">
        <f t="shared" si="9"/>
        <v>8.98</v>
      </c>
      <c r="AE26" s="108"/>
      <c r="AF26" s="108">
        <f t="shared" ref="AF26:AF27" si="27">I26</f>
        <v>8.98</v>
      </c>
      <c r="AG26" s="108">
        <f t="shared" ref="AG26:AG27" si="28">J26</f>
        <v>8.98</v>
      </c>
      <c r="AH26" s="103"/>
      <c r="AI26" s="92"/>
      <c r="AJ26" s="108"/>
    </row>
    <row r="27" spans="1:36" s="11" customFormat="1" ht="14.4">
      <c r="A27" s="18"/>
      <c r="B27" s="111" t="s">
        <v>393</v>
      </c>
      <c r="C27" s="94" t="s">
        <v>390</v>
      </c>
      <c r="D27" s="94">
        <v>1</v>
      </c>
      <c r="E27" s="94" t="s">
        <v>57</v>
      </c>
      <c r="F27" s="95" t="s">
        <v>57</v>
      </c>
      <c r="G27" s="112">
        <v>59.62</v>
      </c>
      <c r="H27" s="97"/>
      <c r="I27" s="94">
        <f t="shared" si="25"/>
        <v>59.62</v>
      </c>
      <c r="J27" s="94">
        <f t="shared" si="26"/>
        <v>59.62</v>
      </c>
      <c r="K27" s="109"/>
      <c r="L27" s="98" t="s">
        <v>17</v>
      </c>
      <c r="M27" s="99">
        <v>1</v>
      </c>
      <c r="N27" s="113">
        <v>35.270000000000003</v>
      </c>
      <c r="O27" s="112">
        <v>2.2999999999999998</v>
      </c>
      <c r="P27" s="102"/>
      <c r="Q27" s="102"/>
      <c r="R27" s="102"/>
      <c r="S27" s="99">
        <f t="shared" si="2"/>
        <v>81.120999999999995</v>
      </c>
      <c r="T27" s="110"/>
      <c r="U27" s="91"/>
      <c r="V27" s="92"/>
      <c r="W27" s="103"/>
      <c r="X27" s="104" t="s">
        <v>17</v>
      </c>
      <c r="Y27" s="105">
        <f t="shared" si="22"/>
        <v>35.270000000000003</v>
      </c>
      <c r="Z27" s="106"/>
      <c r="AA27" s="115" t="s">
        <v>25</v>
      </c>
      <c r="AB27" s="108" t="str">
        <f t="shared" si="7"/>
        <v>cad</v>
      </c>
      <c r="AC27" s="108" t="str">
        <f t="shared" si="8"/>
        <v>cad</v>
      </c>
      <c r="AD27" s="108">
        <f t="shared" si="9"/>
        <v>59.62</v>
      </c>
      <c r="AE27" s="108"/>
      <c r="AF27" s="108">
        <f t="shared" si="27"/>
        <v>59.62</v>
      </c>
      <c r="AG27" s="108">
        <f t="shared" si="28"/>
        <v>59.62</v>
      </c>
      <c r="AH27" s="103"/>
      <c r="AI27" s="92"/>
      <c r="AJ27" s="108"/>
    </row>
    <row r="28" spans="1:36" s="11" customFormat="1" ht="14.4">
      <c r="A28" s="18"/>
      <c r="B28" s="93" t="s">
        <v>58</v>
      </c>
      <c r="C28" s="94" t="s">
        <v>390</v>
      </c>
      <c r="D28" s="94">
        <v>1</v>
      </c>
      <c r="E28" s="94" t="s">
        <v>57</v>
      </c>
      <c r="F28" s="95" t="s">
        <v>57</v>
      </c>
      <c r="G28" s="101">
        <v>25.04</v>
      </c>
      <c r="H28" s="97"/>
      <c r="I28" s="94">
        <f t="shared" si="0"/>
        <v>25.04</v>
      </c>
      <c r="J28" s="94">
        <f t="shared" si="1"/>
        <v>25.04</v>
      </c>
      <c r="K28" s="89"/>
      <c r="L28" s="99" t="s">
        <v>17</v>
      </c>
      <c r="M28" s="99">
        <v>1</v>
      </c>
      <c r="N28" s="101">
        <v>20.34</v>
      </c>
      <c r="O28" s="101">
        <v>2.5</v>
      </c>
      <c r="P28" s="102"/>
      <c r="Q28" s="102"/>
      <c r="R28" s="102"/>
      <c r="S28" s="99">
        <f t="shared" si="2"/>
        <v>50.85</v>
      </c>
      <c r="T28" s="110"/>
      <c r="U28" s="91" t="s">
        <v>357</v>
      </c>
      <c r="V28" s="92">
        <f>N28*M28</f>
        <v>20.34</v>
      </c>
      <c r="W28" s="103"/>
      <c r="X28" s="104" t="s">
        <v>17</v>
      </c>
      <c r="Y28" s="105">
        <f t="shared" si="22"/>
        <v>20.34</v>
      </c>
      <c r="Z28" s="106"/>
      <c r="AA28" s="122" t="s">
        <v>17</v>
      </c>
      <c r="AB28" s="108" t="str">
        <f t="shared" si="7"/>
        <v>cad</v>
      </c>
      <c r="AC28" s="108" t="str">
        <f t="shared" si="8"/>
        <v>cad</v>
      </c>
      <c r="AD28" s="108">
        <f t="shared" si="9"/>
        <v>25.04</v>
      </c>
      <c r="AE28" s="108">
        <f>H28</f>
        <v>0</v>
      </c>
      <c r="AF28" s="108">
        <f t="shared" si="23"/>
        <v>25.04</v>
      </c>
      <c r="AG28" s="108">
        <f t="shared" si="24"/>
        <v>25.04</v>
      </c>
      <c r="AH28" s="103"/>
      <c r="AI28" s="123" t="s">
        <v>17</v>
      </c>
      <c r="AJ28" s="108">
        <f>N28*M28</f>
        <v>20.34</v>
      </c>
    </row>
    <row r="29" spans="1:36" s="11" customFormat="1" ht="14.4">
      <c r="A29" s="18"/>
      <c r="B29" s="93" t="s">
        <v>59</v>
      </c>
      <c r="C29" s="94" t="s">
        <v>246</v>
      </c>
      <c r="D29" s="94">
        <v>1</v>
      </c>
      <c r="E29" s="94" t="s">
        <v>57</v>
      </c>
      <c r="F29" s="95" t="s">
        <v>57</v>
      </c>
      <c r="G29" s="101">
        <v>40.130000000000003</v>
      </c>
      <c r="H29" s="97"/>
      <c r="I29" s="94">
        <f t="shared" si="0"/>
        <v>40.130000000000003</v>
      </c>
      <c r="J29" s="94">
        <f t="shared" si="1"/>
        <v>40.130000000000003</v>
      </c>
      <c r="K29" s="89"/>
      <c r="L29" s="99" t="s">
        <v>24</v>
      </c>
      <c r="M29" s="99">
        <v>1</v>
      </c>
      <c r="N29" s="101">
        <v>37.17</v>
      </c>
      <c r="O29" s="101">
        <v>3.15</v>
      </c>
      <c r="P29" s="102"/>
      <c r="Q29" s="102"/>
      <c r="R29" s="102"/>
      <c r="S29" s="99">
        <f t="shared" si="2"/>
        <v>117.0855</v>
      </c>
      <c r="T29" s="110"/>
      <c r="U29" s="91" t="s">
        <v>357</v>
      </c>
      <c r="V29" s="92">
        <f>N29*M29</f>
        <v>37.17</v>
      </c>
      <c r="W29" s="103"/>
      <c r="X29" s="104" t="s">
        <v>20</v>
      </c>
      <c r="Y29" s="105">
        <f t="shared" si="22"/>
        <v>37.17</v>
      </c>
      <c r="Z29" s="106"/>
      <c r="AA29" s="122" t="s">
        <v>20</v>
      </c>
      <c r="AB29" s="108" t="str">
        <f t="shared" si="7"/>
        <v>cad</v>
      </c>
      <c r="AC29" s="108" t="str">
        <f t="shared" si="8"/>
        <v>cad</v>
      </c>
      <c r="AD29" s="108">
        <f t="shared" si="9"/>
        <v>40.130000000000003</v>
      </c>
      <c r="AE29" s="108">
        <f>H29</f>
        <v>0</v>
      </c>
      <c r="AF29" s="108">
        <f t="shared" si="23"/>
        <v>40.130000000000003</v>
      </c>
      <c r="AG29" s="108">
        <f t="shared" si="24"/>
        <v>40.130000000000003</v>
      </c>
      <c r="AH29" s="103"/>
      <c r="AI29" s="92"/>
      <c r="AJ29" s="108"/>
    </row>
    <row r="30" spans="1:36" s="11" customFormat="1" ht="14.4">
      <c r="A30" s="18"/>
      <c r="B30" s="93"/>
      <c r="C30" s="94" t="s">
        <v>246</v>
      </c>
      <c r="D30" s="94">
        <v>1</v>
      </c>
      <c r="E30" s="94" t="s">
        <v>57</v>
      </c>
      <c r="F30" s="95" t="s">
        <v>57</v>
      </c>
      <c r="G30" s="101">
        <v>7.84</v>
      </c>
      <c r="H30" s="97"/>
      <c r="I30" s="94">
        <f t="shared" ref="I30" si="29">(G30-H30)</f>
        <v>7.84</v>
      </c>
      <c r="J30" s="94">
        <f t="shared" ref="J30" si="30">I30*D30</f>
        <v>7.84</v>
      </c>
      <c r="K30" s="89"/>
      <c r="L30" s="99"/>
      <c r="M30" s="99"/>
      <c r="N30" s="94"/>
      <c r="O30" s="94"/>
      <c r="P30" s="102"/>
      <c r="Q30" s="102"/>
      <c r="R30" s="102"/>
      <c r="S30" s="99"/>
      <c r="T30" s="110"/>
      <c r="U30" s="91"/>
      <c r="V30" s="92"/>
      <c r="W30" s="103"/>
      <c r="X30" s="104"/>
      <c r="Y30" s="105"/>
      <c r="Z30" s="106"/>
      <c r="AA30" s="124"/>
      <c r="AB30" s="108"/>
      <c r="AC30" s="108"/>
      <c r="AD30" s="108"/>
      <c r="AE30" s="108"/>
      <c r="AF30" s="108"/>
      <c r="AG30" s="108"/>
      <c r="AH30" s="103"/>
      <c r="AI30" s="92"/>
      <c r="AJ30" s="108"/>
    </row>
    <row r="31" spans="1:36" s="11" customFormat="1" ht="14.4">
      <c r="A31" s="18"/>
      <c r="B31" s="93" t="s">
        <v>258</v>
      </c>
      <c r="C31" s="94" t="s">
        <v>390</v>
      </c>
      <c r="D31" s="94">
        <v>1</v>
      </c>
      <c r="E31" s="94" t="s">
        <v>57</v>
      </c>
      <c r="F31" s="95" t="s">
        <v>57</v>
      </c>
      <c r="G31" s="101">
        <v>30.74</v>
      </c>
      <c r="H31" s="97"/>
      <c r="I31" s="94">
        <f t="shared" ref="I31" si="31">(G31-H31)</f>
        <v>30.74</v>
      </c>
      <c r="J31" s="94">
        <f t="shared" ref="J31" si="32">I31*D31</f>
        <v>30.74</v>
      </c>
      <c r="K31" s="89"/>
      <c r="L31" s="99" t="s">
        <v>338</v>
      </c>
      <c r="M31" s="99">
        <v>1</v>
      </c>
      <c r="N31" s="101">
        <v>22.51</v>
      </c>
      <c r="O31" s="101">
        <v>2.2000000000000002</v>
      </c>
      <c r="P31" s="102"/>
      <c r="Q31" s="102"/>
      <c r="R31" s="102"/>
      <c r="S31" s="99">
        <f t="shared" si="2"/>
        <v>49.522000000000006</v>
      </c>
      <c r="T31" s="110"/>
      <c r="U31" s="91"/>
      <c r="V31" s="92"/>
      <c r="W31" s="103"/>
      <c r="X31" s="104"/>
      <c r="Y31" s="105"/>
      <c r="Z31" s="106"/>
      <c r="AA31" s="107" t="s">
        <v>21</v>
      </c>
      <c r="AB31" s="108" t="str">
        <f t="shared" si="7"/>
        <v>cad</v>
      </c>
      <c r="AC31" s="108" t="str">
        <f t="shared" si="8"/>
        <v>cad</v>
      </c>
      <c r="AD31" s="108">
        <f t="shared" si="9"/>
        <v>30.74</v>
      </c>
      <c r="AE31" s="108">
        <f>H31</f>
        <v>0</v>
      </c>
      <c r="AF31" s="108">
        <f t="shared" si="23"/>
        <v>30.74</v>
      </c>
      <c r="AG31" s="108">
        <f t="shared" si="24"/>
        <v>30.74</v>
      </c>
      <c r="AH31" s="103"/>
      <c r="AI31" s="118"/>
      <c r="AJ31" s="95"/>
    </row>
    <row r="32" spans="1:36" s="11" customFormat="1" ht="14.4">
      <c r="A32" s="18"/>
      <c r="B32" s="111" t="s">
        <v>157</v>
      </c>
      <c r="C32" s="94" t="s">
        <v>390</v>
      </c>
      <c r="D32" s="94">
        <v>1</v>
      </c>
      <c r="E32" s="94" t="s">
        <v>57</v>
      </c>
      <c r="F32" s="95" t="s">
        <v>57</v>
      </c>
      <c r="G32" s="112">
        <v>48.99</v>
      </c>
      <c r="H32" s="97"/>
      <c r="I32" s="94">
        <f t="shared" ref="I32" si="33">(G32-H32)</f>
        <v>48.99</v>
      </c>
      <c r="J32" s="94">
        <f t="shared" ref="J32" si="34">I32*D32</f>
        <v>48.99</v>
      </c>
      <c r="K32" s="89"/>
      <c r="L32" s="99" t="s">
        <v>17</v>
      </c>
      <c r="M32" s="99">
        <v>1</v>
      </c>
      <c r="N32" s="112">
        <f>38.23-2.87</f>
        <v>35.36</v>
      </c>
      <c r="O32" s="112">
        <v>2.2999999999999998</v>
      </c>
      <c r="P32" s="102"/>
      <c r="Q32" s="102"/>
      <c r="R32" s="102"/>
      <c r="S32" s="99">
        <f t="shared" si="2"/>
        <v>81.327999999999989</v>
      </c>
      <c r="T32" s="110"/>
      <c r="U32" s="91"/>
      <c r="V32" s="92"/>
      <c r="W32" s="103"/>
      <c r="X32" s="104" t="s">
        <v>17</v>
      </c>
      <c r="Y32" s="105">
        <f t="shared" si="22"/>
        <v>35.36</v>
      </c>
      <c r="Z32" s="125"/>
      <c r="AA32" s="115" t="s">
        <v>17</v>
      </c>
      <c r="AB32" s="108" t="str">
        <f t="shared" ref="AB32" si="35">E32</f>
        <v>cad</v>
      </c>
      <c r="AC32" s="108" t="str">
        <f t="shared" ref="AC32" si="36">F32</f>
        <v>cad</v>
      </c>
      <c r="AD32" s="108">
        <f t="shared" ref="AD32" si="37">G32</f>
        <v>48.99</v>
      </c>
      <c r="AE32" s="108">
        <f>H32</f>
        <v>0</v>
      </c>
      <c r="AF32" s="108">
        <f t="shared" ref="AF32" si="38">I32</f>
        <v>48.99</v>
      </c>
      <c r="AG32" s="108">
        <f t="shared" ref="AG32" si="39">J32</f>
        <v>48.99</v>
      </c>
      <c r="AH32" s="103"/>
      <c r="AI32" s="116" t="s">
        <v>17</v>
      </c>
      <c r="AJ32" s="108">
        <f t="shared" ref="AJ32" si="40">N32*M32</f>
        <v>35.36</v>
      </c>
    </row>
    <row r="33" spans="1:36" s="11" customFormat="1" ht="14.4">
      <c r="A33" s="18"/>
      <c r="B33" s="93" t="s">
        <v>397</v>
      </c>
      <c r="C33" s="94" t="s">
        <v>390</v>
      </c>
      <c r="D33" s="94">
        <v>1</v>
      </c>
      <c r="E33" s="94" t="s">
        <v>57</v>
      </c>
      <c r="F33" s="95" t="s">
        <v>57</v>
      </c>
      <c r="G33" s="101">
        <v>63.87</v>
      </c>
      <c r="H33" s="97"/>
      <c r="I33" s="94">
        <f t="shared" si="0"/>
        <v>63.87</v>
      </c>
      <c r="J33" s="94">
        <f t="shared" si="1"/>
        <v>63.87</v>
      </c>
      <c r="K33" s="89"/>
      <c r="L33" s="99" t="s">
        <v>17</v>
      </c>
      <c r="M33" s="99">
        <v>1</v>
      </c>
      <c r="N33" s="101">
        <v>43.05</v>
      </c>
      <c r="O33" s="101">
        <v>2.2999999999999998</v>
      </c>
      <c r="P33" s="102"/>
      <c r="Q33" s="102"/>
      <c r="R33" s="102"/>
      <c r="S33" s="99">
        <f t="shared" si="2"/>
        <v>99.014999999999986</v>
      </c>
      <c r="T33" s="110"/>
      <c r="U33" s="91" t="s">
        <v>357</v>
      </c>
      <c r="V33" s="92">
        <f>M33*N33</f>
        <v>43.05</v>
      </c>
      <c r="W33" s="103"/>
      <c r="X33" s="104" t="s">
        <v>17</v>
      </c>
      <c r="Y33" s="105">
        <f t="shared" si="22"/>
        <v>43.05</v>
      </c>
      <c r="Z33" s="125"/>
      <c r="AA33" s="122" t="s">
        <v>17</v>
      </c>
      <c r="AB33" s="108" t="str">
        <f t="shared" ref="AB33:AD35" si="41">E33</f>
        <v>cad</v>
      </c>
      <c r="AC33" s="108" t="str">
        <f t="shared" si="41"/>
        <v>cad</v>
      </c>
      <c r="AD33" s="108">
        <f t="shared" si="41"/>
        <v>63.87</v>
      </c>
      <c r="AE33" s="108"/>
      <c r="AF33" s="108">
        <f t="shared" si="23"/>
        <v>63.87</v>
      </c>
      <c r="AG33" s="108">
        <f t="shared" si="24"/>
        <v>63.87</v>
      </c>
      <c r="AH33" s="103"/>
      <c r="AI33" s="123" t="s">
        <v>17</v>
      </c>
      <c r="AJ33" s="108">
        <f t="shared" ref="AJ33:AJ35" si="42">N33*M33</f>
        <v>43.05</v>
      </c>
    </row>
    <row r="34" spans="1:36" s="11" customFormat="1" ht="14.4">
      <c r="A34" s="18"/>
      <c r="B34" s="93" t="s">
        <v>313</v>
      </c>
      <c r="C34" s="94" t="s">
        <v>248</v>
      </c>
      <c r="D34" s="94">
        <v>1</v>
      </c>
      <c r="E34" s="94" t="s">
        <v>57</v>
      </c>
      <c r="F34" s="95" t="s">
        <v>57</v>
      </c>
      <c r="G34" s="101">
        <v>8.24</v>
      </c>
      <c r="H34" s="97"/>
      <c r="I34" s="94">
        <f t="shared" si="0"/>
        <v>8.24</v>
      </c>
      <c r="J34" s="94">
        <f t="shared" si="1"/>
        <v>8.24</v>
      </c>
      <c r="K34" s="89"/>
      <c r="L34" s="98" t="s">
        <v>340</v>
      </c>
      <c r="M34" s="99">
        <v>1</v>
      </c>
      <c r="N34" s="99">
        <f>12.3</f>
        <v>12.3</v>
      </c>
      <c r="O34" s="101">
        <v>2.4</v>
      </c>
      <c r="P34" s="102"/>
      <c r="Q34" s="102"/>
      <c r="R34" s="102"/>
      <c r="S34" s="99">
        <f t="shared" si="2"/>
        <v>29.52</v>
      </c>
      <c r="T34" s="110"/>
      <c r="U34" s="91"/>
      <c r="V34" s="92"/>
      <c r="W34" s="103"/>
      <c r="X34" s="104"/>
      <c r="Y34" s="105"/>
      <c r="Z34" s="125"/>
      <c r="AA34" s="122" t="s">
        <v>17</v>
      </c>
      <c r="AB34" s="108" t="str">
        <f t="shared" si="41"/>
        <v>cad</v>
      </c>
      <c r="AC34" s="108" t="str">
        <f t="shared" si="41"/>
        <v>cad</v>
      </c>
      <c r="AD34" s="108">
        <f t="shared" si="41"/>
        <v>8.24</v>
      </c>
      <c r="AE34" s="108"/>
      <c r="AF34" s="108">
        <f t="shared" si="23"/>
        <v>8.24</v>
      </c>
      <c r="AG34" s="108">
        <f t="shared" si="24"/>
        <v>8.24</v>
      </c>
      <c r="AH34" s="103"/>
      <c r="AI34" s="123" t="s">
        <v>17</v>
      </c>
      <c r="AJ34" s="108">
        <f t="shared" si="42"/>
        <v>12.3</v>
      </c>
    </row>
    <row r="35" spans="1:36" s="11" customFormat="1" ht="14.4">
      <c r="A35" s="18"/>
      <c r="B35" s="93" t="s">
        <v>312</v>
      </c>
      <c r="C35" s="94" t="s">
        <v>248</v>
      </c>
      <c r="D35" s="94">
        <v>1</v>
      </c>
      <c r="E35" s="94" t="s">
        <v>57</v>
      </c>
      <c r="F35" s="95" t="s">
        <v>57</v>
      </c>
      <c r="G35" s="101">
        <v>7.57</v>
      </c>
      <c r="H35" s="97"/>
      <c r="I35" s="94">
        <f t="shared" si="0"/>
        <v>7.57</v>
      </c>
      <c r="J35" s="94">
        <f t="shared" si="1"/>
        <v>7.57</v>
      </c>
      <c r="K35" s="89"/>
      <c r="L35" s="98" t="s">
        <v>340</v>
      </c>
      <c r="M35" s="99">
        <v>1</v>
      </c>
      <c r="N35" s="101">
        <f>12.3</f>
        <v>12.3</v>
      </c>
      <c r="O35" s="101">
        <v>2.4</v>
      </c>
      <c r="P35" s="102"/>
      <c r="Q35" s="102"/>
      <c r="R35" s="102"/>
      <c r="S35" s="99">
        <f t="shared" si="2"/>
        <v>29.52</v>
      </c>
      <c r="T35" s="110"/>
      <c r="U35" s="91"/>
      <c r="V35" s="92"/>
      <c r="W35" s="103"/>
      <c r="X35" s="104"/>
      <c r="Y35" s="105"/>
      <c r="Z35" s="125"/>
      <c r="AA35" s="122" t="s">
        <v>17</v>
      </c>
      <c r="AB35" s="108" t="str">
        <f t="shared" si="41"/>
        <v>cad</v>
      </c>
      <c r="AC35" s="108" t="str">
        <f t="shared" si="41"/>
        <v>cad</v>
      </c>
      <c r="AD35" s="108">
        <f t="shared" si="41"/>
        <v>7.57</v>
      </c>
      <c r="AE35" s="108"/>
      <c r="AF35" s="108">
        <f t="shared" si="23"/>
        <v>7.57</v>
      </c>
      <c r="AG35" s="108">
        <f t="shared" si="24"/>
        <v>7.57</v>
      </c>
      <c r="AH35" s="103"/>
      <c r="AI35" s="123" t="s">
        <v>17</v>
      </c>
      <c r="AJ35" s="108">
        <f t="shared" si="42"/>
        <v>12.3</v>
      </c>
    </row>
    <row r="36" spans="1:36" s="11" customFormat="1" ht="15.75" customHeight="1">
      <c r="A36" s="18"/>
      <c r="B36" s="93" t="s">
        <v>394</v>
      </c>
      <c r="C36" s="94" t="s">
        <v>251</v>
      </c>
      <c r="D36" s="94">
        <v>1</v>
      </c>
      <c r="E36" s="94" t="s">
        <v>57</v>
      </c>
      <c r="F36" s="95" t="s">
        <v>57</v>
      </c>
      <c r="G36" s="101">
        <v>6.7</v>
      </c>
      <c r="H36" s="97"/>
      <c r="I36" s="94">
        <f t="shared" si="0"/>
        <v>6.7</v>
      </c>
      <c r="J36" s="94">
        <f t="shared" si="1"/>
        <v>6.7</v>
      </c>
      <c r="K36" s="109"/>
      <c r="L36" s="98" t="s">
        <v>19</v>
      </c>
      <c r="M36" s="99">
        <v>1</v>
      </c>
      <c r="N36" s="100">
        <v>10.36</v>
      </c>
      <c r="O36" s="101">
        <v>2.4</v>
      </c>
      <c r="P36" s="102"/>
      <c r="Q36" s="102"/>
      <c r="R36" s="102"/>
      <c r="S36" s="99">
        <f t="shared" si="2"/>
        <v>24.863999999999997</v>
      </c>
      <c r="T36" s="110"/>
      <c r="U36" s="91" t="s">
        <v>357</v>
      </c>
      <c r="V36" s="92">
        <f>N36*M36</f>
        <v>10.36</v>
      </c>
      <c r="W36" s="103"/>
      <c r="X36" s="126"/>
      <c r="Y36" s="105"/>
      <c r="Z36" s="125"/>
      <c r="AA36" s="107" t="s">
        <v>17</v>
      </c>
      <c r="AB36" s="108" t="str">
        <f t="shared" ref="AB36:AB38" si="43">E36</f>
        <v>cad</v>
      </c>
      <c r="AC36" s="108" t="str">
        <f t="shared" ref="AC36:AC38" si="44">F36</f>
        <v>cad</v>
      </c>
      <c r="AD36" s="108">
        <f t="shared" ref="AD36:AD38" si="45">G36</f>
        <v>6.7</v>
      </c>
      <c r="AE36" s="108">
        <f t="shared" ref="AE36:AE38" si="46">H36</f>
        <v>0</v>
      </c>
      <c r="AF36" s="108">
        <f t="shared" ref="AF36:AF38" si="47">I36</f>
        <v>6.7</v>
      </c>
      <c r="AG36" s="108">
        <f t="shared" ref="AG36:AG38" si="48">J36</f>
        <v>6.7</v>
      </c>
      <c r="AH36" s="103"/>
      <c r="AI36" s="119" t="s">
        <v>17</v>
      </c>
      <c r="AJ36" s="108">
        <f>N36*M36</f>
        <v>10.36</v>
      </c>
    </row>
    <row r="37" spans="1:36" s="11" customFormat="1" ht="15.75" customHeight="1">
      <c r="A37" s="18"/>
      <c r="B37" s="93" t="s">
        <v>227</v>
      </c>
      <c r="C37" s="94" t="s">
        <v>318</v>
      </c>
      <c r="D37" s="101">
        <v>2</v>
      </c>
      <c r="E37" s="94" t="s">
        <v>57</v>
      </c>
      <c r="F37" s="95" t="s">
        <v>57</v>
      </c>
      <c r="G37" s="101">
        <v>2.75</v>
      </c>
      <c r="H37" s="97"/>
      <c r="I37" s="94">
        <f t="shared" si="0"/>
        <v>2.75</v>
      </c>
      <c r="J37" s="94">
        <f t="shared" si="1"/>
        <v>5.5</v>
      </c>
      <c r="K37" s="109"/>
      <c r="L37" s="98" t="s">
        <v>18</v>
      </c>
      <c r="M37" s="99">
        <v>1</v>
      </c>
      <c r="N37" s="100">
        <v>6.9</v>
      </c>
      <c r="O37" s="101">
        <v>2.4</v>
      </c>
      <c r="P37" s="102"/>
      <c r="Q37" s="102"/>
      <c r="R37" s="102"/>
      <c r="S37" s="99">
        <f t="shared" si="2"/>
        <v>16.559999999999999</v>
      </c>
      <c r="T37" s="110"/>
      <c r="U37" s="91" t="s">
        <v>357</v>
      </c>
      <c r="V37" s="92">
        <f>N37*M37</f>
        <v>6.9</v>
      </c>
      <c r="W37" s="103"/>
      <c r="X37" s="126" t="s">
        <v>18</v>
      </c>
      <c r="Y37" s="105">
        <f t="shared" si="22"/>
        <v>6.9</v>
      </c>
      <c r="Z37" s="125"/>
      <c r="AA37" s="107" t="s">
        <v>18</v>
      </c>
      <c r="AB37" s="108" t="str">
        <f t="shared" si="43"/>
        <v>cad</v>
      </c>
      <c r="AC37" s="108" t="str">
        <f t="shared" si="44"/>
        <v>cad</v>
      </c>
      <c r="AD37" s="108">
        <f t="shared" si="45"/>
        <v>2.75</v>
      </c>
      <c r="AE37" s="108">
        <f t="shared" si="46"/>
        <v>0</v>
      </c>
      <c r="AF37" s="108">
        <f t="shared" si="47"/>
        <v>2.75</v>
      </c>
      <c r="AG37" s="108">
        <f t="shared" si="48"/>
        <v>5.5</v>
      </c>
      <c r="AH37" s="103"/>
      <c r="AI37" s="119" t="s">
        <v>17</v>
      </c>
      <c r="AJ37" s="108">
        <f t="shared" ref="AJ37:AJ38" si="49">N37*M37</f>
        <v>6.9</v>
      </c>
    </row>
    <row r="38" spans="1:36" s="11" customFormat="1" ht="15.75" customHeight="1">
      <c r="A38" s="18"/>
      <c r="B38" s="93" t="s">
        <v>116</v>
      </c>
      <c r="C38" s="94" t="s">
        <v>251</v>
      </c>
      <c r="D38" s="94">
        <v>1</v>
      </c>
      <c r="E38" s="94" t="s">
        <v>57</v>
      </c>
      <c r="F38" s="95" t="s">
        <v>57</v>
      </c>
      <c r="G38" s="101">
        <v>2.82</v>
      </c>
      <c r="H38" s="97"/>
      <c r="I38" s="94">
        <f t="shared" si="0"/>
        <v>2.82</v>
      </c>
      <c r="J38" s="94">
        <f t="shared" si="1"/>
        <v>2.82</v>
      </c>
      <c r="K38" s="109"/>
      <c r="L38" s="98" t="s">
        <v>19</v>
      </c>
      <c r="M38" s="99">
        <v>1</v>
      </c>
      <c r="N38" s="100">
        <v>6.68</v>
      </c>
      <c r="O38" s="101">
        <v>2.5</v>
      </c>
      <c r="P38" s="102"/>
      <c r="Q38" s="102"/>
      <c r="R38" s="102"/>
      <c r="S38" s="99">
        <f t="shared" si="2"/>
        <v>16.7</v>
      </c>
      <c r="T38" s="110"/>
      <c r="U38" s="91" t="s">
        <v>357</v>
      </c>
      <c r="V38" s="92">
        <f>N38*M38</f>
        <v>6.68</v>
      </c>
      <c r="W38" s="103"/>
      <c r="X38" s="126"/>
      <c r="Y38" s="105"/>
      <c r="Z38" s="127"/>
      <c r="AA38" s="107" t="s">
        <v>17</v>
      </c>
      <c r="AB38" s="108" t="str">
        <f t="shared" si="43"/>
        <v>cad</v>
      </c>
      <c r="AC38" s="108" t="str">
        <f t="shared" si="44"/>
        <v>cad</v>
      </c>
      <c r="AD38" s="108">
        <f t="shared" si="45"/>
        <v>2.82</v>
      </c>
      <c r="AE38" s="108">
        <f t="shared" si="46"/>
        <v>0</v>
      </c>
      <c r="AF38" s="108">
        <f t="shared" si="47"/>
        <v>2.82</v>
      </c>
      <c r="AG38" s="108">
        <f t="shared" si="48"/>
        <v>2.82</v>
      </c>
      <c r="AH38" s="103"/>
      <c r="AI38" s="119" t="s">
        <v>17</v>
      </c>
      <c r="AJ38" s="108">
        <f t="shared" si="49"/>
        <v>6.68</v>
      </c>
    </row>
    <row r="39" spans="1:36" s="11" customFormat="1" ht="14.4">
      <c r="A39" s="18"/>
      <c r="B39" s="93" t="s">
        <v>395</v>
      </c>
      <c r="C39" s="94" t="s">
        <v>251</v>
      </c>
      <c r="D39" s="94">
        <v>1</v>
      </c>
      <c r="E39" s="94" t="s">
        <v>57</v>
      </c>
      <c r="F39" s="95" t="s">
        <v>57</v>
      </c>
      <c r="G39" s="101">
        <v>13.5</v>
      </c>
      <c r="H39" s="97"/>
      <c r="I39" s="94">
        <f>(G39-H39)</f>
        <v>13.5</v>
      </c>
      <c r="J39" s="94">
        <f t="shared" si="1"/>
        <v>13.5</v>
      </c>
      <c r="K39" s="89"/>
      <c r="L39" s="99" t="s">
        <v>19</v>
      </c>
      <c r="M39" s="99">
        <v>1</v>
      </c>
      <c r="N39" s="101">
        <v>15.85</v>
      </c>
      <c r="O39" s="101">
        <v>2.4</v>
      </c>
      <c r="P39" s="102"/>
      <c r="Q39" s="102"/>
      <c r="R39" s="102"/>
      <c r="S39" s="99">
        <f t="shared" si="2"/>
        <v>38.04</v>
      </c>
      <c r="T39" s="110"/>
      <c r="U39" s="91" t="s">
        <v>357</v>
      </c>
      <c r="V39" s="92">
        <f t="shared" ref="V39:V57" si="50">N39*M39</f>
        <v>15.85</v>
      </c>
      <c r="W39" s="103"/>
      <c r="X39" s="126"/>
      <c r="Y39" s="105"/>
      <c r="Z39" s="127"/>
      <c r="AA39" s="122" t="s">
        <v>17</v>
      </c>
      <c r="AB39" s="108" t="str">
        <f t="shared" ref="AB39" si="51">E39</f>
        <v>cad</v>
      </c>
      <c r="AC39" s="108" t="str">
        <f t="shared" ref="AC39" si="52">F39</f>
        <v>cad</v>
      </c>
      <c r="AD39" s="108">
        <f t="shared" ref="AD39:AD69" si="53">G39</f>
        <v>13.5</v>
      </c>
      <c r="AE39" s="108"/>
      <c r="AF39" s="108">
        <f t="shared" ref="AF39:AF69" si="54">I39</f>
        <v>13.5</v>
      </c>
      <c r="AG39" s="108">
        <f t="shared" ref="AG39:AG69" si="55">J39</f>
        <v>13.5</v>
      </c>
      <c r="AH39" s="103"/>
      <c r="AI39" s="123" t="s">
        <v>17</v>
      </c>
      <c r="AJ39" s="108">
        <f>N39*M39</f>
        <v>15.85</v>
      </c>
    </row>
    <row r="40" spans="1:36" s="11" customFormat="1" ht="15.75" customHeight="1">
      <c r="A40" s="18"/>
      <c r="B40" s="111" t="s">
        <v>396</v>
      </c>
      <c r="C40" s="94" t="s">
        <v>390</v>
      </c>
      <c r="D40" s="94">
        <v>1</v>
      </c>
      <c r="E40" s="94" t="s">
        <v>57</v>
      </c>
      <c r="F40" s="95" t="s">
        <v>57</v>
      </c>
      <c r="G40" s="112">
        <v>7.74</v>
      </c>
      <c r="H40" s="97"/>
      <c r="I40" s="94">
        <f>(G40-H40)</f>
        <v>7.74</v>
      </c>
      <c r="J40" s="94">
        <f t="shared" ref="J40" si="56">I40*D40</f>
        <v>7.74</v>
      </c>
      <c r="K40" s="109"/>
      <c r="L40" s="99" t="s">
        <v>17</v>
      </c>
      <c r="M40" s="94">
        <v>1</v>
      </c>
      <c r="N40" s="112">
        <v>11.5</v>
      </c>
      <c r="O40" s="112">
        <v>2.4</v>
      </c>
      <c r="P40" s="97"/>
      <c r="Q40" s="97"/>
      <c r="R40" s="97"/>
      <c r="S40" s="99">
        <f t="shared" si="2"/>
        <v>27.599999999999998</v>
      </c>
      <c r="T40" s="110"/>
      <c r="U40" s="91"/>
      <c r="V40" s="92"/>
      <c r="W40" s="103"/>
      <c r="X40" s="104" t="s">
        <v>17</v>
      </c>
      <c r="Y40" s="105">
        <f t="shared" si="22"/>
        <v>11.5</v>
      </c>
      <c r="Z40" s="128"/>
      <c r="AA40" s="115" t="s">
        <v>17</v>
      </c>
      <c r="AB40" s="108" t="str">
        <f t="shared" ref="AB40:AB41" si="57">E40</f>
        <v>cad</v>
      </c>
      <c r="AC40" s="108" t="str">
        <f t="shared" ref="AC40:AC41" si="58">F40</f>
        <v>cad</v>
      </c>
      <c r="AD40" s="108">
        <f t="shared" ref="AD40:AD41" si="59">G40</f>
        <v>7.74</v>
      </c>
      <c r="AE40" s="108">
        <f t="shared" ref="AE40:AE41" si="60">H40</f>
        <v>0</v>
      </c>
      <c r="AF40" s="108">
        <f t="shared" ref="AF40:AF41" si="61">I40</f>
        <v>7.74</v>
      </c>
      <c r="AG40" s="108">
        <f t="shared" ref="AG40:AG41" si="62">J40</f>
        <v>7.74</v>
      </c>
      <c r="AH40" s="103"/>
      <c r="AI40" s="116" t="s">
        <v>17</v>
      </c>
      <c r="AJ40" s="108">
        <f t="shared" ref="AJ40:AJ45" si="63">N40*M40</f>
        <v>11.5</v>
      </c>
    </row>
    <row r="41" spans="1:36" s="11" customFormat="1" ht="15.75" customHeight="1">
      <c r="A41" s="18"/>
      <c r="B41" s="111" t="s">
        <v>409</v>
      </c>
      <c r="C41" s="94" t="s">
        <v>390</v>
      </c>
      <c r="D41" s="94">
        <v>1</v>
      </c>
      <c r="E41" s="94" t="s">
        <v>57</v>
      </c>
      <c r="F41" s="95" t="s">
        <v>57</v>
      </c>
      <c r="G41" s="112">
        <v>9</v>
      </c>
      <c r="H41" s="97"/>
      <c r="I41" s="94">
        <f>(G41-H41)</f>
        <v>9</v>
      </c>
      <c r="J41" s="94">
        <f t="shared" ref="J41" si="64">I41*D41</f>
        <v>9</v>
      </c>
      <c r="K41" s="109"/>
      <c r="L41" s="99" t="s">
        <v>17</v>
      </c>
      <c r="M41" s="94">
        <v>1</v>
      </c>
      <c r="N41" s="112">
        <v>12.39</v>
      </c>
      <c r="O41" s="112">
        <v>2.4</v>
      </c>
      <c r="P41" s="97"/>
      <c r="Q41" s="97"/>
      <c r="R41" s="97"/>
      <c r="S41" s="99">
        <f t="shared" si="2"/>
        <v>29.736000000000001</v>
      </c>
      <c r="T41" s="110"/>
      <c r="U41" s="91"/>
      <c r="V41" s="92"/>
      <c r="W41" s="103"/>
      <c r="X41" s="104" t="s">
        <v>17</v>
      </c>
      <c r="Y41" s="105">
        <f t="shared" si="22"/>
        <v>12.39</v>
      </c>
      <c r="Z41" s="129"/>
      <c r="AA41" s="115" t="s">
        <v>17</v>
      </c>
      <c r="AB41" s="108" t="str">
        <f t="shared" si="57"/>
        <v>cad</v>
      </c>
      <c r="AC41" s="108" t="str">
        <f t="shared" si="58"/>
        <v>cad</v>
      </c>
      <c r="AD41" s="108">
        <f t="shared" si="59"/>
        <v>9</v>
      </c>
      <c r="AE41" s="108">
        <f t="shared" si="60"/>
        <v>0</v>
      </c>
      <c r="AF41" s="108">
        <f t="shared" si="61"/>
        <v>9</v>
      </c>
      <c r="AG41" s="108">
        <f t="shared" si="62"/>
        <v>9</v>
      </c>
      <c r="AH41" s="103"/>
      <c r="AI41" s="116" t="s">
        <v>17</v>
      </c>
      <c r="AJ41" s="108">
        <f t="shared" si="63"/>
        <v>12.39</v>
      </c>
    </row>
    <row r="42" spans="1:36" s="11" customFormat="1" ht="15.75" customHeight="1">
      <c r="A42" s="18"/>
      <c r="B42" s="93" t="s">
        <v>252</v>
      </c>
      <c r="C42" s="94" t="s">
        <v>390</v>
      </c>
      <c r="D42" s="94">
        <v>1</v>
      </c>
      <c r="E42" s="94" t="s">
        <v>57</v>
      </c>
      <c r="F42" s="95" t="s">
        <v>57</v>
      </c>
      <c r="G42" s="94">
        <v>10.89</v>
      </c>
      <c r="H42" s="97"/>
      <c r="I42" s="94">
        <f t="shared" si="0"/>
        <v>10.89</v>
      </c>
      <c r="J42" s="94">
        <f t="shared" si="1"/>
        <v>10.89</v>
      </c>
      <c r="K42" s="109"/>
      <c r="L42" s="99" t="s">
        <v>17</v>
      </c>
      <c r="M42" s="99">
        <v>1</v>
      </c>
      <c r="N42" s="121">
        <v>13.34</v>
      </c>
      <c r="O42" s="101">
        <v>2.4</v>
      </c>
      <c r="P42" s="102"/>
      <c r="Q42" s="102"/>
      <c r="R42" s="102"/>
      <c r="S42" s="99">
        <f t="shared" ref="S42:S72" si="65">(N42*O42-P42)*M42</f>
        <v>32.015999999999998</v>
      </c>
      <c r="T42" s="110"/>
      <c r="U42" s="91" t="s">
        <v>357</v>
      </c>
      <c r="V42" s="92">
        <f t="shared" si="50"/>
        <v>13.34</v>
      </c>
      <c r="W42" s="103"/>
      <c r="X42" s="104" t="s">
        <v>17</v>
      </c>
      <c r="Y42" s="105">
        <f t="shared" si="22"/>
        <v>13.34</v>
      </c>
      <c r="Z42" s="129"/>
      <c r="AA42" s="107" t="s">
        <v>17</v>
      </c>
      <c r="AB42" s="108" t="str">
        <f t="shared" ref="AB42:AB58" si="66">E42</f>
        <v>cad</v>
      </c>
      <c r="AC42" s="108" t="str">
        <f t="shared" ref="AC42:AC58" si="67">F42</f>
        <v>cad</v>
      </c>
      <c r="AD42" s="108">
        <f t="shared" si="53"/>
        <v>10.89</v>
      </c>
      <c r="AE42" s="108">
        <f t="shared" ref="AE42:AE58" si="68">H42</f>
        <v>0</v>
      </c>
      <c r="AF42" s="108">
        <f t="shared" si="54"/>
        <v>10.89</v>
      </c>
      <c r="AG42" s="108">
        <f t="shared" si="55"/>
        <v>10.89</v>
      </c>
      <c r="AH42" s="103"/>
      <c r="AI42" s="119" t="s">
        <v>17</v>
      </c>
      <c r="AJ42" s="108">
        <f t="shared" si="63"/>
        <v>13.34</v>
      </c>
    </row>
    <row r="43" spans="1:36" s="11" customFormat="1" ht="15.75" customHeight="1">
      <c r="A43" s="18"/>
      <c r="B43" s="111" t="s">
        <v>410</v>
      </c>
      <c r="C43" s="94" t="s">
        <v>390</v>
      </c>
      <c r="D43" s="94">
        <v>2</v>
      </c>
      <c r="E43" s="94" t="s">
        <v>57</v>
      </c>
      <c r="F43" s="95" t="s">
        <v>57</v>
      </c>
      <c r="G43" s="112">
        <v>6.06</v>
      </c>
      <c r="H43" s="97"/>
      <c r="I43" s="94">
        <f t="shared" ref="I43" si="69">(G43-H43)</f>
        <v>6.06</v>
      </c>
      <c r="J43" s="94">
        <f t="shared" ref="J43" si="70">I43*D43</f>
        <v>12.12</v>
      </c>
      <c r="K43" s="109"/>
      <c r="L43" s="99" t="s">
        <v>17</v>
      </c>
      <c r="M43" s="99">
        <v>2</v>
      </c>
      <c r="N43" s="113">
        <v>10.11</v>
      </c>
      <c r="O43" s="112">
        <v>2.4</v>
      </c>
      <c r="P43" s="102"/>
      <c r="Q43" s="102"/>
      <c r="R43" s="102"/>
      <c r="S43" s="99">
        <f t="shared" si="65"/>
        <v>48.527999999999999</v>
      </c>
      <c r="T43" s="110"/>
      <c r="U43" s="91"/>
      <c r="V43" s="92"/>
      <c r="W43" s="103"/>
      <c r="X43" s="104" t="s">
        <v>17</v>
      </c>
      <c r="Y43" s="105">
        <f t="shared" si="22"/>
        <v>20.22</v>
      </c>
      <c r="Z43" s="129"/>
      <c r="AA43" s="115" t="s">
        <v>17</v>
      </c>
      <c r="AB43" s="108" t="str">
        <f t="shared" ref="AB43:AB45" si="71">E43</f>
        <v>cad</v>
      </c>
      <c r="AC43" s="108" t="str">
        <f t="shared" ref="AC43:AC45" si="72">F43</f>
        <v>cad</v>
      </c>
      <c r="AD43" s="108">
        <f t="shared" ref="AD43:AD45" si="73">G43</f>
        <v>6.06</v>
      </c>
      <c r="AE43" s="108">
        <f t="shared" ref="AE43:AE45" si="74">H43</f>
        <v>0</v>
      </c>
      <c r="AF43" s="108">
        <f t="shared" ref="AF43:AF45" si="75">I43</f>
        <v>6.06</v>
      </c>
      <c r="AG43" s="108">
        <f t="shared" ref="AG43:AG45" si="76">J43</f>
        <v>12.12</v>
      </c>
      <c r="AH43" s="103"/>
      <c r="AI43" s="116" t="s">
        <v>17</v>
      </c>
      <c r="AJ43" s="108">
        <f t="shared" si="63"/>
        <v>20.22</v>
      </c>
    </row>
    <row r="44" spans="1:36" s="11" customFormat="1" ht="15.75" customHeight="1">
      <c r="A44" s="18"/>
      <c r="B44" s="111" t="s">
        <v>401</v>
      </c>
      <c r="C44" s="94" t="s">
        <v>390</v>
      </c>
      <c r="D44" s="94">
        <v>1</v>
      </c>
      <c r="E44" s="94" t="s">
        <v>57</v>
      </c>
      <c r="F44" s="95" t="s">
        <v>57</v>
      </c>
      <c r="G44" s="112">
        <v>10.72</v>
      </c>
      <c r="H44" s="97"/>
      <c r="I44" s="94">
        <f t="shared" ref="I44" si="77">(G44-H44)</f>
        <v>10.72</v>
      </c>
      <c r="J44" s="94">
        <f t="shared" ref="J44" si="78">I44*D44</f>
        <v>10.72</v>
      </c>
      <c r="K44" s="109"/>
      <c r="L44" s="99" t="s">
        <v>17</v>
      </c>
      <c r="M44" s="99">
        <v>1</v>
      </c>
      <c r="N44" s="113">
        <v>13.63</v>
      </c>
      <c r="O44" s="112">
        <v>2.5</v>
      </c>
      <c r="P44" s="102"/>
      <c r="Q44" s="102"/>
      <c r="R44" s="102"/>
      <c r="S44" s="99">
        <f t="shared" si="65"/>
        <v>34.075000000000003</v>
      </c>
      <c r="T44" s="110"/>
      <c r="U44" s="91"/>
      <c r="V44" s="92"/>
      <c r="W44" s="103"/>
      <c r="X44" s="104" t="s">
        <v>17</v>
      </c>
      <c r="Y44" s="105">
        <f t="shared" si="22"/>
        <v>13.63</v>
      </c>
      <c r="Z44" s="128"/>
      <c r="AA44" s="115" t="s">
        <v>17</v>
      </c>
      <c r="AB44" s="108" t="str">
        <f t="shared" si="71"/>
        <v>cad</v>
      </c>
      <c r="AC44" s="108" t="str">
        <f t="shared" si="72"/>
        <v>cad</v>
      </c>
      <c r="AD44" s="108">
        <f t="shared" si="73"/>
        <v>10.72</v>
      </c>
      <c r="AE44" s="108">
        <f t="shared" si="74"/>
        <v>0</v>
      </c>
      <c r="AF44" s="108">
        <f t="shared" si="75"/>
        <v>10.72</v>
      </c>
      <c r="AG44" s="108">
        <f t="shared" si="76"/>
        <v>10.72</v>
      </c>
      <c r="AH44" s="103"/>
      <c r="AI44" s="116" t="s">
        <v>17</v>
      </c>
      <c r="AJ44" s="108">
        <f t="shared" si="63"/>
        <v>13.63</v>
      </c>
    </row>
    <row r="45" spans="1:36" s="11" customFormat="1" ht="15.75" customHeight="1">
      <c r="A45" s="18"/>
      <c r="B45" s="111" t="s">
        <v>405</v>
      </c>
      <c r="C45" s="94" t="s">
        <v>390</v>
      </c>
      <c r="D45" s="94">
        <v>1</v>
      </c>
      <c r="E45" s="94" t="s">
        <v>57</v>
      </c>
      <c r="F45" s="95" t="s">
        <v>57</v>
      </c>
      <c r="G45" s="112">
        <v>10.06</v>
      </c>
      <c r="H45" s="97"/>
      <c r="I45" s="94">
        <f t="shared" ref="I45" si="79">(G45-H45)</f>
        <v>10.06</v>
      </c>
      <c r="J45" s="94">
        <f t="shared" ref="J45" si="80">I45*D45</f>
        <v>10.06</v>
      </c>
      <c r="K45" s="109"/>
      <c r="L45" s="99" t="s">
        <v>17</v>
      </c>
      <c r="M45" s="99">
        <v>1</v>
      </c>
      <c r="N45" s="113">
        <v>12.9</v>
      </c>
      <c r="O45" s="112">
        <v>2.4</v>
      </c>
      <c r="P45" s="102"/>
      <c r="Q45" s="102"/>
      <c r="R45" s="102"/>
      <c r="S45" s="99">
        <f t="shared" si="65"/>
        <v>30.96</v>
      </c>
      <c r="T45" s="110"/>
      <c r="U45" s="91"/>
      <c r="V45" s="92"/>
      <c r="W45" s="103"/>
      <c r="X45" s="104" t="s">
        <v>17</v>
      </c>
      <c r="Y45" s="105">
        <f t="shared" si="22"/>
        <v>12.9</v>
      </c>
      <c r="Z45" s="128"/>
      <c r="AA45" s="115" t="s">
        <v>17</v>
      </c>
      <c r="AB45" s="108" t="str">
        <f t="shared" si="71"/>
        <v>cad</v>
      </c>
      <c r="AC45" s="108" t="str">
        <f t="shared" si="72"/>
        <v>cad</v>
      </c>
      <c r="AD45" s="108">
        <f t="shared" si="73"/>
        <v>10.06</v>
      </c>
      <c r="AE45" s="108">
        <f t="shared" si="74"/>
        <v>0</v>
      </c>
      <c r="AF45" s="108">
        <f t="shared" si="75"/>
        <v>10.06</v>
      </c>
      <c r="AG45" s="108">
        <f t="shared" si="76"/>
        <v>10.06</v>
      </c>
      <c r="AH45" s="103"/>
      <c r="AI45" s="116" t="s">
        <v>17</v>
      </c>
      <c r="AJ45" s="108">
        <f t="shared" si="63"/>
        <v>12.9</v>
      </c>
    </row>
    <row r="46" spans="1:36" s="11" customFormat="1" ht="15.75" customHeight="1">
      <c r="A46" s="18"/>
      <c r="B46" s="111" t="s">
        <v>63</v>
      </c>
      <c r="C46" s="94" t="s">
        <v>246</v>
      </c>
      <c r="D46" s="94">
        <v>1</v>
      </c>
      <c r="E46" s="94" t="s">
        <v>57</v>
      </c>
      <c r="F46" s="95" t="s">
        <v>57</v>
      </c>
      <c r="G46" s="130">
        <v>9.92</v>
      </c>
      <c r="H46" s="97"/>
      <c r="I46" s="94">
        <f t="shared" ref="I46" si="81">(G46-H46)</f>
        <v>9.92</v>
      </c>
      <c r="J46" s="94">
        <f t="shared" ref="J46" si="82">I46*D46</f>
        <v>9.92</v>
      </c>
      <c r="K46" s="109"/>
      <c r="L46" s="97" t="s">
        <v>24</v>
      </c>
      <c r="M46" s="94">
        <v>1</v>
      </c>
      <c r="N46" s="112">
        <v>13.02</v>
      </c>
      <c r="O46" s="112">
        <v>3.15</v>
      </c>
      <c r="P46" s="97"/>
      <c r="Q46" s="97"/>
      <c r="R46" s="97"/>
      <c r="S46" s="99">
        <f t="shared" si="65"/>
        <v>41.012999999999998</v>
      </c>
      <c r="T46" s="110"/>
      <c r="U46" s="91"/>
      <c r="V46" s="92"/>
      <c r="W46" s="103"/>
      <c r="X46" s="104" t="s">
        <v>20</v>
      </c>
      <c r="Y46" s="105">
        <f t="shared" si="22"/>
        <v>13.02</v>
      </c>
      <c r="Z46" s="114"/>
      <c r="AA46" s="115" t="s">
        <v>21</v>
      </c>
      <c r="AB46" s="108" t="str">
        <f t="shared" ref="AB46" si="83">E46</f>
        <v>cad</v>
      </c>
      <c r="AC46" s="108" t="str">
        <f t="shared" ref="AC46" si="84">F46</f>
        <v>cad</v>
      </c>
      <c r="AD46" s="108">
        <f t="shared" ref="AD46" si="85">G46</f>
        <v>9.92</v>
      </c>
      <c r="AE46" s="108">
        <f t="shared" ref="AE46" si="86">H46</f>
        <v>0</v>
      </c>
      <c r="AF46" s="108">
        <f t="shared" ref="AF46" si="87">I46</f>
        <v>9.92</v>
      </c>
      <c r="AG46" s="108">
        <f t="shared" ref="AG46" si="88">J46</f>
        <v>9.92</v>
      </c>
      <c r="AH46" s="103"/>
      <c r="AI46" s="92"/>
      <c r="AJ46" s="108"/>
    </row>
    <row r="47" spans="1:36" s="11" customFormat="1" ht="15.75" customHeight="1">
      <c r="A47" s="18"/>
      <c r="B47" s="93" t="s">
        <v>253</v>
      </c>
      <c r="C47" s="94" t="s">
        <v>246</v>
      </c>
      <c r="D47" s="94">
        <v>1</v>
      </c>
      <c r="E47" s="94" t="s">
        <v>57</v>
      </c>
      <c r="F47" s="95" t="s">
        <v>57</v>
      </c>
      <c r="G47" s="131">
        <v>8.56</v>
      </c>
      <c r="H47" s="97"/>
      <c r="I47" s="94">
        <f t="shared" si="0"/>
        <v>8.56</v>
      </c>
      <c r="J47" s="94">
        <f t="shared" si="1"/>
        <v>8.56</v>
      </c>
      <c r="K47" s="109"/>
      <c r="L47" s="98" t="s">
        <v>24</v>
      </c>
      <c r="M47" s="99">
        <v>1</v>
      </c>
      <c r="N47" s="100">
        <v>11.75</v>
      </c>
      <c r="O47" s="101">
        <v>3.15</v>
      </c>
      <c r="P47" s="102"/>
      <c r="Q47" s="102"/>
      <c r="R47" s="102"/>
      <c r="S47" s="99">
        <f t="shared" si="65"/>
        <v>37.012499999999996</v>
      </c>
      <c r="T47" s="110"/>
      <c r="U47" s="91" t="s">
        <v>356</v>
      </c>
      <c r="V47" s="92">
        <f t="shared" si="50"/>
        <v>11.75</v>
      </c>
      <c r="W47" s="103"/>
      <c r="X47" s="104" t="s">
        <v>20</v>
      </c>
      <c r="Y47" s="105">
        <f t="shared" si="22"/>
        <v>11.75</v>
      </c>
      <c r="Z47" s="114"/>
      <c r="AA47" s="107" t="s">
        <v>20</v>
      </c>
      <c r="AB47" s="108" t="str">
        <f t="shared" si="66"/>
        <v>cad</v>
      </c>
      <c r="AC47" s="108" t="str">
        <f t="shared" si="67"/>
        <v>cad</v>
      </c>
      <c r="AD47" s="108">
        <f t="shared" si="53"/>
        <v>8.56</v>
      </c>
      <c r="AE47" s="108">
        <f t="shared" si="68"/>
        <v>0</v>
      </c>
      <c r="AF47" s="108">
        <f t="shared" si="54"/>
        <v>8.56</v>
      </c>
      <c r="AG47" s="108">
        <f t="shared" si="55"/>
        <v>8.56</v>
      </c>
      <c r="AH47" s="103"/>
      <c r="AI47" s="92"/>
      <c r="AJ47" s="108"/>
    </row>
    <row r="48" spans="1:36" s="11" customFormat="1" ht="15.75" customHeight="1">
      <c r="A48" s="18"/>
      <c r="B48" s="93" t="s">
        <v>254</v>
      </c>
      <c r="C48" s="94" t="s">
        <v>246</v>
      </c>
      <c r="D48" s="94">
        <v>1</v>
      </c>
      <c r="E48" s="94" t="s">
        <v>57</v>
      </c>
      <c r="F48" s="95" t="s">
        <v>57</v>
      </c>
      <c r="G48" s="96">
        <v>7.83</v>
      </c>
      <c r="H48" s="97"/>
      <c r="I48" s="94">
        <f t="shared" si="0"/>
        <v>7.83</v>
      </c>
      <c r="J48" s="94">
        <f t="shared" si="1"/>
        <v>7.83</v>
      </c>
      <c r="K48" s="109"/>
      <c r="L48" s="98" t="s">
        <v>24</v>
      </c>
      <c r="M48" s="99">
        <v>1</v>
      </c>
      <c r="N48" s="100">
        <v>11.17</v>
      </c>
      <c r="O48" s="101">
        <v>3.15</v>
      </c>
      <c r="P48" s="102"/>
      <c r="Q48" s="102"/>
      <c r="R48" s="102"/>
      <c r="S48" s="99">
        <f t="shared" si="65"/>
        <v>35.185499999999998</v>
      </c>
      <c r="T48" s="110"/>
      <c r="U48" s="91" t="s">
        <v>356</v>
      </c>
      <c r="V48" s="92">
        <f t="shared" si="50"/>
        <v>11.17</v>
      </c>
      <c r="W48" s="103"/>
      <c r="X48" s="104" t="s">
        <v>20</v>
      </c>
      <c r="Y48" s="105">
        <f t="shared" si="22"/>
        <v>11.17</v>
      </c>
      <c r="Z48" s="114"/>
      <c r="AA48" s="107" t="s">
        <v>20</v>
      </c>
      <c r="AB48" s="108" t="str">
        <f t="shared" si="66"/>
        <v>cad</v>
      </c>
      <c r="AC48" s="108" t="str">
        <f t="shared" si="67"/>
        <v>cad</v>
      </c>
      <c r="AD48" s="108">
        <f t="shared" si="53"/>
        <v>7.83</v>
      </c>
      <c r="AE48" s="108">
        <f t="shared" si="68"/>
        <v>0</v>
      </c>
      <c r="AF48" s="108">
        <f t="shared" si="54"/>
        <v>7.83</v>
      </c>
      <c r="AG48" s="108">
        <f t="shared" si="55"/>
        <v>7.83</v>
      </c>
      <c r="AH48" s="103"/>
      <c r="AI48" s="92"/>
      <c r="AJ48" s="108"/>
    </row>
    <row r="49" spans="1:36" s="11" customFormat="1" ht="15.75" customHeight="1">
      <c r="A49" s="18"/>
      <c r="B49" s="120" t="s">
        <v>255</v>
      </c>
      <c r="C49" s="94" t="s">
        <v>246</v>
      </c>
      <c r="D49" s="94">
        <v>1</v>
      </c>
      <c r="E49" s="94" t="s">
        <v>57</v>
      </c>
      <c r="F49" s="95" t="s">
        <v>57</v>
      </c>
      <c r="G49" s="97">
        <v>7.51</v>
      </c>
      <c r="H49" s="97"/>
      <c r="I49" s="94">
        <f t="shared" ref="I49:I89" si="89">(G49-H49)</f>
        <v>7.51</v>
      </c>
      <c r="J49" s="94">
        <f t="shared" ref="J49:J89" si="90">I49*D49</f>
        <v>7.51</v>
      </c>
      <c r="K49" s="109"/>
      <c r="L49" s="98" t="s">
        <v>24</v>
      </c>
      <c r="M49" s="99">
        <v>1</v>
      </c>
      <c r="N49" s="121">
        <v>10.99</v>
      </c>
      <c r="O49" s="101">
        <v>3.15</v>
      </c>
      <c r="P49" s="102"/>
      <c r="Q49" s="102"/>
      <c r="R49" s="102"/>
      <c r="S49" s="99">
        <f t="shared" si="65"/>
        <v>34.618499999999997</v>
      </c>
      <c r="T49" s="110"/>
      <c r="U49" s="91" t="s">
        <v>356</v>
      </c>
      <c r="V49" s="92">
        <f t="shared" si="50"/>
        <v>10.99</v>
      </c>
      <c r="W49" s="103"/>
      <c r="X49" s="104" t="s">
        <v>20</v>
      </c>
      <c r="Y49" s="105">
        <f t="shared" si="22"/>
        <v>10.99</v>
      </c>
      <c r="Z49" s="106"/>
      <c r="AA49" s="107" t="s">
        <v>20</v>
      </c>
      <c r="AB49" s="108" t="str">
        <f t="shared" si="66"/>
        <v>cad</v>
      </c>
      <c r="AC49" s="108" t="str">
        <f t="shared" si="67"/>
        <v>cad</v>
      </c>
      <c r="AD49" s="108">
        <f t="shared" si="53"/>
        <v>7.51</v>
      </c>
      <c r="AE49" s="108">
        <f t="shared" si="68"/>
        <v>0</v>
      </c>
      <c r="AF49" s="108">
        <f t="shared" si="54"/>
        <v>7.51</v>
      </c>
      <c r="AG49" s="108">
        <f t="shared" si="55"/>
        <v>7.51</v>
      </c>
      <c r="AH49" s="103"/>
      <c r="AI49" s="92"/>
      <c r="AJ49" s="108"/>
    </row>
    <row r="50" spans="1:36" s="11" customFormat="1" ht="15.75" customHeight="1">
      <c r="A50" s="18"/>
      <c r="B50" s="120" t="s">
        <v>256</v>
      </c>
      <c r="C50" s="94" t="s">
        <v>246</v>
      </c>
      <c r="D50" s="94">
        <v>1</v>
      </c>
      <c r="E50" s="94" t="s">
        <v>57</v>
      </c>
      <c r="F50" s="95" t="s">
        <v>57</v>
      </c>
      <c r="G50" s="97">
        <v>6.44</v>
      </c>
      <c r="H50" s="97"/>
      <c r="I50" s="94">
        <f t="shared" si="89"/>
        <v>6.44</v>
      </c>
      <c r="J50" s="94">
        <f t="shared" si="90"/>
        <v>6.44</v>
      </c>
      <c r="K50" s="109"/>
      <c r="L50" s="98" t="s">
        <v>24</v>
      </c>
      <c r="M50" s="99">
        <v>1</v>
      </c>
      <c r="N50" s="121">
        <v>10.28</v>
      </c>
      <c r="O50" s="101">
        <v>3.15</v>
      </c>
      <c r="P50" s="102"/>
      <c r="Q50" s="102"/>
      <c r="R50" s="102"/>
      <c r="S50" s="99">
        <f t="shared" si="65"/>
        <v>32.381999999999998</v>
      </c>
      <c r="T50" s="110"/>
      <c r="U50" s="91" t="s">
        <v>356</v>
      </c>
      <c r="V50" s="92">
        <f t="shared" si="50"/>
        <v>10.28</v>
      </c>
      <c r="W50" s="103"/>
      <c r="X50" s="104" t="s">
        <v>20</v>
      </c>
      <c r="Y50" s="105">
        <f t="shared" si="22"/>
        <v>10.28</v>
      </c>
      <c r="Z50" s="106"/>
      <c r="AA50" s="107" t="s">
        <v>20</v>
      </c>
      <c r="AB50" s="108" t="str">
        <f t="shared" si="66"/>
        <v>cad</v>
      </c>
      <c r="AC50" s="108" t="str">
        <f t="shared" si="67"/>
        <v>cad</v>
      </c>
      <c r="AD50" s="108">
        <f t="shared" si="53"/>
        <v>6.44</v>
      </c>
      <c r="AE50" s="108">
        <f t="shared" si="68"/>
        <v>0</v>
      </c>
      <c r="AF50" s="108">
        <f t="shared" si="54"/>
        <v>6.44</v>
      </c>
      <c r="AG50" s="108">
        <f t="shared" si="55"/>
        <v>6.44</v>
      </c>
      <c r="AH50" s="103"/>
      <c r="AI50" s="92"/>
      <c r="AJ50" s="108"/>
    </row>
    <row r="51" spans="1:36" s="11" customFormat="1" ht="15.75" customHeight="1">
      <c r="A51" s="18"/>
      <c r="B51" s="93" t="s">
        <v>257</v>
      </c>
      <c r="C51" s="94" t="s">
        <v>246</v>
      </c>
      <c r="D51" s="94">
        <v>1</v>
      </c>
      <c r="E51" s="94" t="s">
        <v>57</v>
      </c>
      <c r="F51" s="95" t="s">
        <v>57</v>
      </c>
      <c r="G51" s="96">
        <v>5.43</v>
      </c>
      <c r="H51" s="97"/>
      <c r="I51" s="94">
        <f t="shared" si="89"/>
        <v>5.43</v>
      </c>
      <c r="J51" s="94">
        <f t="shared" si="90"/>
        <v>5.43</v>
      </c>
      <c r="K51" s="109"/>
      <c r="L51" s="98" t="s">
        <v>24</v>
      </c>
      <c r="M51" s="99">
        <v>1</v>
      </c>
      <c r="N51" s="100">
        <v>9.34</v>
      </c>
      <c r="O51" s="101">
        <v>3.15</v>
      </c>
      <c r="P51" s="102"/>
      <c r="Q51" s="102"/>
      <c r="R51" s="102"/>
      <c r="S51" s="99">
        <f t="shared" si="65"/>
        <v>29.420999999999999</v>
      </c>
      <c r="T51" s="110"/>
      <c r="U51" s="91" t="s">
        <v>356</v>
      </c>
      <c r="V51" s="92">
        <f t="shared" si="50"/>
        <v>9.34</v>
      </c>
      <c r="W51" s="103"/>
      <c r="X51" s="104" t="s">
        <v>20</v>
      </c>
      <c r="Y51" s="105">
        <f t="shared" si="22"/>
        <v>9.34</v>
      </c>
      <c r="Z51" s="106"/>
      <c r="AA51" s="107" t="s">
        <v>20</v>
      </c>
      <c r="AB51" s="108" t="str">
        <f t="shared" si="66"/>
        <v>cad</v>
      </c>
      <c r="AC51" s="108" t="str">
        <f t="shared" si="67"/>
        <v>cad</v>
      </c>
      <c r="AD51" s="108">
        <f t="shared" si="53"/>
        <v>5.43</v>
      </c>
      <c r="AE51" s="108">
        <f t="shared" si="68"/>
        <v>0</v>
      </c>
      <c r="AF51" s="108">
        <f t="shared" si="54"/>
        <v>5.43</v>
      </c>
      <c r="AG51" s="108">
        <f t="shared" si="55"/>
        <v>5.43</v>
      </c>
      <c r="AH51" s="103"/>
      <c r="AI51" s="92"/>
      <c r="AJ51" s="108"/>
    </row>
    <row r="52" spans="1:36" s="11" customFormat="1" ht="15.75" customHeight="1">
      <c r="A52" s="18"/>
      <c r="B52" s="111" t="s">
        <v>414</v>
      </c>
      <c r="C52" s="94" t="s">
        <v>390</v>
      </c>
      <c r="D52" s="94">
        <v>1</v>
      </c>
      <c r="E52" s="94" t="s">
        <v>57</v>
      </c>
      <c r="F52" s="95" t="s">
        <v>57</v>
      </c>
      <c r="G52" s="130">
        <v>16.48</v>
      </c>
      <c r="H52" s="97"/>
      <c r="I52" s="94">
        <f t="shared" ref="I52" si="91">(G52-H52)</f>
        <v>16.48</v>
      </c>
      <c r="J52" s="94">
        <f t="shared" ref="J52" si="92">I52*D52</f>
        <v>16.48</v>
      </c>
      <c r="K52" s="109"/>
      <c r="L52" s="99" t="s">
        <v>17</v>
      </c>
      <c r="M52" s="99">
        <v>1</v>
      </c>
      <c r="N52" s="113">
        <v>20.12</v>
      </c>
      <c r="O52" s="112">
        <v>2.4</v>
      </c>
      <c r="P52" s="102"/>
      <c r="Q52" s="102"/>
      <c r="R52" s="102"/>
      <c r="S52" s="99">
        <f t="shared" si="65"/>
        <v>48.288000000000004</v>
      </c>
      <c r="T52" s="110"/>
      <c r="U52" s="91"/>
      <c r="V52" s="92">
        <f t="shared" si="50"/>
        <v>20.12</v>
      </c>
      <c r="W52" s="103"/>
      <c r="X52" s="104" t="s">
        <v>17</v>
      </c>
      <c r="Y52" s="105">
        <f t="shared" si="22"/>
        <v>20.12</v>
      </c>
      <c r="Z52" s="114"/>
      <c r="AA52" s="115" t="s">
        <v>17</v>
      </c>
      <c r="AB52" s="108" t="str">
        <f t="shared" ref="AB52:AB57" si="93">E52</f>
        <v>cad</v>
      </c>
      <c r="AC52" s="108" t="str">
        <f t="shared" ref="AC52:AC57" si="94">F52</f>
        <v>cad</v>
      </c>
      <c r="AD52" s="108">
        <f t="shared" ref="AD52:AD57" si="95">G52</f>
        <v>16.48</v>
      </c>
      <c r="AE52" s="108">
        <f t="shared" ref="AE52:AE57" si="96">H52</f>
        <v>0</v>
      </c>
      <c r="AF52" s="108">
        <f t="shared" ref="AF52:AF57" si="97">I52</f>
        <v>16.48</v>
      </c>
      <c r="AG52" s="108">
        <f t="shared" ref="AG52:AG57" si="98">J52</f>
        <v>16.48</v>
      </c>
      <c r="AH52" s="103"/>
      <c r="AI52" s="116" t="s">
        <v>17</v>
      </c>
      <c r="AJ52" s="108">
        <f t="shared" ref="AJ52:AJ57" si="99">N52*M52</f>
        <v>20.12</v>
      </c>
    </row>
    <row r="53" spans="1:36" s="11" customFormat="1" ht="15.75" customHeight="1">
      <c r="A53" s="18"/>
      <c r="B53" s="111" t="s">
        <v>415</v>
      </c>
      <c r="C53" s="94" t="s">
        <v>390</v>
      </c>
      <c r="D53" s="94">
        <v>1</v>
      </c>
      <c r="E53" s="94" t="s">
        <v>57</v>
      </c>
      <c r="F53" s="95" t="s">
        <v>57</v>
      </c>
      <c r="G53" s="130">
        <v>12.29</v>
      </c>
      <c r="H53" s="97"/>
      <c r="I53" s="94">
        <f t="shared" ref="I53" si="100">(G53-H53)</f>
        <v>12.29</v>
      </c>
      <c r="J53" s="94">
        <f t="shared" ref="J53" si="101">I53*D53</f>
        <v>12.29</v>
      </c>
      <c r="K53" s="109"/>
      <c r="L53" s="99" t="s">
        <v>17</v>
      </c>
      <c r="M53" s="99">
        <v>1</v>
      </c>
      <c r="N53" s="113">
        <v>14.46</v>
      </c>
      <c r="O53" s="112">
        <v>2.4</v>
      </c>
      <c r="P53" s="102"/>
      <c r="Q53" s="102"/>
      <c r="R53" s="102"/>
      <c r="S53" s="99">
        <f t="shared" si="65"/>
        <v>34.704000000000001</v>
      </c>
      <c r="T53" s="110"/>
      <c r="U53" s="91"/>
      <c r="V53" s="92"/>
      <c r="W53" s="103"/>
      <c r="X53" s="104" t="s">
        <v>17</v>
      </c>
      <c r="Y53" s="105">
        <f t="shared" si="22"/>
        <v>14.46</v>
      </c>
      <c r="Z53" s="114"/>
      <c r="AA53" s="115" t="s">
        <v>17</v>
      </c>
      <c r="AB53" s="108" t="str">
        <f t="shared" si="93"/>
        <v>cad</v>
      </c>
      <c r="AC53" s="108" t="str">
        <f t="shared" si="94"/>
        <v>cad</v>
      </c>
      <c r="AD53" s="108">
        <f t="shared" si="95"/>
        <v>12.29</v>
      </c>
      <c r="AE53" s="108">
        <f t="shared" si="96"/>
        <v>0</v>
      </c>
      <c r="AF53" s="108">
        <f t="shared" si="97"/>
        <v>12.29</v>
      </c>
      <c r="AG53" s="108">
        <f t="shared" si="98"/>
        <v>12.29</v>
      </c>
      <c r="AH53" s="103"/>
      <c r="AI53" s="116" t="s">
        <v>17</v>
      </c>
      <c r="AJ53" s="108">
        <f t="shared" si="99"/>
        <v>14.46</v>
      </c>
    </row>
    <row r="54" spans="1:36" s="11" customFormat="1" ht="15.75" customHeight="1">
      <c r="A54" s="18"/>
      <c r="B54" s="111" t="s">
        <v>402</v>
      </c>
      <c r="C54" s="94" t="s">
        <v>390</v>
      </c>
      <c r="D54" s="94">
        <v>1</v>
      </c>
      <c r="E54" s="94" t="s">
        <v>57</v>
      </c>
      <c r="F54" s="95" t="s">
        <v>57</v>
      </c>
      <c r="G54" s="132">
        <v>17.399999999999999</v>
      </c>
      <c r="H54" s="97"/>
      <c r="I54" s="94">
        <f t="shared" ref="I54" si="102">(G54-H54)</f>
        <v>17.399999999999999</v>
      </c>
      <c r="J54" s="94">
        <f t="shared" ref="J54" si="103">I54*D54</f>
        <v>17.399999999999999</v>
      </c>
      <c r="K54" s="109"/>
      <c r="L54" s="99" t="s">
        <v>17</v>
      </c>
      <c r="M54" s="99">
        <v>1</v>
      </c>
      <c r="N54" s="113">
        <v>16.739999999999998</v>
      </c>
      <c r="O54" s="112">
        <v>2.4</v>
      </c>
      <c r="P54" s="102"/>
      <c r="Q54" s="102"/>
      <c r="R54" s="102"/>
      <c r="S54" s="99">
        <f t="shared" si="65"/>
        <v>40.175999999999995</v>
      </c>
      <c r="T54" s="110"/>
      <c r="U54" s="91"/>
      <c r="V54" s="92">
        <f t="shared" si="50"/>
        <v>16.739999999999998</v>
      </c>
      <c r="W54" s="103"/>
      <c r="X54" s="104" t="s">
        <v>17</v>
      </c>
      <c r="Y54" s="105">
        <f t="shared" si="22"/>
        <v>16.739999999999998</v>
      </c>
      <c r="Z54" s="114"/>
      <c r="AA54" s="115" t="s">
        <v>17</v>
      </c>
      <c r="AB54" s="108" t="str">
        <f t="shared" si="93"/>
        <v>cad</v>
      </c>
      <c r="AC54" s="108" t="str">
        <f t="shared" si="94"/>
        <v>cad</v>
      </c>
      <c r="AD54" s="108">
        <f t="shared" si="95"/>
        <v>17.399999999999999</v>
      </c>
      <c r="AE54" s="108">
        <f t="shared" si="96"/>
        <v>0</v>
      </c>
      <c r="AF54" s="108">
        <f t="shared" si="97"/>
        <v>17.399999999999999</v>
      </c>
      <c r="AG54" s="108">
        <f t="shared" si="98"/>
        <v>17.399999999999999</v>
      </c>
      <c r="AH54" s="103"/>
      <c r="AI54" s="116" t="s">
        <v>17</v>
      </c>
      <c r="AJ54" s="108">
        <f t="shared" si="99"/>
        <v>16.739999999999998</v>
      </c>
    </row>
    <row r="55" spans="1:36" s="11" customFormat="1" ht="15.75" customHeight="1">
      <c r="A55" s="18"/>
      <c r="B55" s="111" t="s">
        <v>403</v>
      </c>
      <c r="C55" s="94" t="s">
        <v>390</v>
      </c>
      <c r="D55" s="94">
        <v>1</v>
      </c>
      <c r="E55" s="94" t="s">
        <v>57</v>
      </c>
      <c r="F55" s="95" t="s">
        <v>57</v>
      </c>
      <c r="G55" s="130">
        <v>12.52</v>
      </c>
      <c r="H55" s="97"/>
      <c r="I55" s="94">
        <f t="shared" ref="I55:I57" si="104">(G55-H55)</f>
        <v>12.52</v>
      </c>
      <c r="J55" s="94">
        <f t="shared" ref="J55:J57" si="105">I55*D55</f>
        <v>12.52</v>
      </c>
      <c r="K55" s="109"/>
      <c r="L55" s="99" t="s">
        <v>17</v>
      </c>
      <c r="M55" s="99">
        <v>1</v>
      </c>
      <c r="N55" s="113">
        <v>14.63</v>
      </c>
      <c r="O55" s="112">
        <v>2.4</v>
      </c>
      <c r="P55" s="102"/>
      <c r="Q55" s="102"/>
      <c r="R55" s="102"/>
      <c r="S55" s="99">
        <f t="shared" si="65"/>
        <v>35.112000000000002</v>
      </c>
      <c r="T55" s="110"/>
      <c r="U55" s="91"/>
      <c r="V55" s="92">
        <f t="shared" si="50"/>
        <v>14.63</v>
      </c>
      <c r="W55" s="103"/>
      <c r="X55" s="104" t="s">
        <v>17</v>
      </c>
      <c r="Y55" s="105">
        <f t="shared" si="22"/>
        <v>14.63</v>
      </c>
      <c r="Z55" s="114"/>
      <c r="AA55" s="115" t="s">
        <v>17</v>
      </c>
      <c r="AB55" s="108" t="str">
        <f t="shared" si="93"/>
        <v>cad</v>
      </c>
      <c r="AC55" s="108" t="str">
        <f t="shared" si="94"/>
        <v>cad</v>
      </c>
      <c r="AD55" s="108">
        <f t="shared" si="95"/>
        <v>12.52</v>
      </c>
      <c r="AE55" s="108">
        <f t="shared" si="96"/>
        <v>0</v>
      </c>
      <c r="AF55" s="108">
        <f t="shared" si="97"/>
        <v>12.52</v>
      </c>
      <c r="AG55" s="108">
        <f t="shared" si="98"/>
        <v>12.52</v>
      </c>
      <c r="AH55" s="103"/>
      <c r="AI55" s="116" t="s">
        <v>17</v>
      </c>
      <c r="AJ55" s="108">
        <f t="shared" si="99"/>
        <v>14.63</v>
      </c>
    </row>
    <row r="56" spans="1:36" s="11" customFormat="1" ht="15.75" customHeight="1">
      <c r="A56" s="18"/>
      <c r="B56" s="111" t="s">
        <v>408</v>
      </c>
      <c r="C56" s="94" t="s">
        <v>390</v>
      </c>
      <c r="D56" s="94">
        <v>1</v>
      </c>
      <c r="E56" s="94" t="s">
        <v>57</v>
      </c>
      <c r="F56" s="95" t="s">
        <v>57</v>
      </c>
      <c r="G56" s="130">
        <v>7.71</v>
      </c>
      <c r="H56" s="97"/>
      <c r="I56" s="94">
        <f t="shared" si="104"/>
        <v>7.71</v>
      </c>
      <c r="J56" s="94">
        <f t="shared" si="105"/>
        <v>7.71</v>
      </c>
      <c r="K56" s="109"/>
      <c r="L56" s="99" t="s">
        <v>17</v>
      </c>
      <c r="M56" s="99">
        <v>1</v>
      </c>
      <c r="N56" s="113">
        <v>12.1</v>
      </c>
      <c r="O56" s="112">
        <v>2.4</v>
      </c>
      <c r="P56" s="102"/>
      <c r="Q56" s="102"/>
      <c r="R56" s="102"/>
      <c r="S56" s="99">
        <f t="shared" si="65"/>
        <v>29.04</v>
      </c>
      <c r="T56" s="110"/>
      <c r="U56" s="91"/>
      <c r="V56" s="92">
        <f t="shared" si="50"/>
        <v>12.1</v>
      </c>
      <c r="W56" s="103"/>
      <c r="X56" s="104" t="s">
        <v>17</v>
      </c>
      <c r="Y56" s="105">
        <f t="shared" si="22"/>
        <v>12.1</v>
      </c>
      <c r="Z56" s="127"/>
      <c r="AA56" s="115" t="s">
        <v>17</v>
      </c>
      <c r="AB56" s="108" t="str">
        <f t="shared" si="93"/>
        <v>cad</v>
      </c>
      <c r="AC56" s="108" t="str">
        <f t="shared" si="94"/>
        <v>cad</v>
      </c>
      <c r="AD56" s="108">
        <f t="shared" si="95"/>
        <v>7.71</v>
      </c>
      <c r="AE56" s="108">
        <f t="shared" si="96"/>
        <v>0</v>
      </c>
      <c r="AF56" s="108">
        <f t="shared" si="97"/>
        <v>7.71</v>
      </c>
      <c r="AG56" s="108">
        <f t="shared" si="98"/>
        <v>7.71</v>
      </c>
      <c r="AH56" s="103"/>
      <c r="AI56" s="116" t="s">
        <v>17</v>
      </c>
      <c r="AJ56" s="108">
        <f t="shared" si="99"/>
        <v>12.1</v>
      </c>
    </row>
    <row r="57" spans="1:36" s="11" customFormat="1" ht="15.75" customHeight="1">
      <c r="A57" s="18"/>
      <c r="B57" s="111" t="s">
        <v>157</v>
      </c>
      <c r="C57" s="94" t="s">
        <v>390</v>
      </c>
      <c r="D57" s="94">
        <v>1</v>
      </c>
      <c r="E57" s="94" t="s">
        <v>57</v>
      </c>
      <c r="F57" s="95" t="s">
        <v>57</v>
      </c>
      <c r="G57" s="130">
        <v>4.9800000000000004</v>
      </c>
      <c r="H57" s="97"/>
      <c r="I57" s="94">
        <f t="shared" si="104"/>
        <v>4.9800000000000004</v>
      </c>
      <c r="J57" s="94">
        <f t="shared" si="105"/>
        <v>4.9800000000000004</v>
      </c>
      <c r="K57" s="109"/>
      <c r="L57" s="99" t="s">
        <v>17</v>
      </c>
      <c r="M57" s="99">
        <v>1</v>
      </c>
      <c r="N57" s="113">
        <v>10.7</v>
      </c>
      <c r="O57" s="112">
        <v>2.35</v>
      </c>
      <c r="P57" s="102"/>
      <c r="Q57" s="102"/>
      <c r="R57" s="102"/>
      <c r="S57" s="99">
        <f t="shared" si="65"/>
        <v>25.145</v>
      </c>
      <c r="T57" s="110"/>
      <c r="U57" s="91"/>
      <c r="V57" s="92">
        <f t="shared" si="50"/>
        <v>10.7</v>
      </c>
      <c r="W57" s="103"/>
      <c r="X57" s="104" t="s">
        <v>17</v>
      </c>
      <c r="Y57" s="105">
        <f t="shared" si="22"/>
        <v>10.7</v>
      </c>
      <c r="Z57" s="127"/>
      <c r="AA57" s="115" t="s">
        <v>17</v>
      </c>
      <c r="AB57" s="108" t="str">
        <f t="shared" si="93"/>
        <v>cad</v>
      </c>
      <c r="AC57" s="108" t="str">
        <f t="shared" si="94"/>
        <v>cad</v>
      </c>
      <c r="AD57" s="108">
        <f t="shared" si="95"/>
        <v>4.9800000000000004</v>
      </c>
      <c r="AE57" s="108">
        <f t="shared" si="96"/>
        <v>0</v>
      </c>
      <c r="AF57" s="108">
        <f t="shared" si="97"/>
        <v>4.9800000000000004</v>
      </c>
      <c r="AG57" s="108">
        <f t="shared" si="98"/>
        <v>4.9800000000000004</v>
      </c>
      <c r="AH57" s="103"/>
      <c r="AI57" s="116" t="s">
        <v>17</v>
      </c>
      <c r="AJ57" s="108">
        <f t="shared" si="99"/>
        <v>10.7</v>
      </c>
    </row>
    <row r="58" spans="1:36" s="11" customFormat="1" ht="15.75" customHeight="1">
      <c r="A58" s="18"/>
      <c r="B58" s="93" t="s">
        <v>123</v>
      </c>
      <c r="C58" s="94" t="s">
        <v>249</v>
      </c>
      <c r="D58" s="94">
        <v>2</v>
      </c>
      <c r="E58" s="94" t="s">
        <v>57</v>
      </c>
      <c r="F58" s="95" t="s">
        <v>57</v>
      </c>
      <c r="G58" s="96">
        <v>2.92</v>
      </c>
      <c r="H58" s="97"/>
      <c r="I58" s="94">
        <f t="shared" si="89"/>
        <v>2.92</v>
      </c>
      <c r="J58" s="94">
        <f t="shared" si="90"/>
        <v>5.84</v>
      </c>
      <c r="K58" s="109"/>
      <c r="L58" s="98" t="s">
        <v>20</v>
      </c>
      <c r="M58" s="99">
        <v>2</v>
      </c>
      <c r="N58" s="100">
        <v>7.14</v>
      </c>
      <c r="O58" s="101">
        <v>2.4</v>
      </c>
      <c r="P58" s="102"/>
      <c r="Q58" s="102"/>
      <c r="R58" s="102"/>
      <c r="S58" s="99">
        <f t="shared" si="65"/>
        <v>34.271999999999998</v>
      </c>
      <c r="T58" s="110"/>
      <c r="U58" s="91"/>
      <c r="V58" s="92"/>
      <c r="W58" s="103"/>
      <c r="X58" s="126"/>
      <c r="Y58" s="105"/>
      <c r="Z58" s="127"/>
      <c r="AA58" s="107" t="s">
        <v>18</v>
      </c>
      <c r="AB58" s="108" t="str">
        <f t="shared" si="66"/>
        <v>cad</v>
      </c>
      <c r="AC58" s="108" t="str">
        <f t="shared" si="67"/>
        <v>cad</v>
      </c>
      <c r="AD58" s="108">
        <f t="shared" si="53"/>
        <v>2.92</v>
      </c>
      <c r="AE58" s="108">
        <f t="shared" si="68"/>
        <v>0</v>
      </c>
      <c r="AF58" s="108">
        <f t="shared" si="54"/>
        <v>2.92</v>
      </c>
      <c r="AG58" s="108">
        <f t="shared" si="55"/>
        <v>5.84</v>
      </c>
      <c r="AH58" s="103"/>
      <c r="AI58" s="119" t="s">
        <v>17</v>
      </c>
      <c r="AJ58" s="108">
        <f t="shared" ref="AJ58:AJ59" si="106">N58*M58</f>
        <v>14.28</v>
      </c>
    </row>
    <row r="59" spans="1:36" s="11" customFormat="1" ht="15.75" customHeight="1">
      <c r="A59" s="18"/>
      <c r="B59" s="111" t="s">
        <v>406</v>
      </c>
      <c r="C59" s="94" t="s">
        <v>390</v>
      </c>
      <c r="D59" s="94">
        <v>1</v>
      </c>
      <c r="E59" s="94" t="s">
        <v>57</v>
      </c>
      <c r="F59" s="95" t="s">
        <v>57</v>
      </c>
      <c r="G59" s="132">
        <v>103.6</v>
      </c>
      <c r="H59" s="97"/>
      <c r="I59" s="94">
        <f t="shared" ref="I59" si="107">(G59-H59)</f>
        <v>103.6</v>
      </c>
      <c r="J59" s="94">
        <f t="shared" ref="J59" si="108">I59*D59</f>
        <v>103.6</v>
      </c>
      <c r="K59" s="109"/>
      <c r="L59" s="99" t="s">
        <v>17</v>
      </c>
      <c r="M59" s="99">
        <v>1</v>
      </c>
      <c r="N59" s="113">
        <v>58.13</v>
      </c>
      <c r="O59" s="112">
        <v>2.4</v>
      </c>
      <c r="P59" s="102"/>
      <c r="Q59" s="102"/>
      <c r="R59" s="102"/>
      <c r="S59" s="99">
        <f t="shared" si="65"/>
        <v>139.512</v>
      </c>
      <c r="T59" s="110"/>
      <c r="U59" s="91"/>
      <c r="V59" s="92"/>
      <c r="W59" s="103"/>
      <c r="X59" s="104" t="s">
        <v>17</v>
      </c>
      <c r="Y59" s="105">
        <f t="shared" si="22"/>
        <v>58.13</v>
      </c>
      <c r="Z59" s="127"/>
      <c r="AA59" s="115" t="s">
        <v>17</v>
      </c>
      <c r="AB59" s="108" t="str">
        <f t="shared" ref="AB59" si="109">E59</f>
        <v>cad</v>
      </c>
      <c r="AC59" s="108" t="str">
        <f t="shared" ref="AC59" si="110">F59</f>
        <v>cad</v>
      </c>
      <c r="AD59" s="108">
        <f t="shared" ref="AD59" si="111">G59</f>
        <v>103.6</v>
      </c>
      <c r="AE59" s="108">
        <f t="shared" ref="AE59" si="112">H59</f>
        <v>0</v>
      </c>
      <c r="AF59" s="108">
        <f t="shared" ref="AF59" si="113">I59</f>
        <v>103.6</v>
      </c>
      <c r="AG59" s="108">
        <f t="shared" ref="AG59" si="114">J59</f>
        <v>103.6</v>
      </c>
      <c r="AH59" s="103"/>
      <c r="AI59" s="116" t="s">
        <v>17</v>
      </c>
      <c r="AJ59" s="108">
        <f t="shared" si="106"/>
        <v>58.13</v>
      </c>
    </row>
    <row r="60" spans="1:36" s="11" customFormat="1" ht="15.75" customHeight="1">
      <c r="A60" s="18"/>
      <c r="B60" s="93" t="s">
        <v>123</v>
      </c>
      <c r="C60" s="94" t="s">
        <v>249</v>
      </c>
      <c r="D60" s="94">
        <v>1</v>
      </c>
      <c r="E60" s="94" t="s">
        <v>57</v>
      </c>
      <c r="F60" s="95" t="s">
        <v>57</v>
      </c>
      <c r="G60" s="96">
        <v>2.25</v>
      </c>
      <c r="H60" s="97"/>
      <c r="I60" s="94">
        <f t="shared" si="89"/>
        <v>2.25</v>
      </c>
      <c r="J60" s="94">
        <f t="shared" si="90"/>
        <v>2.25</v>
      </c>
      <c r="K60" s="109"/>
      <c r="L60" s="98" t="s">
        <v>20</v>
      </c>
      <c r="M60" s="99">
        <v>1</v>
      </c>
      <c r="N60" s="100">
        <v>6</v>
      </c>
      <c r="O60" s="101">
        <v>2.5</v>
      </c>
      <c r="P60" s="102"/>
      <c r="Q60" s="102"/>
      <c r="R60" s="102"/>
      <c r="S60" s="99">
        <f t="shared" si="65"/>
        <v>15</v>
      </c>
      <c r="T60" s="110"/>
      <c r="U60" s="91"/>
      <c r="V60" s="92"/>
      <c r="W60" s="103"/>
      <c r="X60" s="126"/>
      <c r="Y60" s="105"/>
      <c r="Z60" s="128"/>
      <c r="AA60" s="107" t="s">
        <v>18</v>
      </c>
      <c r="AB60" s="108" t="str">
        <f>E60</f>
        <v>cad</v>
      </c>
      <c r="AC60" s="108" t="str">
        <f>F60</f>
        <v>cad</v>
      </c>
      <c r="AD60" s="108">
        <f t="shared" si="53"/>
        <v>2.25</v>
      </c>
      <c r="AE60" s="108">
        <f>H60</f>
        <v>0</v>
      </c>
      <c r="AF60" s="108">
        <f t="shared" si="54"/>
        <v>2.25</v>
      </c>
      <c r="AG60" s="108">
        <f t="shared" si="55"/>
        <v>2.25</v>
      </c>
      <c r="AH60" s="103"/>
      <c r="AI60" s="119" t="s">
        <v>17</v>
      </c>
      <c r="AJ60" s="108">
        <f t="shared" ref="AJ60:AJ63" si="115">N60*M60</f>
        <v>6</v>
      </c>
    </row>
    <row r="61" spans="1:36" s="11" customFormat="1" ht="15.75" customHeight="1">
      <c r="A61" s="18"/>
      <c r="B61" s="111" t="s">
        <v>421</v>
      </c>
      <c r="C61" s="94" t="s">
        <v>390</v>
      </c>
      <c r="D61" s="94">
        <v>1</v>
      </c>
      <c r="E61" s="94" t="s">
        <v>57</v>
      </c>
      <c r="F61" s="95" t="s">
        <v>57</v>
      </c>
      <c r="G61" s="132">
        <v>23.3</v>
      </c>
      <c r="H61" s="97"/>
      <c r="I61" s="94">
        <f t="shared" ref="I61" si="116">(G61-H61)</f>
        <v>23.3</v>
      </c>
      <c r="J61" s="94">
        <f t="shared" ref="J61" si="117">I61*D61</f>
        <v>23.3</v>
      </c>
      <c r="K61" s="109"/>
      <c r="L61" s="134" t="s">
        <v>17</v>
      </c>
      <c r="M61" s="99">
        <v>1</v>
      </c>
      <c r="N61" s="113">
        <v>20.41</v>
      </c>
      <c r="O61" s="112">
        <v>2.4</v>
      </c>
      <c r="P61" s="102"/>
      <c r="Q61" s="102"/>
      <c r="R61" s="102"/>
      <c r="S61" s="99">
        <f t="shared" si="65"/>
        <v>48.984000000000002</v>
      </c>
      <c r="T61" s="110"/>
      <c r="U61" s="91"/>
      <c r="V61" s="92"/>
      <c r="W61" s="103"/>
      <c r="X61" s="104" t="s">
        <v>17</v>
      </c>
      <c r="Y61" s="105">
        <f t="shared" si="22"/>
        <v>20.41</v>
      </c>
      <c r="Z61" s="128"/>
      <c r="AA61" s="115" t="s">
        <v>17</v>
      </c>
      <c r="AB61" s="108" t="str">
        <f t="shared" ref="AB61:AB62" si="118">E61</f>
        <v>cad</v>
      </c>
      <c r="AC61" s="108" t="str">
        <f t="shared" ref="AC61:AC62" si="119">F61</f>
        <v>cad</v>
      </c>
      <c r="AD61" s="108">
        <f t="shared" ref="AD61:AD62" si="120">G61</f>
        <v>23.3</v>
      </c>
      <c r="AE61" s="108">
        <f t="shared" ref="AE61:AE62" si="121">H61</f>
        <v>0</v>
      </c>
      <c r="AF61" s="108">
        <f t="shared" ref="AF61:AF62" si="122">I61</f>
        <v>23.3</v>
      </c>
      <c r="AG61" s="108">
        <f t="shared" ref="AG61:AG62" si="123">J61</f>
        <v>23.3</v>
      </c>
      <c r="AH61" s="103"/>
      <c r="AI61" s="116" t="s">
        <v>17</v>
      </c>
      <c r="AJ61" s="108">
        <f t="shared" si="115"/>
        <v>20.41</v>
      </c>
    </row>
    <row r="62" spans="1:36" s="11" customFormat="1" ht="15.75" customHeight="1">
      <c r="A62" s="18"/>
      <c r="B62" s="111" t="s">
        <v>91</v>
      </c>
      <c r="C62" s="94" t="s">
        <v>318</v>
      </c>
      <c r="D62" s="94">
        <v>1</v>
      </c>
      <c r="E62" s="94" t="s">
        <v>57</v>
      </c>
      <c r="F62" s="95" t="s">
        <v>57</v>
      </c>
      <c r="G62" s="132">
        <v>3.43</v>
      </c>
      <c r="H62" s="97"/>
      <c r="I62" s="94">
        <f t="shared" ref="I62" si="124">(G62-H62)</f>
        <v>3.43</v>
      </c>
      <c r="J62" s="94">
        <f t="shared" ref="J62" si="125">I62*D62</f>
        <v>3.43</v>
      </c>
      <c r="K62" s="109"/>
      <c r="L62" s="134" t="s">
        <v>18</v>
      </c>
      <c r="M62" s="99">
        <v>1</v>
      </c>
      <c r="N62" s="113">
        <v>8.1199999999999992</v>
      </c>
      <c r="O62" s="112">
        <v>2.5</v>
      </c>
      <c r="P62" s="102"/>
      <c r="Q62" s="102"/>
      <c r="R62" s="102"/>
      <c r="S62" s="99">
        <f t="shared" si="65"/>
        <v>20.299999999999997</v>
      </c>
      <c r="T62" s="110"/>
      <c r="U62" s="91"/>
      <c r="V62" s="92"/>
      <c r="W62" s="103"/>
      <c r="X62" s="126" t="s">
        <v>18</v>
      </c>
      <c r="Y62" s="105">
        <f t="shared" si="22"/>
        <v>8.1199999999999992</v>
      </c>
      <c r="Z62" s="128"/>
      <c r="AA62" s="115" t="s">
        <v>18</v>
      </c>
      <c r="AB62" s="108" t="str">
        <f t="shared" si="118"/>
        <v>cad</v>
      </c>
      <c r="AC62" s="108" t="str">
        <f t="shared" si="119"/>
        <v>cad</v>
      </c>
      <c r="AD62" s="108">
        <f t="shared" si="120"/>
        <v>3.43</v>
      </c>
      <c r="AE62" s="108">
        <f t="shared" si="121"/>
        <v>0</v>
      </c>
      <c r="AF62" s="108">
        <f t="shared" si="122"/>
        <v>3.43</v>
      </c>
      <c r="AG62" s="108">
        <f t="shared" si="123"/>
        <v>3.43</v>
      </c>
      <c r="AH62" s="103"/>
      <c r="AI62" s="116" t="s">
        <v>17</v>
      </c>
      <c r="AJ62" s="108">
        <f t="shared" si="115"/>
        <v>8.1199999999999992</v>
      </c>
    </row>
    <row r="63" spans="1:36" s="11" customFormat="1" ht="15.75" customHeight="1">
      <c r="A63" s="18"/>
      <c r="B63" s="93" t="s">
        <v>422</v>
      </c>
      <c r="C63" s="94" t="s">
        <v>318</v>
      </c>
      <c r="D63" s="94">
        <v>1</v>
      </c>
      <c r="E63" s="94" t="s">
        <v>57</v>
      </c>
      <c r="F63" s="95" t="s">
        <v>57</v>
      </c>
      <c r="G63" s="96">
        <v>1.96</v>
      </c>
      <c r="H63" s="97"/>
      <c r="I63" s="94">
        <f t="shared" si="89"/>
        <v>1.96</v>
      </c>
      <c r="J63" s="94">
        <f t="shared" si="90"/>
        <v>1.96</v>
      </c>
      <c r="K63" s="109"/>
      <c r="L63" s="134" t="s">
        <v>18</v>
      </c>
      <c r="M63" s="99">
        <v>1</v>
      </c>
      <c r="N63" s="100">
        <v>5.6</v>
      </c>
      <c r="O63" s="101">
        <v>2.5</v>
      </c>
      <c r="P63" s="102"/>
      <c r="Q63" s="102"/>
      <c r="R63" s="102"/>
      <c r="S63" s="99">
        <f t="shared" si="65"/>
        <v>14</v>
      </c>
      <c r="T63" s="110"/>
      <c r="U63" s="91"/>
      <c r="V63" s="92"/>
      <c r="W63" s="103"/>
      <c r="X63" s="126" t="s">
        <v>18</v>
      </c>
      <c r="Y63" s="105">
        <f t="shared" ref="Y63:Y116" si="126">N63*M63</f>
        <v>5.6</v>
      </c>
      <c r="Z63" s="128"/>
      <c r="AA63" s="107" t="s">
        <v>18</v>
      </c>
      <c r="AB63" s="108" t="str">
        <f t="shared" ref="AB63:AC65" si="127">E63</f>
        <v>cad</v>
      </c>
      <c r="AC63" s="108" t="str">
        <f t="shared" si="127"/>
        <v>cad</v>
      </c>
      <c r="AD63" s="108">
        <f t="shared" si="53"/>
        <v>1.96</v>
      </c>
      <c r="AE63" s="108">
        <f>H63</f>
        <v>0</v>
      </c>
      <c r="AF63" s="108">
        <f t="shared" si="54"/>
        <v>1.96</v>
      </c>
      <c r="AG63" s="108">
        <f t="shared" si="55"/>
        <v>1.96</v>
      </c>
      <c r="AH63" s="103"/>
      <c r="AI63" s="119" t="s">
        <v>17</v>
      </c>
      <c r="AJ63" s="108">
        <f t="shared" si="115"/>
        <v>5.6</v>
      </c>
    </row>
    <row r="64" spans="1:36" s="11" customFormat="1" ht="15.75" customHeight="1">
      <c r="A64" s="18"/>
      <c r="B64" s="93" t="s">
        <v>259</v>
      </c>
      <c r="C64" s="94" t="s">
        <v>246</v>
      </c>
      <c r="D64" s="94">
        <v>1</v>
      </c>
      <c r="E64" s="94" t="s">
        <v>57</v>
      </c>
      <c r="F64" s="95" t="s">
        <v>57</v>
      </c>
      <c r="G64" s="96">
        <v>19.11</v>
      </c>
      <c r="H64" s="97"/>
      <c r="I64" s="94">
        <f t="shared" si="89"/>
        <v>19.11</v>
      </c>
      <c r="J64" s="94">
        <f t="shared" si="90"/>
        <v>19.11</v>
      </c>
      <c r="K64" s="109"/>
      <c r="L64" s="98" t="s">
        <v>24</v>
      </c>
      <c r="M64" s="99">
        <v>1</v>
      </c>
      <c r="N64" s="100">
        <v>20.47</v>
      </c>
      <c r="O64" s="101">
        <v>3.15</v>
      </c>
      <c r="P64" s="102"/>
      <c r="Q64" s="102"/>
      <c r="R64" s="102"/>
      <c r="S64" s="99">
        <f t="shared" si="65"/>
        <v>64.480499999999992</v>
      </c>
      <c r="T64" s="110"/>
      <c r="U64" s="91" t="s">
        <v>357</v>
      </c>
      <c r="V64" s="92">
        <f t="shared" ref="V64:V71" si="128">N64*M64</f>
        <v>20.47</v>
      </c>
      <c r="W64" s="103"/>
      <c r="X64" s="104" t="s">
        <v>20</v>
      </c>
      <c r="Y64" s="105">
        <f t="shared" si="126"/>
        <v>20.47</v>
      </c>
      <c r="Z64" s="128"/>
      <c r="AA64" s="107" t="s">
        <v>20</v>
      </c>
      <c r="AB64" s="108" t="str">
        <f t="shared" si="127"/>
        <v>cad</v>
      </c>
      <c r="AC64" s="108" t="str">
        <f t="shared" si="127"/>
        <v>cad</v>
      </c>
      <c r="AD64" s="108">
        <f t="shared" si="53"/>
        <v>19.11</v>
      </c>
      <c r="AE64" s="108">
        <f>H64</f>
        <v>0</v>
      </c>
      <c r="AF64" s="108">
        <f t="shared" si="54"/>
        <v>19.11</v>
      </c>
      <c r="AG64" s="108">
        <f t="shared" si="55"/>
        <v>19.11</v>
      </c>
      <c r="AH64" s="103"/>
      <c r="AI64" s="92"/>
      <c r="AJ64" s="108"/>
    </row>
    <row r="65" spans="1:36" s="11" customFormat="1" ht="15.75" customHeight="1">
      <c r="A65" s="18"/>
      <c r="B65" s="93" t="s">
        <v>260</v>
      </c>
      <c r="C65" s="94" t="s">
        <v>246</v>
      </c>
      <c r="D65" s="94">
        <v>1</v>
      </c>
      <c r="E65" s="94" t="s">
        <v>57</v>
      </c>
      <c r="F65" s="95" t="s">
        <v>57</v>
      </c>
      <c r="G65" s="96">
        <v>18.27</v>
      </c>
      <c r="H65" s="97"/>
      <c r="I65" s="94">
        <f t="shared" si="89"/>
        <v>18.27</v>
      </c>
      <c r="J65" s="94">
        <f t="shared" si="90"/>
        <v>18.27</v>
      </c>
      <c r="K65" s="109"/>
      <c r="L65" s="98" t="s">
        <v>24</v>
      </c>
      <c r="M65" s="99">
        <v>1</v>
      </c>
      <c r="N65" s="100">
        <v>20.41</v>
      </c>
      <c r="O65" s="101">
        <v>3.15</v>
      </c>
      <c r="P65" s="102"/>
      <c r="Q65" s="102"/>
      <c r="R65" s="102"/>
      <c r="S65" s="99">
        <f t="shared" si="65"/>
        <v>64.291499999999999</v>
      </c>
      <c r="T65" s="110"/>
      <c r="U65" s="91" t="s">
        <v>357</v>
      </c>
      <c r="V65" s="92">
        <f t="shared" si="128"/>
        <v>20.41</v>
      </c>
      <c r="W65" s="103"/>
      <c r="X65" s="104" t="s">
        <v>20</v>
      </c>
      <c r="Y65" s="105">
        <f t="shared" si="126"/>
        <v>20.41</v>
      </c>
      <c r="Z65" s="128"/>
      <c r="AA65" s="107" t="s">
        <v>20</v>
      </c>
      <c r="AB65" s="108" t="str">
        <f t="shared" si="127"/>
        <v>cad</v>
      </c>
      <c r="AC65" s="108" t="str">
        <f t="shared" si="127"/>
        <v>cad</v>
      </c>
      <c r="AD65" s="108">
        <f t="shared" si="53"/>
        <v>18.27</v>
      </c>
      <c r="AE65" s="108">
        <f>H65</f>
        <v>0</v>
      </c>
      <c r="AF65" s="108">
        <f t="shared" si="54"/>
        <v>18.27</v>
      </c>
      <c r="AG65" s="108">
        <f t="shared" si="55"/>
        <v>18.27</v>
      </c>
      <c r="AH65" s="103"/>
      <c r="AI65" s="92"/>
      <c r="AJ65" s="108"/>
    </row>
    <row r="66" spans="1:36" s="11" customFormat="1" ht="15.75" customHeight="1" thickBot="1">
      <c r="A66" s="18"/>
      <c r="B66" s="135" t="s">
        <v>402</v>
      </c>
      <c r="C66" s="94" t="s">
        <v>390</v>
      </c>
      <c r="D66" s="94">
        <v>1</v>
      </c>
      <c r="E66" s="94" t="s">
        <v>57</v>
      </c>
      <c r="F66" s="95" t="s">
        <v>57</v>
      </c>
      <c r="G66" s="132">
        <v>19.399999999999999</v>
      </c>
      <c r="H66" s="97"/>
      <c r="I66" s="94">
        <f t="shared" ref="I66" si="129">(G66-H66)</f>
        <v>19.399999999999999</v>
      </c>
      <c r="J66" s="94">
        <f t="shared" ref="J66" si="130">I66*D66</f>
        <v>19.399999999999999</v>
      </c>
      <c r="K66" s="109"/>
      <c r="L66" s="98" t="s">
        <v>17</v>
      </c>
      <c r="M66" s="99">
        <v>1</v>
      </c>
      <c r="N66" s="113">
        <v>18.61</v>
      </c>
      <c r="O66" s="112">
        <v>2.2000000000000002</v>
      </c>
      <c r="P66" s="102"/>
      <c r="Q66" s="102"/>
      <c r="R66" s="102"/>
      <c r="S66" s="99">
        <f t="shared" si="65"/>
        <v>40.942</v>
      </c>
      <c r="T66" s="110"/>
      <c r="U66" s="91"/>
      <c r="V66" s="92"/>
      <c r="W66" s="103"/>
      <c r="X66" s="104" t="s">
        <v>17</v>
      </c>
      <c r="Y66" s="105">
        <f t="shared" si="126"/>
        <v>18.61</v>
      </c>
      <c r="Z66" s="128"/>
      <c r="AA66" s="115" t="s">
        <v>17</v>
      </c>
      <c r="AB66" s="108" t="str">
        <f t="shared" ref="AB66:AB67" si="131">E66</f>
        <v>cad</v>
      </c>
      <c r="AC66" s="108" t="str">
        <f t="shared" ref="AC66:AC67" si="132">F66</f>
        <v>cad</v>
      </c>
      <c r="AD66" s="108">
        <f t="shared" si="53"/>
        <v>19.399999999999999</v>
      </c>
      <c r="AE66" s="108"/>
      <c r="AF66" s="108">
        <f t="shared" ref="AF66:AF67" si="133">I66</f>
        <v>19.399999999999999</v>
      </c>
      <c r="AG66" s="108">
        <f t="shared" ref="AG66:AG67" si="134">J66</f>
        <v>19.399999999999999</v>
      </c>
      <c r="AH66" s="103"/>
      <c r="AI66" s="116" t="s">
        <v>17</v>
      </c>
      <c r="AJ66" s="108">
        <f t="shared" ref="AJ66:AJ67" si="135">N66*M66</f>
        <v>18.61</v>
      </c>
    </row>
    <row r="67" spans="1:36" s="11" customFormat="1" ht="15.75" customHeight="1" thickTop="1">
      <c r="A67" s="18"/>
      <c r="B67" s="136" t="s">
        <v>411</v>
      </c>
      <c r="C67" s="94" t="s">
        <v>318</v>
      </c>
      <c r="D67" s="94">
        <v>1</v>
      </c>
      <c r="E67" s="94" t="s">
        <v>57</v>
      </c>
      <c r="F67" s="95" t="s">
        <v>57</v>
      </c>
      <c r="G67" s="132">
        <v>2.58</v>
      </c>
      <c r="H67" s="97"/>
      <c r="I67" s="94">
        <f t="shared" ref="I67" si="136">(G67-H67)</f>
        <v>2.58</v>
      </c>
      <c r="J67" s="94">
        <f t="shared" ref="J67" si="137">I67*D67</f>
        <v>2.58</v>
      </c>
      <c r="K67" s="109"/>
      <c r="L67" s="98" t="s">
        <v>18</v>
      </c>
      <c r="M67" s="99">
        <v>1</v>
      </c>
      <c r="N67" s="113">
        <v>6.7</v>
      </c>
      <c r="O67" s="112">
        <v>2.4</v>
      </c>
      <c r="P67" s="102"/>
      <c r="Q67" s="102"/>
      <c r="R67" s="102"/>
      <c r="S67" s="99">
        <f t="shared" si="65"/>
        <v>16.079999999999998</v>
      </c>
      <c r="T67" s="110"/>
      <c r="U67" s="91"/>
      <c r="V67" s="92"/>
      <c r="W67" s="103"/>
      <c r="X67" s="126" t="s">
        <v>18</v>
      </c>
      <c r="Y67" s="105">
        <f t="shared" si="126"/>
        <v>6.7</v>
      </c>
      <c r="Z67" s="128"/>
      <c r="AA67" s="115" t="s">
        <v>18</v>
      </c>
      <c r="AB67" s="108" t="str">
        <f t="shared" si="131"/>
        <v>cad</v>
      </c>
      <c r="AC67" s="108" t="str">
        <f t="shared" si="132"/>
        <v>cad</v>
      </c>
      <c r="AD67" s="108">
        <f t="shared" si="53"/>
        <v>2.58</v>
      </c>
      <c r="AE67" s="108"/>
      <c r="AF67" s="108">
        <f t="shared" si="133"/>
        <v>2.58</v>
      </c>
      <c r="AG67" s="108">
        <f t="shared" si="134"/>
        <v>2.58</v>
      </c>
      <c r="AH67" s="103"/>
      <c r="AI67" s="116" t="s">
        <v>17</v>
      </c>
      <c r="AJ67" s="108">
        <f t="shared" si="135"/>
        <v>6.7</v>
      </c>
    </row>
    <row r="68" spans="1:36" s="11" customFormat="1" ht="15.75" customHeight="1">
      <c r="A68" s="18"/>
      <c r="B68" s="93" t="s">
        <v>316</v>
      </c>
      <c r="C68" s="94" t="s">
        <v>248</v>
      </c>
      <c r="D68" s="94">
        <v>1</v>
      </c>
      <c r="E68" s="94" t="s">
        <v>57</v>
      </c>
      <c r="F68" s="95" t="s">
        <v>57</v>
      </c>
      <c r="G68" s="131">
        <v>10.8</v>
      </c>
      <c r="H68" s="97"/>
      <c r="I68" s="94">
        <f t="shared" si="89"/>
        <v>10.8</v>
      </c>
      <c r="J68" s="94">
        <f t="shared" si="90"/>
        <v>10.8</v>
      </c>
      <c r="K68" s="109"/>
      <c r="L68" s="98" t="s">
        <v>340</v>
      </c>
      <c r="M68" s="99">
        <v>1</v>
      </c>
      <c r="N68" s="100">
        <v>13.4</v>
      </c>
      <c r="O68" s="101">
        <v>2.5</v>
      </c>
      <c r="P68" s="102"/>
      <c r="Q68" s="102"/>
      <c r="R68" s="102"/>
      <c r="S68" s="99">
        <f t="shared" si="65"/>
        <v>33.5</v>
      </c>
      <c r="T68" s="110"/>
      <c r="U68" s="137"/>
      <c r="V68" s="138"/>
      <c r="W68" s="103"/>
      <c r="X68" s="126"/>
      <c r="Y68" s="105"/>
      <c r="Z68" s="128"/>
      <c r="AA68" s="107" t="s">
        <v>18</v>
      </c>
      <c r="AB68" s="108" t="str">
        <f t="shared" ref="AB68:AC68" si="138">E68</f>
        <v>cad</v>
      </c>
      <c r="AC68" s="108" t="str">
        <f t="shared" si="138"/>
        <v>cad</v>
      </c>
      <c r="AD68" s="108">
        <f t="shared" si="53"/>
        <v>10.8</v>
      </c>
      <c r="AE68" s="108"/>
      <c r="AF68" s="108">
        <f t="shared" si="54"/>
        <v>10.8</v>
      </c>
      <c r="AG68" s="108">
        <f t="shared" si="55"/>
        <v>10.8</v>
      </c>
      <c r="AH68" s="103"/>
      <c r="AI68" s="119" t="s">
        <v>17</v>
      </c>
      <c r="AJ68" s="108">
        <f t="shared" ref="AJ68:AJ69" si="139">N68*M68</f>
        <v>13.4</v>
      </c>
    </row>
    <row r="69" spans="1:36" s="11" customFormat="1" ht="15.75" customHeight="1">
      <c r="A69" s="18"/>
      <c r="B69" s="93" t="s">
        <v>157</v>
      </c>
      <c r="C69" s="94" t="s">
        <v>390</v>
      </c>
      <c r="D69" s="94">
        <v>1</v>
      </c>
      <c r="E69" s="94" t="s">
        <v>57</v>
      </c>
      <c r="F69" s="95" t="s">
        <v>57</v>
      </c>
      <c r="G69" s="96">
        <v>66.87</v>
      </c>
      <c r="H69" s="97"/>
      <c r="I69" s="94">
        <f t="shared" si="89"/>
        <v>66.87</v>
      </c>
      <c r="J69" s="94">
        <f t="shared" si="90"/>
        <v>66.87</v>
      </c>
      <c r="K69" s="109"/>
      <c r="L69" s="98" t="s">
        <v>17</v>
      </c>
      <c r="M69" s="99">
        <v>1</v>
      </c>
      <c r="N69" s="100">
        <f>62.12-6.31</f>
        <v>55.809999999999995</v>
      </c>
      <c r="O69" s="101">
        <v>2.4</v>
      </c>
      <c r="P69" s="102"/>
      <c r="Q69" s="102"/>
      <c r="R69" s="102"/>
      <c r="S69" s="99">
        <f t="shared" si="65"/>
        <v>133.94399999999999</v>
      </c>
      <c r="T69" s="110"/>
      <c r="U69" s="91" t="s">
        <v>357</v>
      </c>
      <c r="V69" s="92">
        <f t="shared" si="128"/>
        <v>55.809999999999995</v>
      </c>
      <c r="W69" s="103"/>
      <c r="X69" s="104" t="s">
        <v>17</v>
      </c>
      <c r="Y69" s="105">
        <f t="shared" si="126"/>
        <v>55.809999999999995</v>
      </c>
      <c r="Z69" s="127"/>
      <c r="AA69" s="107" t="s">
        <v>17</v>
      </c>
      <c r="AB69" s="108" t="str">
        <f t="shared" ref="AB69:AB81" si="140">E69</f>
        <v>cad</v>
      </c>
      <c r="AC69" s="108" t="str">
        <f t="shared" ref="AC69:AC81" si="141">F69</f>
        <v>cad</v>
      </c>
      <c r="AD69" s="108">
        <f t="shared" si="53"/>
        <v>66.87</v>
      </c>
      <c r="AE69" s="108">
        <f t="shared" ref="AE69:AE80" si="142">H69</f>
        <v>0</v>
      </c>
      <c r="AF69" s="108">
        <f t="shared" si="54"/>
        <v>66.87</v>
      </c>
      <c r="AG69" s="108">
        <f t="shared" si="55"/>
        <v>66.87</v>
      </c>
      <c r="AH69" s="103"/>
      <c r="AI69" s="119" t="s">
        <v>17</v>
      </c>
      <c r="AJ69" s="108">
        <f t="shared" si="139"/>
        <v>55.809999999999995</v>
      </c>
    </row>
    <row r="70" spans="1:36" s="11" customFormat="1" ht="15.75" customHeight="1">
      <c r="A70" s="18"/>
      <c r="B70" s="93"/>
      <c r="C70" s="94"/>
      <c r="D70" s="94"/>
      <c r="E70" s="94"/>
      <c r="F70" s="95"/>
      <c r="G70" s="139"/>
      <c r="H70" s="97"/>
      <c r="I70" s="94"/>
      <c r="J70" s="94"/>
      <c r="K70" s="109"/>
      <c r="L70" s="98"/>
      <c r="M70" s="99"/>
      <c r="N70" s="94"/>
      <c r="O70" s="94"/>
      <c r="P70" s="102"/>
      <c r="Q70" s="102"/>
      <c r="R70" s="102"/>
      <c r="S70" s="99"/>
      <c r="T70" s="110"/>
      <c r="U70" s="91"/>
      <c r="V70" s="92"/>
      <c r="W70" s="103"/>
      <c r="X70" s="104"/>
      <c r="Y70" s="105"/>
      <c r="Z70" s="127"/>
      <c r="AA70" s="140" t="s">
        <v>19</v>
      </c>
      <c r="AB70" s="141">
        <f t="shared" ref="AB70" si="143">E70</f>
        <v>0</v>
      </c>
      <c r="AC70" s="141">
        <f t="shared" ref="AC70" si="144">F70</f>
        <v>0</v>
      </c>
      <c r="AD70" s="141">
        <v>33.6</v>
      </c>
      <c r="AE70" s="108">
        <f t="shared" ref="AE70" si="145">H70</f>
        <v>0</v>
      </c>
      <c r="AF70" s="141">
        <f>AD70</f>
        <v>33.6</v>
      </c>
      <c r="AG70" s="141">
        <f>AF70</f>
        <v>33.6</v>
      </c>
      <c r="AH70" s="103"/>
      <c r="AI70" s="118"/>
      <c r="AJ70" s="108"/>
    </row>
    <row r="71" spans="1:36" s="11" customFormat="1" ht="15.75" customHeight="1">
      <c r="A71" s="18"/>
      <c r="B71" s="93" t="s">
        <v>116</v>
      </c>
      <c r="C71" s="94" t="s">
        <v>251</v>
      </c>
      <c r="D71" s="94">
        <v>1</v>
      </c>
      <c r="E71" s="94" t="s">
        <v>57</v>
      </c>
      <c r="F71" s="95" t="s">
        <v>57</v>
      </c>
      <c r="G71" s="96">
        <v>2.0299999999999998</v>
      </c>
      <c r="H71" s="97"/>
      <c r="I71" s="94">
        <f t="shared" si="89"/>
        <v>2.0299999999999998</v>
      </c>
      <c r="J71" s="94">
        <f t="shared" si="90"/>
        <v>2.0299999999999998</v>
      </c>
      <c r="K71" s="109"/>
      <c r="L71" s="98" t="s">
        <v>19</v>
      </c>
      <c r="M71" s="99">
        <v>1</v>
      </c>
      <c r="N71" s="121">
        <v>5.7</v>
      </c>
      <c r="O71" s="101">
        <v>2.4</v>
      </c>
      <c r="P71" s="102"/>
      <c r="Q71" s="102"/>
      <c r="R71" s="102"/>
      <c r="S71" s="99">
        <f t="shared" si="65"/>
        <v>13.68</v>
      </c>
      <c r="T71" s="110"/>
      <c r="U71" s="91" t="s">
        <v>357</v>
      </c>
      <c r="V71" s="92">
        <f t="shared" si="128"/>
        <v>5.7</v>
      </c>
      <c r="W71" s="103"/>
      <c r="X71" s="126"/>
      <c r="Y71" s="105"/>
      <c r="Z71" s="129"/>
      <c r="AA71" s="107" t="s">
        <v>17</v>
      </c>
      <c r="AB71" s="108" t="str">
        <f t="shared" si="140"/>
        <v>cad</v>
      </c>
      <c r="AC71" s="108" t="str">
        <f t="shared" si="141"/>
        <v>cad</v>
      </c>
      <c r="AD71" s="108">
        <f t="shared" ref="AD71:AD127" si="146">G71</f>
        <v>2.0299999999999998</v>
      </c>
      <c r="AE71" s="108">
        <f t="shared" si="142"/>
        <v>0</v>
      </c>
      <c r="AF71" s="108">
        <f t="shared" ref="AF71:AF127" si="147">I71</f>
        <v>2.0299999999999998</v>
      </c>
      <c r="AG71" s="108">
        <f t="shared" ref="AG71:AG127" si="148">J71</f>
        <v>2.0299999999999998</v>
      </c>
      <c r="AH71" s="103"/>
      <c r="AI71" s="119" t="s">
        <v>17</v>
      </c>
      <c r="AJ71" s="108">
        <f t="shared" ref="AJ71:AJ73" si="149">N71*M71</f>
        <v>5.7</v>
      </c>
    </row>
    <row r="72" spans="1:36" s="11" customFormat="1" ht="15.75" customHeight="1">
      <c r="A72" s="18"/>
      <c r="B72" s="93" t="s">
        <v>227</v>
      </c>
      <c r="C72" s="94" t="s">
        <v>318</v>
      </c>
      <c r="D72" s="94">
        <v>1</v>
      </c>
      <c r="E72" s="94" t="s">
        <v>57</v>
      </c>
      <c r="F72" s="95" t="s">
        <v>57</v>
      </c>
      <c r="G72" s="96">
        <v>2.31</v>
      </c>
      <c r="H72" s="97"/>
      <c r="I72" s="94">
        <f t="shared" si="89"/>
        <v>2.31</v>
      </c>
      <c r="J72" s="94">
        <f t="shared" si="90"/>
        <v>2.31</v>
      </c>
      <c r="K72" s="109"/>
      <c r="L72" s="98" t="s">
        <v>18</v>
      </c>
      <c r="M72" s="99">
        <v>1</v>
      </c>
      <c r="N72" s="100">
        <v>6.1</v>
      </c>
      <c r="O72" s="101">
        <v>2.5</v>
      </c>
      <c r="P72" s="102"/>
      <c r="Q72" s="102"/>
      <c r="R72" s="102"/>
      <c r="S72" s="99">
        <f t="shared" si="65"/>
        <v>15.25</v>
      </c>
      <c r="T72" s="110"/>
      <c r="U72" s="91"/>
      <c r="V72" s="92"/>
      <c r="W72" s="103"/>
      <c r="X72" s="126" t="s">
        <v>18</v>
      </c>
      <c r="Y72" s="105">
        <f t="shared" si="126"/>
        <v>6.1</v>
      </c>
      <c r="Z72" s="129"/>
      <c r="AA72" s="107" t="s">
        <v>18</v>
      </c>
      <c r="AB72" s="108" t="str">
        <f t="shared" si="140"/>
        <v>cad</v>
      </c>
      <c r="AC72" s="108" t="str">
        <f t="shared" si="141"/>
        <v>cad</v>
      </c>
      <c r="AD72" s="108">
        <f t="shared" si="146"/>
        <v>2.31</v>
      </c>
      <c r="AE72" s="108">
        <f t="shared" si="142"/>
        <v>0</v>
      </c>
      <c r="AF72" s="108">
        <f t="shared" si="147"/>
        <v>2.31</v>
      </c>
      <c r="AG72" s="108">
        <f t="shared" si="148"/>
        <v>2.31</v>
      </c>
      <c r="AH72" s="103"/>
      <c r="AI72" s="119" t="s">
        <v>17</v>
      </c>
      <c r="AJ72" s="108">
        <f t="shared" si="149"/>
        <v>6.1</v>
      </c>
    </row>
    <row r="73" spans="1:36" s="11" customFormat="1" ht="15.75" customHeight="1">
      <c r="A73" s="18"/>
      <c r="B73" s="93" t="s">
        <v>84</v>
      </c>
      <c r="C73" s="94" t="s">
        <v>390</v>
      </c>
      <c r="D73" s="94">
        <v>1</v>
      </c>
      <c r="E73" s="94" t="s">
        <v>57</v>
      </c>
      <c r="F73" s="95" t="s">
        <v>57</v>
      </c>
      <c r="G73" s="96">
        <v>62.87</v>
      </c>
      <c r="H73" s="97"/>
      <c r="I73" s="94">
        <f t="shared" si="89"/>
        <v>62.87</v>
      </c>
      <c r="J73" s="94">
        <f t="shared" si="90"/>
        <v>62.87</v>
      </c>
      <c r="K73" s="109"/>
      <c r="L73" s="98" t="s">
        <v>17</v>
      </c>
      <c r="M73" s="99">
        <v>1</v>
      </c>
      <c r="N73" s="100">
        <v>41.96</v>
      </c>
      <c r="O73" s="101">
        <v>2.4</v>
      </c>
      <c r="P73" s="102"/>
      <c r="Q73" s="102"/>
      <c r="R73" s="102"/>
      <c r="S73" s="99">
        <f t="shared" ref="S73:S125" si="150">(N73*O73-P73)*M73</f>
        <v>100.70399999999999</v>
      </c>
      <c r="T73" s="110"/>
      <c r="U73" s="91" t="s">
        <v>357</v>
      </c>
      <c r="V73" s="92">
        <f>N73*M73</f>
        <v>41.96</v>
      </c>
      <c r="W73" s="103"/>
      <c r="X73" s="104" t="s">
        <v>17</v>
      </c>
      <c r="Y73" s="105">
        <f t="shared" si="126"/>
        <v>41.96</v>
      </c>
      <c r="Z73" s="128"/>
      <c r="AA73" s="107" t="s">
        <v>17</v>
      </c>
      <c r="AB73" s="108" t="str">
        <f t="shared" si="140"/>
        <v>cad</v>
      </c>
      <c r="AC73" s="108" t="str">
        <f t="shared" si="141"/>
        <v>cad</v>
      </c>
      <c r="AD73" s="108">
        <f t="shared" si="146"/>
        <v>62.87</v>
      </c>
      <c r="AE73" s="108">
        <f t="shared" si="142"/>
        <v>0</v>
      </c>
      <c r="AF73" s="108">
        <f t="shared" si="147"/>
        <v>62.87</v>
      </c>
      <c r="AG73" s="108">
        <f t="shared" si="148"/>
        <v>62.87</v>
      </c>
      <c r="AH73" s="103"/>
      <c r="AI73" s="119" t="s">
        <v>17</v>
      </c>
      <c r="AJ73" s="108">
        <f t="shared" si="149"/>
        <v>41.96</v>
      </c>
    </row>
    <row r="74" spans="1:36" s="11" customFormat="1" ht="15.75" customHeight="1">
      <c r="A74" s="18"/>
      <c r="B74" s="111" t="s">
        <v>416</v>
      </c>
      <c r="C74" s="94" t="s">
        <v>390</v>
      </c>
      <c r="D74" s="94">
        <v>1</v>
      </c>
      <c r="E74" s="94" t="s">
        <v>57</v>
      </c>
      <c r="F74" s="95" t="s">
        <v>57</v>
      </c>
      <c r="G74" s="130">
        <v>5.69</v>
      </c>
      <c r="H74" s="97"/>
      <c r="I74" s="94">
        <f t="shared" ref="I74" si="151">(G74-H74)</f>
        <v>5.69</v>
      </c>
      <c r="J74" s="94">
        <f t="shared" ref="J74" si="152">I74*D74</f>
        <v>5.69</v>
      </c>
      <c r="K74" s="109"/>
      <c r="L74" s="98" t="s">
        <v>17</v>
      </c>
      <c r="M74" s="99">
        <v>1</v>
      </c>
      <c r="N74" s="113">
        <v>9.92</v>
      </c>
      <c r="O74" s="112">
        <v>2.4</v>
      </c>
      <c r="P74" s="102"/>
      <c r="Q74" s="102"/>
      <c r="R74" s="102"/>
      <c r="S74" s="99">
        <f t="shared" si="150"/>
        <v>23.808</v>
      </c>
      <c r="T74" s="110"/>
      <c r="U74" s="137"/>
      <c r="V74" s="138"/>
      <c r="W74" s="103"/>
      <c r="X74" s="104" t="s">
        <v>17</v>
      </c>
      <c r="Y74" s="105">
        <f t="shared" si="126"/>
        <v>9.92</v>
      </c>
      <c r="Z74" s="129"/>
      <c r="AA74" s="115" t="s">
        <v>17</v>
      </c>
      <c r="AB74" s="108" t="str">
        <f t="shared" ref="AB74:AB79" si="153">E74</f>
        <v>cad</v>
      </c>
      <c r="AC74" s="108" t="str">
        <f t="shared" ref="AC74:AC79" si="154">F74</f>
        <v>cad</v>
      </c>
      <c r="AD74" s="108">
        <f t="shared" si="146"/>
        <v>5.69</v>
      </c>
      <c r="AE74" s="108">
        <f t="shared" si="142"/>
        <v>0</v>
      </c>
      <c r="AF74" s="108">
        <f t="shared" si="147"/>
        <v>5.69</v>
      </c>
      <c r="AG74" s="108">
        <f t="shared" si="148"/>
        <v>5.69</v>
      </c>
      <c r="AH74" s="103"/>
      <c r="AI74" s="116" t="s">
        <v>17</v>
      </c>
      <c r="AJ74" s="108">
        <f t="shared" ref="AJ74:AJ89" si="155">N74*M74</f>
        <v>9.92</v>
      </c>
    </row>
    <row r="75" spans="1:36" s="11" customFormat="1" ht="15.75" customHeight="1">
      <c r="A75" s="18"/>
      <c r="B75" s="111" t="s">
        <v>137</v>
      </c>
      <c r="C75" s="94" t="s">
        <v>390</v>
      </c>
      <c r="D75" s="94">
        <v>1</v>
      </c>
      <c r="E75" s="94" t="s">
        <v>57</v>
      </c>
      <c r="F75" s="95" t="s">
        <v>57</v>
      </c>
      <c r="G75" s="130">
        <v>10.11</v>
      </c>
      <c r="H75" s="97"/>
      <c r="I75" s="94">
        <f t="shared" ref="I75" si="156">(G75-H75)</f>
        <v>10.11</v>
      </c>
      <c r="J75" s="94">
        <f t="shared" ref="J75" si="157">I75*D75</f>
        <v>10.11</v>
      </c>
      <c r="K75" s="109"/>
      <c r="L75" s="98" t="s">
        <v>17</v>
      </c>
      <c r="M75" s="99">
        <v>1</v>
      </c>
      <c r="N75" s="113">
        <v>18.28</v>
      </c>
      <c r="O75" s="112">
        <v>2.4</v>
      </c>
      <c r="P75" s="102"/>
      <c r="Q75" s="102"/>
      <c r="R75" s="102"/>
      <c r="S75" s="99">
        <f t="shared" si="150"/>
        <v>43.872</v>
      </c>
      <c r="T75" s="110"/>
      <c r="U75" s="137"/>
      <c r="V75" s="138"/>
      <c r="W75" s="103"/>
      <c r="X75" s="104" t="s">
        <v>17</v>
      </c>
      <c r="Y75" s="105">
        <f t="shared" si="126"/>
        <v>18.28</v>
      </c>
      <c r="Z75" s="129"/>
      <c r="AA75" s="115" t="s">
        <v>17</v>
      </c>
      <c r="AB75" s="108" t="str">
        <f t="shared" si="153"/>
        <v>cad</v>
      </c>
      <c r="AC75" s="108" t="str">
        <f t="shared" si="154"/>
        <v>cad</v>
      </c>
      <c r="AD75" s="108">
        <f t="shared" ref="AD75:AD79" si="158">G75</f>
        <v>10.11</v>
      </c>
      <c r="AE75" s="108">
        <f t="shared" ref="AE75:AE79" si="159">H75</f>
        <v>0</v>
      </c>
      <c r="AF75" s="108">
        <f t="shared" ref="AF75:AF79" si="160">I75</f>
        <v>10.11</v>
      </c>
      <c r="AG75" s="108">
        <f t="shared" ref="AG75:AG79" si="161">J75</f>
        <v>10.11</v>
      </c>
      <c r="AH75" s="103"/>
      <c r="AI75" s="116" t="s">
        <v>17</v>
      </c>
      <c r="AJ75" s="108">
        <f t="shared" si="155"/>
        <v>18.28</v>
      </c>
    </row>
    <row r="76" spans="1:36" s="11" customFormat="1" ht="15.75" customHeight="1">
      <c r="A76" s="18"/>
      <c r="B76" s="111" t="s">
        <v>408</v>
      </c>
      <c r="C76" s="94" t="s">
        <v>390</v>
      </c>
      <c r="D76" s="94">
        <v>1</v>
      </c>
      <c r="E76" s="94" t="s">
        <v>57</v>
      </c>
      <c r="F76" s="95" t="s">
        <v>57</v>
      </c>
      <c r="G76" s="130">
        <v>5.86</v>
      </c>
      <c r="H76" s="97"/>
      <c r="I76" s="94">
        <f t="shared" ref="I76" si="162">(G76-H76)</f>
        <v>5.86</v>
      </c>
      <c r="J76" s="94">
        <f t="shared" ref="J76" si="163">I76*D76</f>
        <v>5.86</v>
      </c>
      <c r="K76" s="109"/>
      <c r="L76" s="98" t="s">
        <v>17</v>
      </c>
      <c r="M76" s="99">
        <v>1</v>
      </c>
      <c r="N76" s="113">
        <v>9.84</v>
      </c>
      <c r="O76" s="112">
        <v>2.4</v>
      </c>
      <c r="P76" s="102"/>
      <c r="Q76" s="102"/>
      <c r="R76" s="102"/>
      <c r="S76" s="99">
        <f t="shared" si="150"/>
        <v>23.616</v>
      </c>
      <c r="T76" s="110"/>
      <c r="U76" s="137"/>
      <c r="V76" s="138"/>
      <c r="W76" s="103"/>
      <c r="X76" s="104" t="s">
        <v>17</v>
      </c>
      <c r="Y76" s="105">
        <f t="shared" si="126"/>
        <v>9.84</v>
      </c>
      <c r="Z76" s="142"/>
      <c r="AA76" s="115" t="s">
        <v>17</v>
      </c>
      <c r="AB76" s="108" t="str">
        <f t="shared" si="153"/>
        <v>cad</v>
      </c>
      <c r="AC76" s="108" t="str">
        <f t="shared" si="154"/>
        <v>cad</v>
      </c>
      <c r="AD76" s="108">
        <f t="shared" si="158"/>
        <v>5.86</v>
      </c>
      <c r="AE76" s="108">
        <f t="shared" si="159"/>
        <v>0</v>
      </c>
      <c r="AF76" s="108">
        <f t="shared" si="160"/>
        <v>5.86</v>
      </c>
      <c r="AG76" s="108">
        <f t="shared" si="161"/>
        <v>5.86</v>
      </c>
      <c r="AH76" s="103"/>
      <c r="AI76" s="116" t="s">
        <v>17</v>
      </c>
      <c r="AJ76" s="108">
        <f t="shared" si="155"/>
        <v>9.84</v>
      </c>
    </row>
    <row r="77" spans="1:36" s="11" customFormat="1" ht="15.75" customHeight="1">
      <c r="A77" s="18"/>
      <c r="B77" s="111" t="s">
        <v>165</v>
      </c>
      <c r="C77" s="94" t="s">
        <v>390</v>
      </c>
      <c r="D77" s="94">
        <v>1</v>
      </c>
      <c r="E77" s="94" t="s">
        <v>57</v>
      </c>
      <c r="F77" s="95" t="s">
        <v>57</v>
      </c>
      <c r="G77" s="130">
        <v>3.79</v>
      </c>
      <c r="H77" s="97"/>
      <c r="I77" s="94">
        <f t="shared" ref="I77:I78" si="164">(G77-H77)</f>
        <v>3.79</v>
      </c>
      <c r="J77" s="94">
        <f t="shared" ref="J77:J78" si="165">I77*D77</f>
        <v>3.79</v>
      </c>
      <c r="K77" s="109"/>
      <c r="L77" s="98" t="s">
        <v>17</v>
      </c>
      <c r="M77" s="99">
        <v>1</v>
      </c>
      <c r="N77" s="113">
        <v>8.08</v>
      </c>
      <c r="O77" s="112">
        <v>2.4</v>
      </c>
      <c r="P77" s="102"/>
      <c r="Q77" s="102"/>
      <c r="R77" s="102"/>
      <c r="S77" s="99">
        <f t="shared" si="150"/>
        <v>19.391999999999999</v>
      </c>
      <c r="T77" s="110"/>
      <c r="U77" s="137"/>
      <c r="V77" s="138"/>
      <c r="W77" s="103"/>
      <c r="X77" s="104" t="s">
        <v>17</v>
      </c>
      <c r="Y77" s="105">
        <f t="shared" si="126"/>
        <v>8.08</v>
      </c>
      <c r="Z77" s="129"/>
      <c r="AA77" s="115" t="s">
        <v>17</v>
      </c>
      <c r="AB77" s="108" t="str">
        <f t="shared" si="153"/>
        <v>cad</v>
      </c>
      <c r="AC77" s="108" t="str">
        <f t="shared" si="154"/>
        <v>cad</v>
      </c>
      <c r="AD77" s="108">
        <f t="shared" si="158"/>
        <v>3.79</v>
      </c>
      <c r="AE77" s="108">
        <f t="shared" si="159"/>
        <v>0</v>
      </c>
      <c r="AF77" s="108">
        <f t="shared" si="160"/>
        <v>3.79</v>
      </c>
      <c r="AG77" s="108">
        <f t="shared" si="161"/>
        <v>3.79</v>
      </c>
      <c r="AH77" s="103"/>
      <c r="AI77" s="116" t="s">
        <v>17</v>
      </c>
      <c r="AJ77" s="108">
        <f t="shared" si="155"/>
        <v>8.08</v>
      </c>
    </row>
    <row r="78" spans="1:36" s="11" customFormat="1" ht="15.75" customHeight="1">
      <c r="A78" s="18"/>
      <c r="B78" s="111" t="s">
        <v>91</v>
      </c>
      <c r="C78" s="94" t="s">
        <v>318</v>
      </c>
      <c r="D78" s="94">
        <v>1</v>
      </c>
      <c r="E78" s="94" t="s">
        <v>57</v>
      </c>
      <c r="F78" s="95" t="s">
        <v>57</v>
      </c>
      <c r="G78" s="130">
        <v>3.43</v>
      </c>
      <c r="H78" s="97"/>
      <c r="I78" s="94">
        <f t="shared" si="164"/>
        <v>3.43</v>
      </c>
      <c r="J78" s="94">
        <f t="shared" si="165"/>
        <v>3.43</v>
      </c>
      <c r="K78" s="109"/>
      <c r="L78" s="98" t="s">
        <v>18</v>
      </c>
      <c r="M78" s="99">
        <v>1</v>
      </c>
      <c r="N78" s="113">
        <v>8.1199999999999992</v>
      </c>
      <c r="O78" s="112">
        <v>2.5</v>
      </c>
      <c r="P78" s="102"/>
      <c r="Q78" s="102"/>
      <c r="R78" s="102"/>
      <c r="S78" s="99">
        <f t="shared" si="150"/>
        <v>20.299999999999997</v>
      </c>
      <c r="T78" s="110"/>
      <c r="U78" s="137"/>
      <c r="V78" s="138"/>
      <c r="W78" s="103"/>
      <c r="X78" s="126" t="s">
        <v>18</v>
      </c>
      <c r="Y78" s="105">
        <f t="shared" si="126"/>
        <v>8.1199999999999992</v>
      </c>
      <c r="Z78" s="128"/>
      <c r="AA78" s="115" t="s">
        <v>18</v>
      </c>
      <c r="AB78" s="108" t="str">
        <f t="shared" si="153"/>
        <v>cad</v>
      </c>
      <c r="AC78" s="108" t="str">
        <f t="shared" si="154"/>
        <v>cad</v>
      </c>
      <c r="AD78" s="108">
        <f t="shared" si="158"/>
        <v>3.43</v>
      </c>
      <c r="AE78" s="108">
        <f t="shared" si="159"/>
        <v>0</v>
      </c>
      <c r="AF78" s="108">
        <f t="shared" si="160"/>
        <v>3.43</v>
      </c>
      <c r="AG78" s="108">
        <f t="shared" si="161"/>
        <v>3.43</v>
      </c>
      <c r="AH78" s="103"/>
      <c r="AI78" s="116" t="s">
        <v>17</v>
      </c>
      <c r="AJ78" s="108">
        <f t="shared" si="155"/>
        <v>8.1199999999999992</v>
      </c>
    </row>
    <row r="79" spans="1:36" s="11" customFormat="1" ht="15.75" customHeight="1">
      <c r="A79" s="18"/>
      <c r="B79" s="111" t="s">
        <v>157</v>
      </c>
      <c r="C79" s="94" t="s">
        <v>390</v>
      </c>
      <c r="D79" s="94">
        <v>1</v>
      </c>
      <c r="E79" s="94" t="s">
        <v>57</v>
      </c>
      <c r="F79" s="95" t="s">
        <v>57</v>
      </c>
      <c r="G79" s="130">
        <v>10.61</v>
      </c>
      <c r="H79" s="97"/>
      <c r="I79" s="94">
        <f t="shared" ref="I79" si="166">(G79-H79)</f>
        <v>10.61</v>
      </c>
      <c r="J79" s="94">
        <f t="shared" ref="J79" si="167">I79*D79</f>
        <v>10.61</v>
      </c>
      <c r="K79" s="109"/>
      <c r="L79" s="98" t="s">
        <v>17</v>
      </c>
      <c r="M79" s="99">
        <v>1</v>
      </c>
      <c r="N79" s="113">
        <f>16.03-1.67</f>
        <v>14.360000000000001</v>
      </c>
      <c r="O79" s="112">
        <v>2.5</v>
      </c>
      <c r="P79" s="102"/>
      <c r="Q79" s="102"/>
      <c r="R79" s="102"/>
      <c r="S79" s="99">
        <f t="shared" si="150"/>
        <v>35.900000000000006</v>
      </c>
      <c r="T79" s="110"/>
      <c r="U79" s="137"/>
      <c r="V79" s="138"/>
      <c r="W79" s="103"/>
      <c r="X79" s="104" t="s">
        <v>17</v>
      </c>
      <c r="Y79" s="105">
        <f t="shared" si="126"/>
        <v>14.360000000000001</v>
      </c>
      <c r="Z79" s="127"/>
      <c r="AA79" s="115" t="s">
        <v>17</v>
      </c>
      <c r="AB79" s="108" t="str">
        <f t="shared" si="153"/>
        <v>cad</v>
      </c>
      <c r="AC79" s="108" t="str">
        <f t="shared" si="154"/>
        <v>cad</v>
      </c>
      <c r="AD79" s="108">
        <f t="shared" si="158"/>
        <v>10.61</v>
      </c>
      <c r="AE79" s="108">
        <f t="shared" si="159"/>
        <v>0</v>
      </c>
      <c r="AF79" s="108">
        <f t="shared" si="160"/>
        <v>10.61</v>
      </c>
      <c r="AG79" s="108">
        <f t="shared" si="161"/>
        <v>10.61</v>
      </c>
      <c r="AH79" s="103"/>
      <c r="AI79" s="116" t="s">
        <v>17</v>
      </c>
      <c r="AJ79" s="108">
        <f t="shared" si="155"/>
        <v>14.360000000000001</v>
      </c>
    </row>
    <row r="80" spans="1:36" s="11" customFormat="1" ht="15.75" customHeight="1">
      <c r="A80" s="18"/>
      <c r="B80" s="93" t="s">
        <v>123</v>
      </c>
      <c r="C80" s="94" t="s">
        <v>249</v>
      </c>
      <c r="D80" s="94">
        <v>1</v>
      </c>
      <c r="E80" s="94" t="s">
        <v>57</v>
      </c>
      <c r="F80" s="95" t="s">
        <v>57</v>
      </c>
      <c r="G80" s="131">
        <v>3</v>
      </c>
      <c r="H80" s="97"/>
      <c r="I80" s="94">
        <f t="shared" si="89"/>
        <v>3</v>
      </c>
      <c r="J80" s="94">
        <f t="shared" si="90"/>
        <v>3</v>
      </c>
      <c r="K80" s="109"/>
      <c r="L80" s="98" t="s">
        <v>20</v>
      </c>
      <c r="M80" s="99">
        <v>1</v>
      </c>
      <c r="N80" s="100">
        <v>7.4</v>
      </c>
      <c r="O80" s="101">
        <v>2.4</v>
      </c>
      <c r="P80" s="102"/>
      <c r="Q80" s="102"/>
      <c r="R80" s="102"/>
      <c r="S80" s="99">
        <f t="shared" si="150"/>
        <v>17.760000000000002</v>
      </c>
      <c r="T80" s="110"/>
      <c r="U80" s="91"/>
      <c r="V80" s="92"/>
      <c r="W80" s="103"/>
      <c r="X80" s="126"/>
      <c r="Y80" s="105"/>
      <c r="Z80" s="127"/>
      <c r="AA80" s="107" t="s">
        <v>18</v>
      </c>
      <c r="AB80" s="108" t="str">
        <f t="shared" si="140"/>
        <v>cad</v>
      </c>
      <c r="AC80" s="108" t="str">
        <f t="shared" si="141"/>
        <v>cad</v>
      </c>
      <c r="AD80" s="108">
        <f t="shared" si="146"/>
        <v>3</v>
      </c>
      <c r="AE80" s="108">
        <f t="shared" si="142"/>
        <v>0</v>
      </c>
      <c r="AF80" s="108">
        <f t="shared" si="147"/>
        <v>3</v>
      </c>
      <c r="AG80" s="108">
        <f t="shared" si="148"/>
        <v>3</v>
      </c>
      <c r="AH80" s="103"/>
      <c r="AI80" s="119" t="s">
        <v>17</v>
      </c>
      <c r="AJ80" s="108">
        <f t="shared" si="155"/>
        <v>7.4</v>
      </c>
    </row>
    <row r="81" spans="1:36" s="11" customFormat="1" ht="15.75" customHeight="1">
      <c r="A81" s="18"/>
      <c r="B81" s="93" t="s">
        <v>404</v>
      </c>
      <c r="C81" s="94" t="s">
        <v>318</v>
      </c>
      <c r="D81" s="94">
        <v>1</v>
      </c>
      <c r="E81" s="94" t="s">
        <v>57</v>
      </c>
      <c r="F81" s="95" t="s">
        <v>57</v>
      </c>
      <c r="G81" s="96">
        <v>2.12</v>
      </c>
      <c r="H81" s="97"/>
      <c r="I81" s="94">
        <f t="shared" si="89"/>
        <v>2.12</v>
      </c>
      <c r="J81" s="94">
        <f t="shared" si="90"/>
        <v>2.12</v>
      </c>
      <c r="K81" s="109"/>
      <c r="L81" s="98" t="s">
        <v>18</v>
      </c>
      <c r="M81" s="99">
        <v>1</v>
      </c>
      <c r="N81" s="100">
        <v>5.84</v>
      </c>
      <c r="O81" s="101">
        <v>2.5</v>
      </c>
      <c r="P81" s="102"/>
      <c r="Q81" s="102"/>
      <c r="R81" s="102"/>
      <c r="S81" s="99">
        <f t="shared" si="150"/>
        <v>14.6</v>
      </c>
      <c r="T81" s="110"/>
      <c r="U81" s="91"/>
      <c r="V81" s="92"/>
      <c r="W81" s="103"/>
      <c r="X81" s="126" t="s">
        <v>18</v>
      </c>
      <c r="Y81" s="105">
        <f t="shared" si="126"/>
        <v>5.84</v>
      </c>
      <c r="Z81" s="127"/>
      <c r="AA81" s="107" t="s">
        <v>18</v>
      </c>
      <c r="AB81" s="108" t="str">
        <f t="shared" si="140"/>
        <v>cad</v>
      </c>
      <c r="AC81" s="108" t="str">
        <f t="shared" si="141"/>
        <v>cad</v>
      </c>
      <c r="AD81" s="108">
        <f t="shared" si="146"/>
        <v>2.12</v>
      </c>
      <c r="AE81" s="108"/>
      <c r="AF81" s="108">
        <f t="shared" si="147"/>
        <v>2.12</v>
      </c>
      <c r="AG81" s="108">
        <f t="shared" si="148"/>
        <v>2.12</v>
      </c>
      <c r="AH81" s="103"/>
      <c r="AI81" s="119" t="s">
        <v>17</v>
      </c>
      <c r="AJ81" s="108">
        <f t="shared" si="155"/>
        <v>5.84</v>
      </c>
    </row>
    <row r="82" spans="1:36" s="11" customFormat="1" ht="15.75" customHeight="1">
      <c r="A82" s="18"/>
      <c r="B82" s="93" t="s">
        <v>230</v>
      </c>
      <c r="C82" s="94" t="s">
        <v>318</v>
      </c>
      <c r="D82" s="94">
        <v>1</v>
      </c>
      <c r="E82" s="94" t="s">
        <v>57</v>
      </c>
      <c r="F82" s="95" t="s">
        <v>57</v>
      </c>
      <c r="G82" s="96">
        <v>1.82</v>
      </c>
      <c r="H82" s="97"/>
      <c r="I82" s="94">
        <f t="shared" si="89"/>
        <v>1.82</v>
      </c>
      <c r="J82" s="94">
        <f t="shared" si="90"/>
        <v>1.82</v>
      </c>
      <c r="K82" s="109"/>
      <c r="L82" s="98" t="s">
        <v>18</v>
      </c>
      <c r="M82" s="99">
        <v>1</v>
      </c>
      <c r="N82" s="100">
        <v>5.4</v>
      </c>
      <c r="O82" s="101">
        <v>2.5</v>
      </c>
      <c r="P82" s="102"/>
      <c r="Q82" s="102"/>
      <c r="R82" s="102"/>
      <c r="S82" s="99">
        <f t="shared" si="150"/>
        <v>13.5</v>
      </c>
      <c r="T82" s="110"/>
      <c r="U82" s="91"/>
      <c r="V82" s="92"/>
      <c r="W82" s="103"/>
      <c r="X82" s="126" t="s">
        <v>18</v>
      </c>
      <c r="Y82" s="105">
        <f t="shared" si="126"/>
        <v>5.4</v>
      </c>
      <c r="Z82" s="128"/>
      <c r="AA82" s="107" t="s">
        <v>18</v>
      </c>
      <c r="AB82" s="108" t="str">
        <f t="shared" ref="AB82:AB127" si="168">E82</f>
        <v>cad</v>
      </c>
      <c r="AC82" s="108" t="str">
        <f t="shared" ref="AC82:AC127" si="169">F82</f>
        <v>cad</v>
      </c>
      <c r="AD82" s="108">
        <f t="shared" si="146"/>
        <v>1.82</v>
      </c>
      <c r="AE82" s="108">
        <f t="shared" ref="AE82:AE127" si="170">H82</f>
        <v>0</v>
      </c>
      <c r="AF82" s="108">
        <f t="shared" si="147"/>
        <v>1.82</v>
      </c>
      <c r="AG82" s="108">
        <f t="shared" si="148"/>
        <v>1.82</v>
      </c>
      <c r="AH82" s="103"/>
      <c r="AI82" s="119" t="s">
        <v>17</v>
      </c>
      <c r="AJ82" s="108">
        <f t="shared" si="155"/>
        <v>5.4</v>
      </c>
    </row>
    <row r="83" spans="1:36" s="11" customFormat="1" ht="15.75" customHeight="1">
      <c r="A83" s="18"/>
      <c r="B83" s="111" t="s">
        <v>165</v>
      </c>
      <c r="C83" s="94" t="s">
        <v>390</v>
      </c>
      <c r="D83" s="94">
        <v>1</v>
      </c>
      <c r="E83" s="94" t="s">
        <v>57</v>
      </c>
      <c r="F83" s="95" t="s">
        <v>57</v>
      </c>
      <c r="G83" s="130">
        <v>2.4300000000000002</v>
      </c>
      <c r="H83" s="97"/>
      <c r="I83" s="94">
        <f t="shared" si="89"/>
        <v>2.4300000000000002</v>
      </c>
      <c r="J83" s="94">
        <f t="shared" si="90"/>
        <v>2.4300000000000002</v>
      </c>
      <c r="K83" s="109"/>
      <c r="L83" s="98" t="s">
        <v>17</v>
      </c>
      <c r="M83" s="99">
        <v>1</v>
      </c>
      <c r="N83" s="113">
        <v>6.3</v>
      </c>
      <c r="O83" s="112">
        <v>2.5</v>
      </c>
      <c r="P83" s="102"/>
      <c r="Q83" s="102"/>
      <c r="R83" s="102"/>
      <c r="S83" s="99">
        <f t="shared" si="150"/>
        <v>15.75</v>
      </c>
      <c r="T83" s="110"/>
      <c r="U83" s="91"/>
      <c r="V83" s="92"/>
      <c r="W83" s="103"/>
      <c r="X83" s="104" t="s">
        <v>17</v>
      </c>
      <c r="Y83" s="105">
        <f t="shared" si="126"/>
        <v>6.3</v>
      </c>
      <c r="Z83" s="128"/>
      <c r="AA83" s="115" t="s">
        <v>17</v>
      </c>
      <c r="AB83" s="108" t="str">
        <f t="shared" ref="AB83:AB85" si="171">E83</f>
        <v>cad</v>
      </c>
      <c r="AC83" s="108" t="str">
        <f t="shared" ref="AC83:AC85" si="172">F83</f>
        <v>cad</v>
      </c>
      <c r="AD83" s="108">
        <f t="shared" si="146"/>
        <v>2.4300000000000002</v>
      </c>
      <c r="AE83" s="108"/>
      <c r="AF83" s="108">
        <f t="shared" si="147"/>
        <v>2.4300000000000002</v>
      </c>
      <c r="AG83" s="108">
        <f t="shared" si="148"/>
        <v>2.4300000000000002</v>
      </c>
      <c r="AH83" s="103"/>
      <c r="AI83" s="116" t="s">
        <v>17</v>
      </c>
      <c r="AJ83" s="108">
        <f t="shared" si="155"/>
        <v>6.3</v>
      </c>
    </row>
    <row r="84" spans="1:36" s="11" customFormat="1" ht="15.75" customHeight="1">
      <c r="A84" s="18"/>
      <c r="B84" s="111" t="s">
        <v>157</v>
      </c>
      <c r="C84" s="94" t="s">
        <v>390</v>
      </c>
      <c r="D84" s="94">
        <v>1</v>
      </c>
      <c r="E84" s="94" t="s">
        <v>57</v>
      </c>
      <c r="F84" s="95" t="s">
        <v>57</v>
      </c>
      <c r="G84" s="130">
        <v>5.43</v>
      </c>
      <c r="H84" s="97"/>
      <c r="I84" s="94">
        <f t="shared" ref="I84" si="173">(G84-H84)</f>
        <v>5.43</v>
      </c>
      <c r="J84" s="94">
        <f t="shared" ref="J84" si="174">I84*D84</f>
        <v>5.43</v>
      </c>
      <c r="K84" s="109"/>
      <c r="L84" s="98" t="s">
        <v>17</v>
      </c>
      <c r="M84" s="99">
        <v>1</v>
      </c>
      <c r="N84" s="113">
        <v>12.44</v>
      </c>
      <c r="O84" s="112">
        <v>2.4</v>
      </c>
      <c r="P84" s="102"/>
      <c r="Q84" s="102"/>
      <c r="R84" s="102"/>
      <c r="S84" s="99">
        <f t="shared" ref="S84" si="175">(N84*O84-P84)*M84</f>
        <v>29.855999999999998</v>
      </c>
      <c r="T84" s="110"/>
      <c r="U84" s="91"/>
      <c r="V84" s="92"/>
      <c r="W84" s="103"/>
      <c r="X84" s="104" t="s">
        <v>17</v>
      </c>
      <c r="Y84" s="105">
        <f t="shared" si="126"/>
        <v>12.44</v>
      </c>
      <c r="Z84" s="128"/>
      <c r="AA84" s="115" t="s">
        <v>17</v>
      </c>
      <c r="AB84" s="108" t="str">
        <f t="shared" si="171"/>
        <v>cad</v>
      </c>
      <c r="AC84" s="108" t="str">
        <f t="shared" si="172"/>
        <v>cad</v>
      </c>
      <c r="AD84" s="108">
        <f t="shared" si="146"/>
        <v>5.43</v>
      </c>
      <c r="AE84" s="108"/>
      <c r="AF84" s="108">
        <f t="shared" si="147"/>
        <v>5.43</v>
      </c>
      <c r="AG84" s="108">
        <f t="shared" si="148"/>
        <v>5.43</v>
      </c>
      <c r="AH84" s="103"/>
      <c r="AI84" s="116" t="s">
        <v>17</v>
      </c>
      <c r="AJ84" s="108">
        <f t="shared" si="155"/>
        <v>12.44</v>
      </c>
    </row>
    <row r="85" spans="1:36" s="11" customFormat="1" ht="15.75" customHeight="1">
      <c r="A85" s="18"/>
      <c r="B85" s="111" t="s">
        <v>407</v>
      </c>
      <c r="C85" s="94" t="s">
        <v>390</v>
      </c>
      <c r="D85" s="94">
        <v>1</v>
      </c>
      <c r="E85" s="94" t="s">
        <v>57</v>
      </c>
      <c r="F85" s="95" t="s">
        <v>57</v>
      </c>
      <c r="G85" s="130">
        <v>37.42</v>
      </c>
      <c r="H85" s="97"/>
      <c r="I85" s="94">
        <f t="shared" ref="I85" si="176">(G85-H85)</f>
        <v>37.42</v>
      </c>
      <c r="J85" s="94">
        <f t="shared" ref="J85" si="177">I85*D85</f>
        <v>37.42</v>
      </c>
      <c r="K85" s="109"/>
      <c r="L85" s="98" t="s">
        <v>17</v>
      </c>
      <c r="M85" s="99">
        <v>1</v>
      </c>
      <c r="N85" s="113">
        <f>25.26-2.25</f>
        <v>23.01</v>
      </c>
      <c r="O85" s="112">
        <v>2.4</v>
      </c>
      <c r="P85" s="102"/>
      <c r="Q85" s="102"/>
      <c r="R85" s="102"/>
      <c r="S85" s="99">
        <f t="shared" si="150"/>
        <v>55.224000000000004</v>
      </c>
      <c r="T85" s="110"/>
      <c r="U85" s="91"/>
      <c r="V85" s="92"/>
      <c r="W85" s="103"/>
      <c r="X85" s="104" t="s">
        <v>17</v>
      </c>
      <c r="Y85" s="105">
        <f t="shared" si="126"/>
        <v>23.01</v>
      </c>
      <c r="Z85" s="128"/>
      <c r="AA85" s="115" t="s">
        <v>17</v>
      </c>
      <c r="AB85" s="108" t="str">
        <f t="shared" si="171"/>
        <v>cad</v>
      </c>
      <c r="AC85" s="108" t="str">
        <f t="shared" si="172"/>
        <v>cad</v>
      </c>
      <c r="AD85" s="108">
        <f t="shared" si="146"/>
        <v>37.42</v>
      </c>
      <c r="AE85" s="108"/>
      <c r="AF85" s="108">
        <f t="shared" si="147"/>
        <v>37.42</v>
      </c>
      <c r="AG85" s="108">
        <f t="shared" si="148"/>
        <v>37.42</v>
      </c>
      <c r="AH85" s="103"/>
      <c r="AI85" s="116" t="s">
        <v>17</v>
      </c>
      <c r="AJ85" s="108">
        <f t="shared" si="155"/>
        <v>23.01</v>
      </c>
    </row>
    <row r="86" spans="1:36" s="11" customFormat="1" ht="15.75" customHeight="1">
      <c r="A86" s="18"/>
      <c r="B86" s="93" t="s">
        <v>417</v>
      </c>
      <c r="C86" s="94" t="s">
        <v>248</v>
      </c>
      <c r="D86" s="94">
        <v>1</v>
      </c>
      <c r="E86" s="94" t="s">
        <v>57</v>
      </c>
      <c r="F86" s="95" t="s">
        <v>57</v>
      </c>
      <c r="G86" s="96">
        <v>11.97</v>
      </c>
      <c r="H86" s="97"/>
      <c r="I86" s="94">
        <f>(G86-H86)</f>
        <v>11.97</v>
      </c>
      <c r="J86" s="94">
        <f>I86*D86</f>
        <v>11.97</v>
      </c>
      <c r="K86" s="109"/>
      <c r="L86" s="98" t="s">
        <v>340</v>
      </c>
      <c r="M86" s="99">
        <v>1</v>
      </c>
      <c r="N86" s="100">
        <v>15.5</v>
      </c>
      <c r="O86" s="101">
        <v>2.7</v>
      </c>
      <c r="P86" s="102"/>
      <c r="Q86" s="102"/>
      <c r="R86" s="102"/>
      <c r="S86" s="99">
        <f t="shared" ref="S86" si="178">(N86*O86-P86)*M86</f>
        <v>41.85</v>
      </c>
      <c r="T86" s="110"/>
      <c r="U86" s="137"/>
      <c r="V86" s="138"/>
      <c r="W86" s="103"/>
      <c r="X86" s="126"/>
      <c r="Y86" s="105"/>
      <c r="Z86" s="128"/>
      <c r="AA86" s="107" t="s">
        <v>18</v>
      </c>
      <c r="AB86" s="108" t="str">
        <f t="shared" si="168"/>
        <v>cad</v>
      </c>
      <c r="AC86" s="108" t="str">
        <f t="shared" si="169"/>
        <v>cad</v>
      </c>
      <c r="AD86" s="108">
        <f t="shared" si="146"/>
        <v>11.97</v>
      </c>
      <c r="AE86" s="108">
        <f t="shared" si="170"/>
        <v>0</v>
      </c>
      <c r="AF86" s="108">
        <f t="shared" si="147"/>
        <v>11.97</v>
      </c>
      <c r="AG86" s="108">
        <f t="shared" si="148"/>
        <v>11.97</v>
      </c>
      <c r="AH86" s="103"/>
      <c r="AI86" s="119" t="s">
        <v>17</v>
      </c>
      <c r="AJ86" s="108">
        <f t="shared" si="155"/>
        <v>15.5</v>
      </c>
    </row>
    <row r="87" spans="1:36" s="11" customFormat="1" ht="15.75" customHeight="1">
      <c r="A87" s="18"/>
      <c r="B87" s="93" t="s">
        <v>418</v>
      </c>
      <c r="C87" s="94" t="s">
        <v>248</v>
      </c>
      <c r="D87" s="94">
        <v>1</v>
      </c>
      <c r="E87" s="94" t="s">
        <v>57</v>
      </c>
      <c r="F87" s="95" t="s">
        <v>57</v>
      </c>
      <c r="G87" s="96">
        <v>5.52</v>
      </c>
      <c r="H87" s="97"/>
      <c r="I87" s="94">
        <f>(G87-H87)</f>
        <v>5.52</v>
      </c>
      <c r="J87" s="94">
        <f>I87*D87</f>
        <v>5.52</v>
      </c>
      <c r="K87" s="109"/>
      <c r="L87" s="98" t="s">
        <v>340</v>
      </c>
      <c r="M87" s="99">
        <v>1</v>
      </c>
      <c r="N87" s="100">
        <f>9.4-1.7</f>
        <v>7.7</v>
      </c>
      <c r="O87" s="101">
        <v>2.7</v>
      </c>
      <c r="P87" s="102"/>
      <c r="Q87" s="102"/>
      <c r="R87" s="102"/>
      <c r="S87" s="99">
        <f t="shared" ref="S87" si="179">(N87*O87-P87)*M87</f>
        <v>20.790000000000003</v>
      </c>
      <c r="T87" s="110"/>
      <c r="U87" s="137"/>
      <c r="V87" s="138"/>
      <c r="W87" s="103"/>
      <c r="X87" s="126"/>
      <c r="Y87" s="105"/>
      <c r="Z87" s="128"/>
      <c r="AA87" s="107" t="s">
        <v>18</v>
      </c>
      <c r="AB87" s="108" t="str">
        <f t="shared" si="168"/>
        <v>cad</v>
      </c>
      <c r="AC87" s="108" t="str">
        <f t="shared" si="169"/>
        <v>cad</v>
      </c>
      <c r="AD87" s="108">
        <f t="shared" si="146"/>
        <v>5.52</v>
      </c>
      <c r="AE87" s="108">
        <f t="shared" si="170"/>
        <v>0</v>
      </c>
      <c r="AF87" s="108">
        <f t="shared" si="147"/>
        <v>5.52</v>
      </c>
      <c r="AG87" s="108">
        <f t="shared" si="148"/>
        <v>5.52</v>
      </c>
      <c r="AH87" s="103"/>
      <c r="AI87" s="119" t="s">
        <v>17</v>
      </c>
      <c r="AJ87" s="108">
        <f t="shared" si="155"/>
        <v>7.7</v>
      </c>
    </row>
    <row r="88" spans="1:36" s="11" customFormat="1" ht="15.75" customHeight="1">
      <c r="A88" s="18"/>
      <c r="B88" s="93" t="s">
        <v>261</v>
      </c>
      <c r="C88" s="94" t="s">
        <v>248</v>
      </c>
      <c r="D88" s="94">
        <v>1</v>
      </c>
      <c r="E88" s="94" t="s">
        <v>57</v>
      </c>
      <c r="F88" s="95" t="s">
        <v>57</v>
      </c>
      <c r="G88" s="96">
        <v>52.08</v>
      </c>
      <c r="H88" s="97"/>
      <c r="I88" s="94">
        <f t="shared" si="89"/>
        <v>52.08</v>
      </c>
      <c r="J88" s="94">
        <f t="shared" si="90"/>
        <v>52.08</v>
      </c>
      <c r="K88" s="109"/>
      <c r="L88" s="98" t="s">
        <v>340</v>
      </c>
      <c r="M88" s="99">
        <v>1</v>
      </c>
      <c r="N88" s="100">
        <f>32.22-6.05</f>
        <v>26.169999999999998</v>
      </c>
      <c r="O88" s="101">
        <v>2.7</v>
      </c>
      <c r="P88" s="102"/>
      <c r="Q88" s="102"/>
      <c r="R88" s="102"/>
      <c r="S88" s="99">
        <f t="shared" si="150"/>
        <v>70.659000000000006</v>
      </c>
      <c r="T88" s="110"/>
      <c r="U88" s="137"/>
      <c r="V88" s="138"/>
      <c r="W88" s="103"/>
      <c r="X88" s="126"/>
      <c r="Y88" s="105"/>
      <c r="Z88" s="128"/>
      <c r="AA88" s="107" t="s">
        <v>18</v>
      </c>
      <c r="AB88" s="108" t="str">
        <f t="shared" si="168"/>
        <v>cad</v>
      </c>
      <c r="AC88" s="108" t="str">
        <f t="shared" si="169"/>
        <v>cad</v>
      </c>
      <c r="AD88" s="108">
        <f t="shared" si="146"/>
        <v>52.08</v>
      </c>
      <c r="AE88" s="108">
        <f t="shared" si="170"/>
        <v>0</v>
      </c>
      <c r="AF88" s="108">
        <f t="shared" si="147"/>
        <v>52.08</v>
      </c>
      <c r="AG88" s="108">
        <f t="shared" si="148"/>
        <v>52.08</v>
      </c>
      <c r="AH88" s="103"/>
      <c r="AI88" s="119" t="s">
        <v>17</v>
      </c>
      <c r="AJ88" s="108">
        <f t="shared" si="155"/>
        <v>26.169999999999998</v>
      </c>
    </row>
    <row r="89" spans="1:36" s="11" customFormat="1" ht="15.75" customHeight="1">
      <c r="A89" s="18"/>
      <c r="B89" s="93" t="s">
        <v>539</v>
      </c>
      <c r="C89" s="94" t="s">
        <v>390</v>
      </c>
      <c r="D89" s="94">
        <v>1</v>
      </c>
      <c r="E89" s="94" t="s">
        <v>57</v>
      </c>
      <c r="F89" s="95" t="s">
        <v>57</v>
      </c>
      <c r="G89" s="96">
        <v>5.61</v>
      </c>
      <c r="H89" s="97"/>
      <c r="I89" s="94">
        <f t="shared" si="89"/>
        <v>5.61</v>
      </c>
      <c r="J89" s="94">
        <f t="shared" si="90"/>
        <v>5.61</v>
      </c>
      <c r="K89" s="109"/>
      <c r="L89" s="98" t="s">
        <v>17</v>
      </c>
      <c r="M89" s="99">
        <v>1</v>
      </c>
      <c r="N89" s="100">
        <v>9.91</v>
      </c>
      <c r="O89" s="101">
        <v>2.5</v>
      </c>
      <c r="P89" s="102"/>
      <c r="Q89" s="102"/>
      <c r="R89" s="102"/>
      <c r="S89" s="99">
        <f t="shared" ref="S89" si="180">(N89*O89-P89)*M89</f>
        <v>24.774999999999999</v>
      </c>
      <c r="T89" s="110"/>
      <c r="U89" s="91" t="s">
        <v>357</v>
      </c>
      <c r="V89" s="92">
        <f>N89*M89</f>
        <v>9.91</v>
      </c>
      <c r="W89" s="103"/>
      <c r="X89" s="104" t="s">
        <v>17</v>
      </c>
      <c r="Y89" s="105">
        <f t="shared" si="126"/>
        <v>9.91</v>
      </c>
      <c r="Z89" s="128"/>
      <c r="AA89" s="107" t="s">
        <v>17</v>
      </c>
      <c r="AB89" s="108" t="str">
        <f t="shared" si="168"/>
        <v>cad</v>
      </c>
      <c r="AC89" s="108" t="str">
        <f t="shared" si="169"/>
        <v>cad</v>
      </c>
      <c r="AD89" s="108">
        <f t="shared" si="146"/>
        <v>5.61</v>
      </c>
      <c r="AE89" s="108">
        <f t="shared" si="170"/>
        <v>0</v>
      </c>
      <c r="AF89" s="108">
        <f t="shared" si="147"/>
        <v>5.61</v>
      </c>
      <c r="AG89" s="108">
        <f t="shared" si="148"/>
        <v>5.61</v>
      </c>
      <c r="AH89" s="103"/>
      <c r="AI89" s="119" t="s">
        <v>17</v>
      </c>
      <c r="AJ89" s="108">
        <f t="shared" si="155"/>
        <v>9.91</v>
      </c>
    </row>
    <row r="90" spans="1:36" s="11" customFormat="1" ht="15.75" customHeight="1">
      <c r="A90" s="18"/>
      <c r="B90" s="93" t="s">
        <v>262</v>
      </c>
      <c r="C90" s="94" t="s">
        <v>251</v>
      </c>
      <c r="D90" s="94">
        <v>1</v>
      </c>
      <c r="E90" s="94" t="s">
        <v>57</v>
      </c>
      <c r="F90" s="95" t="s">
        <v>57</v>
      </c>
      <c r="G90" s="96">
        <v>90.93</v>
      </c>
      <c r="H90" s="97"/>
      <c r="I90" s="94">
        <f t="shared" ref="I90:I134" si="181">(G90-H90)</f>
        <v>90.93</v>
      </c>
      <c r="J90" s="94">
        <f t="shared" ref="J90:J134" si="182">I90*D90</f>
        <v>90.93</v>
      </c>
      <c r="K90" s="109"/>
      <c r="L90" s="98" t="s">
        <v>19</v>
      </c>
      <c r="M90" s="99">
        <v>1</v>
      </c>
      <c r="N90" s="100">
        <f>41.39-2.99</f>
        <v>38.4</v>
      </c>
      <c r="O90" s="101">
        <v>2.5</v>
      </c>
      <c r="P90" s="102"/>
      <c r="Q90" s="102"/>
      <c r="R90" s="102"/>
      <c r="S90" s="99">
        <f t="shared" si="150"/>
        <v>96</v>
      </c>
      <c r="T90" s="110"/>
      <c r="U90" s="91" t="s">
        <v>357</v>
      </c>
      <c r="V90" s="92">
        <f>N90*M90</f>
        <v>38.4</v>
      </c>
      <c r="W90" s="103"/>
      <c r="X90" s="126"/>
      <c r="Y90" s="105"/>
      <c r="Z90" s="128"/>
      <c r="AA90" s="107" t="s">
        <v>25</v>
      </c>
      <c r="AB90" s="108" t="str">
        <f t="shared" si="168"/>
        <v>cad</v>
      </c>
      <c r="AC90" s="108" t="str">
        <f t="shared" si="169"/>
        <v>cad</v>
      </c>
      <c r="AD90" s="108">
        <f t="shared" si="146"/>
        <v>90.93</v>
      </c>
      <c r="AE90" s="108">
        <f t="shared" si="170"/>
        <v>0</v>
      </c>
      <c r="AF90" s="108">
        <f t="shared" si="147"/>
        <v>90.93</v>
      </c>
      <c r="AG90" s="108">
        <f t="shared" si="148"/>
        <v>90.93</v>
      </c>
      <c r="AH90" s="103"/>
      <c r="AI90" s="92"/>
      <c r="AJ90" s="108"/>
    </row>
    <row r="91" spans="1:36" s="11" customFormat="1" ht="15.75" customHeight="1">
      <c r="A91" s="18"/>
      <c r="B91" s="120" t="s">
        <v>263</v>
      </c>
      <c r="C91" s="94" t="s">
        <v>248</v>
      </c>
      <c r="D91" s="94">
        <v>1</v>
      </c>
      <c r="E91" s="94" t="s">
        <v>57</v>
      </c>
      <c r="F91" s="95" t="s">
        <v>57</v>
      </c>
      <c r="G91" s="97">
        <v>7.26</v>
      </c>
      <c r="H91" s="97"/>
      <c r="I91" s="94">
        <f t="shared" si="181"/>
        <v>7.26</v>
      </c>
      <c r="J91" s="94">
        <f t="shared" si="182"/>
        <v>7.26</v>
      </c>
      <c r="K91" s="109"/>
      <c r="L91" s="98" t="s">
        <v>340</v>
      </c>
      <c r="M91" s="99">
        <v>1</v>
      </c>
      <c r="N91" s="121">
        <v>10.8</v>
      </c>
      <c r="O91" s="101">
        <v>2.5</v>
      </c>
      <c r="P91" s="102"/>
      <c r="Q91" s="102"/>
      <c r="R91" s="102"/>
      <c r="S91" s="99">
        <f t="shared" si="150"/>
        <v>27</v>
      </c>
      <c r="T91" s="110"/>
      <c r="U91" s="137"/>
      <c r="V91" s="138"/>
      <c r="W91" s="103"/>
      <c r="X91" s="126"/>
      <c r="Y91" s="105"/>
      <c r="Z91" s="128"/>
      <c r="AA91" s="107" t="s">
        <v>18</v>
      </c>
      <c r="AB91" s="108" t="str">
        <f t="shared" si="168"/>
        <v>cad</v>
      </c>
      <c r="AC91" s="108" t="str">
        <f t="shared" si="169"/>
        <v>cad</v>
      </c>
      <c r="AD91" s="108">
        <f t="shared" si="146"/>
        <v>7.26</v>
      </c>
      <c r="AE91" s="108">
        <f t="shared" si="170"/>
        <v>0</v>
      </c>
      <c r="AF91" s="108">
        <f t="shared" si="147"/>
        <v>7.26</v>
      </c>
      <c r="AG91" s="108">
        <f t="shared" si="148"/>
        <v>7.26</v>
      </c>
      <c r="AH91" s="103"/>
      <c r="AI91" s="119" t="s">
        <v>17</v>
      </c>
      <c r="AJ91" s="108">
        <f t="shared" ref="AJ91:AJ106" si="183">N91*M91</f>
        <v>10.8</v>
      </c>
    </row>
    <row r="92" spans="1:36" s="11" customFormat="1" ht="15.75" customHeight="1">
      <c r="A92" s="18"/>
      <c r="B92" s="111" t="s">
        <v>154</v>
      </c>
      <c r="C92" s="94" t="s">
        <v>248</v>
      </c>
      <c r="D92" s="94">
        <v>1</v>
      </c>
      <c r="E92" s="94" t="s">
        <v>57</v>
      </c>
      <c r="F92" s="95" t="s">
        <v>57</v>
      </c>
      <c r="G92" s="130">
        <v>13.89</v>
      </c>
      <c r="H92" s="97"/>
      <c r="I92" s="94">
        <f t="shared" si="181"/>
        <v>13.89</v>
      </c>
      <c r="J92" s="94">
        <f t="shared" si="182"/>
        <v>13.89</v>
      </c>
      <c r="K92" s="109"/>
      <c r="L92" s="98" t="s">
        <v>340</v>
      </c>
      <c r="M92" s="99">
        <v>1</v>
      </c>
      <c r="N92" s="113">
        <v>15.44</v>
      </c>
      <c r="O92" s="112">
        <v>2.4</v>
      </c>
      <c r="P92" s="102"/>
      <c r="Q92" s="102"/>
      <c r="R92" s="102"/>
      <c r="S92" s="99">
        <f t="shared" si="150"/>
        <v>37.055999999999997</v>
      </c>
      <c r="T92" s="110"/>
      <c r="U92" s="137"/>
      <c r="V92" s="138"/>
      <c r="W92" s="103"/>
      <c r="X92" s="126"/>
      <c r="Y92" s="105"/>
      <c r="Z92" s="128"/>
      <c r="AA92" s="115" t="s">
        <v>18</v>
      </c>
      <c r="AB92" s="108" t="str">
        <f t="shared" ref="AB92" si="184">E92</f>
        <v>cad</v>
      </c>
      <c r="AC92" s="108" t="str">
        <f t="shared" ref="AC92" si="185">F92</f>
        <v>cad</v>
      </c>
      <c r="AD92" s="108">
        <f t="shared" si="146"/>
        <v>13.89</v>
      </c>
      <c r="AE92" s="108"/>
      <c r="AF92" s="108">
        <f t="shared" si="147"/>
        <v>13.89</v>
      </c>
      <c r="AG92" s="108">
        <f t="shared" si="148"/>
        <v>13.89</v>
      </c>
      <c r="AH92" s="103"/>
      <c r="AI92" s="116" t="s">
        <v>17</v>
      </c>
      <c r="AJ92" s="108">
        <f t="shared" si="183"/>
        <v>15.44</v>
      </c>
    </row>
    <row r="93" spans="1:36" s="11" customFormat="1" ht="15.75" customHeight="1">
      <c r="A93" s="18"/>
      <c r="B93" s="93" t="s">
        <v>264</v>
      </c>
      <c r="C93" s="94" t="s">
        <v>248</v>
      </c>
      <c r="D93" s="94">
        <v>1</v>
      </c>
      <c r="E93" s="94" t="s">
        <v>57</v>
      </c>
      <c r="F93" s="95" t="s">
        <v>57</v>
      </c>
      <c r="G93" s="96">
        <v>28.93</v>
      </c>
      <c r="H93" s="97"/>
      <c r="I93" s="94">
        <f t="shared" si="181"/>
        <v>28.93</v>
      </c>
      <c r="J93" s="94">
        <f t="shared" si="182"/>
        <v>28.93</v>
      </c>
      <c r="K93" s="109"/>
      <c r="L93" s="98" t="s">
        <v>340</v>
      </c>
      <c r="M93" s="99">
        <v>1</v>
      </c>
      <c r="N93" s="100">
        <f>28.18-1.56</f>
        <v>26.62</v>
      </c>
      <c r="O93" s="101">
        <v>2.7</v>
      </c>
      <c r="P93" s="102"/>
      <c r="Q93" s="102"/>
      <c r="R93" s="102"/>
      <c r="S93" s="99">
        <f t="shared" si="150"/>
        <v>71.874000000000009</v>
      </c>
      <c r="T93" s="110"/>
      <c r="U93" s="137"/>
      <c r="V93" s="138"/>
      <c r="W93" s="103"/>
      <c r="X93" s="126"/>
      <c r="Y93" s="105"/>
      <c r="Z93" s="128"/>
      <c r="AA93" s="107" t="s">
        <v>18</v>
      </c>
      <c r="AB93" s="108" t="str">
        <f t="shared" si="168"/>
        <v>cad</v>
      </c>
      <c r="AC93" s="108" t="str">
        <f t="shared" si="169"/>
        <v>cad</v>
      </c>
      <c r="AD93" s="108">
        <f t="shared" si="146"/>
        <v>28.93</v>
      </c>
      <c r="AE93" s="108">
        <f t="shared" si="170"/>
        <v>0</v>
      </c>
      <c r="AF93" s="108">
        <f t="shared" si="147"/>
        <v>28.93</v>
      </c>
      <c r="AG93" s="108">
        <f t="shared" si="148"/>
        <v>28.93</v>
      </c>
      <c r="AH93" s="103"/>
      <c r="AI93" s="119" t="s">
        <v>17</v>
      </c>
      <c r="AJ93" s="108">
        <f t="shared" si="183"/>
        <v>26.62</v>
      </c>
    </row>
    <row r="94" spans="1:36" s="11" customFormat="1" ht="15.75" customHeight="1">
      <c r="A94" s="18"/>
      <c r="B94" s="93" t="s">
        <v>265</v>
      </c>
      <c r="C94" s="94" t="s">
        <v>248</v>
      </c>
      <c r="D94" s="94">
        <v>1</v>
      </c>
      <c r="E94" s="94" t="s">
        <v>57</v>
      </c>
      <c r="F94" s="95" t="s">
        <v>57</v>
      </c>
      <c r="G94" s="96">
        <v>7.35</v>
      </c>
      <c r="H94" s="97"/>
      <c r="I94" s="94">
        <f t="shared" si="181"/>
        <v>7.35</v>
      </c>
      <c r="J94" s="94">
        <f t="shared" si="182"/>
        <v>7.35</v>
      </c>
      <c r="K94" s="109"/>
      <c r="L94" s="98" t="s">
        <v>340</v>
      </c>
      <c r="M94" s="99">
        <v>1</v>
      </c>
      <c r="N94" s="121">
        <v>10.88</v>
      </c>
      <c r="O94" s="101">
        <v>2.5</v>
      </c>
      <c r="P94" s="102"/>
      <c r="Q94" s="102"/>
      <c r="R94" s="102"/>
      <c r="S94" s="99">
        <f t="shared" si="150"/>
        <v>27.200000000000003</v>
      </c>
      <c r="T94" s="110"/>
      <c r="U94" s="137"/>
      <c r="V94" s="138"/>
      <c r="W94" s="103"/>
      <c r="X94" s="126"/>
      <c r="Y94" s="105"/>
      <c r="Z94" s="128"/>
      <c r="AA94" s="107" t="s">
        <v>18</v>
      </c>
      <c r="AB94" s="108" t="str">
        <f t="shared" si="168"/>
        <v>cad</v>
      </c>
      <c r="AC94" s="108" t="str">
        <f t="shared" si="169"/>
        <v>cad</v>
      </c>
      <c r="AD94" s="108">
        <f t="shared" si="146"/>
        <v>7.35</v>
      </c>
      <c r="AE94" s="108">
        <f t="shared" si="170"/>
        <v>0</v>
      </c>
      <c r="AF94" s="108">
        <f t="shared" si="147"/>
        <v>7.35</v>
      </c>
      <c r="AG94" s="108">
        <f t="shared" si="148"/>
        <v>7.35</v>
      </c>
      <c r="AH94" s="103"/>
      <c r="AI94" s="119" t="s">
        <v>17</v>
      </c>
      <c r="AJ94" s="108">
        <f t="shared" si="183"/>
        <v>10.88</v>
      </c>
    </row>
    <row r="95" spans="1:36" s="11" customFormat="1" ht="15.75" customHeight="1">
      <c r="A95" s="18"/>
      <c r="B95" s="93" t="s">
        <v>266</v>
      </c>
      <c r="C95" s="94" t="s">
        <v>248</v>
      </c>
      <c r="D95" s="94">
        <v>1</v>
      </c>
      <c r="E95" s="94" t="s">
        <v>57</v>
      </c>
      <c r="F95" s="95" t="s">
        <v>57</v>
      </c>
      <c r="G95" s="96">
        <v>9.26</v>
      </c>
      <c r="H95" s="97"/>
      <c r="I95" s="94">
        <f t="shared" si="181"/>
        <v>9.26</v>
      </c>
      <c r="J95" s="94">
        <f t="shared" si="182"/>
        <v>9.26</v>
      </c>
      <c r="K95" s="109"/>
      <c r="L95" s="98" t="s">
        <v>340</v>
      </c>
      <c r="M95" s="99">
        <v>1</v>
      </c>
      <c r="N95" s="100">
        <v>12.32</v>
      </c>
      <c r="O95" s="101">
        <v>2.5</v>
      </c>
      <c r="P95" s="102"/>
      <c r="Q95" s="102"/>
      <c r="R95" s="102"/>
      <c r="S95" s="99">
        <f t="shared" si="150"/>
        <v>30.8</v>
      </c>
      <c r="T95" s="110"/>
      <c r="U95" s="137"/>
      <c r="V95" s="138"/>
      <c r="W95" s="103"/>
      <c r="X95" s="126"/>
      <c r="Y95" s="105"/>
      <c r="Z95" s="128"/>
      <c r="AA95" s="107" t="s">
        <v>18</v>
      </c>
      <c r="AB95" s="108" t="str">
        <f t="shared" si="168"/>
        <v>cad</v>
      </c>
      <c r="AC95" s="108" t="str">
        <f t="shared" si="169"/>
        <v>cad</v>
      </c>
      <c r="AD95" s="108">
        <f t="shared" si="146"/>
        <v>9.26</v>
      </c>
      <c r="AE95" s="108">
        <f t="shared" si="170"/>
        <v>0</v>
      </c>
      <c r="AF95" s="108">
        <f t="shared" si="147"/>
        <v>9.26</v>
      </c>
      <c r="AG95" s="108">
        <f t="shared" si="148"/>
        <v>9.26</v>
      </c>
      <c r="AH95" s="103"/>
      <c r="AI95" s="119" t="s">
        <v>17</v>
      </c>
      <c r="AJ95" s="108">
        <f t="shared" si="183"/>
        <v>12.32</v>
      </c>
    </row>
    <row r="96" spans="1:36" s="11" customFormat="1" ht="15.75" customHeight="1">
      <c r="A96" s="18"/>
      <c r="B96" s="120" t="s">
        <v>267</v>
      </c>
      <c r="C96" s="94" t="s">
        <v>248</v>
      </c>
      <c r="D96" s="94">
        <v>1</v>
      </c>
      <c r="E96" s="94" t="s">
        <v>57</v>
      </c>
      <c r="F96" s="95" t="s">
        <v>57</v>
      </c>
      <c r="G96" s="97">
        <v>9.34</v>
      </c>
      <c r="H96" s="97"/>
      <c r="I96" s="94">
        <f t="shared" si="181"/>
        <v>9.34</v>
      </c>
      <c r="J96" s="94">
        <f t="shared" si="182"/>
        <v>9.34</v>
      </c>
      <c r="K96" s="109"/>
      <c r="L96" s="98" t="s">
        <v>340</v>
      </c>
      <c r="M96" s="99">
        <v>1</v>
      </c>
      <c r="N96" s="121">
        <v>12.36</v>
      </c>
      <c r="O96" s="101">
        <v>2.5</v>
      </c>
      <c r="P96" s="102"/>
      <c r="Q96" s="102"/>
      <c r="R96" s="102"/>
      <c r="S96" s="99">
        <f t="shared" si="150"/>
        <v>30.9</v>
      </c>
      <c r="T96" s="110"/>
      <c r="U96" s="137"/>
      <c r="V96" s="138"/>
      <c r="W96" s="103"/>
      <c r="X96" s="126"/>
      <c r="Y96" s="105"/>
      <c r="Z96" s="128"/>
      <c r="AA96" s="107" t="s">
        <v>18</v>
      </c>
      <c r="AB96" s="108" t="str">
        <f t="shared" si="168"/>
        <v>cad</v>
      </c>
      <c r="AC96" s="108" t="str">
        <f t="shared" si="169"/>
        <v>cad</v>
      </c>
      <c r="AD96" s="108">
        <f t="shared" si="146"/>
        <v>9.34</v>
      </c>
      <c r="AE96" s="108">
        <f t="shared" si="170"/>
        <v>0</v>
      </c>
      <c r="AF96" s="108">
        <f t="shared" si="147"/>
        <v>9.34</v>
      </c>
      <c r="AG96" s="108">
        <f t="shared" si="148"/>
        <v>9.34</v>
      </c>
      <c r="AH96" s="103"/>
      <c r="AI96" s="119" t="s">
        <v>17</v>
      </c>
      <c r="AJ96" s="108">
        <f t="shared" si="183"/>
        <v>12.36</v>
      </c>
    </row>
    <row r="97" spans="1:36" s="11" customFormat="1" ht="15.75" customHeight="1">
      <c r="A97" s="18"/>
      <c r="B97" s="120" t="s">
        <v>268</v>
      </c>
      <c r="C97" s="94" t="s">
        <v>246</v>
      </c>
      <c r="D97" s="94">
        <v>1</v>
      </c>
      <c r="E97" s="94" t="s">
        <v>57</v>
      </c>
      <c r="F97" s="95" t="s">
        <v>57</v>
      </c>
      <c r="G97" s="97">
        <v>5.79</v>
      </c>
      <c r="H97" s="97"/>
      <c r="I97" s="94">
        <f t="shared" si="181"/>
        <v>5.79</v>
      </c>
      <c r="J97" s="94">
        <f t="shared" si="182"/>
        <v>5.79</v>
      </c>
      <c r="K97" s="109"/>
      <c r="L97" s="98" t="s">
        <v>31</v>
      </c>
      <c r="M97" s="99">
        <v>1</v>
      </c>
      <c r="N97" s="121">
        <v>10.6</v>
      </c>
      <c r="O97" s="101">
        <v>2.5</v>
      </c>
      <c r="P97" s="102"/>
      <c r="Q97" s="102"/>
      <c r="R97" s="102"/>
      <c r="S97" s="99">
        <f t="shared" si="150"/>
        <v>26.5</v>
      </c>
      <c r="T97" s="110"/>
      <c r="U97" s="91"/>
      <c r="V97" s="92"/>
      <c r="W97" s="103"/>
      <c r="X97" s="126"/>
      <c r="Y97" s="105"/>
      <c r="Z97" s="128"/>
      <c r="AA97" s="107" t="s">
        <v>18</v>
      </c>
      <c r="AB97" s="108" t="str">
        <f t="shared" si="168"/>
        <v>cad</v>
      </c>
      <c r="AC97" s="108" t="str">
        <f t="shared" si="169"/>
        <v>cad</v>
      </c>
      <c r="AD97" s="108">
        <f t="shared" si="146"/>
        <v>5.79</v>
      </c>
      <c r="AE97" s="108">
        <f t="shared" si="170"/>
        <v>0</v>
      </c>
      <c r="AF97" s="108">
        <f t="shared" si="147"/>
        <v>5.79</v>
      </c>
      <c r="AG97" s="108">
        <f t="shared" si="148"/>
        <v>5.79</v>
      </c>
      <c r="AH97" s="103"/>
      <c r="AI97" s="119" t="s">
        <v>17</v>
      </c>
      <c r="AJ97" s="108">
        <f t="shared" si="183"/>
        <v>10.6</v>
      </c>
    </row>
    <row r="98" spans="1:36" s="11" customFormat="1" ht="15.75" customHeight="1">
      <c r="A98" s="18"/>
      <c r="B98" s="120" t="s">
        <v>269</v>
      </c>
      <c r="C98" s="94" t="s">
        <v>246</v>
      </c>
      <c r="D98" s="94">
        <v>1</v>
      </c>
      <c r="E98" s="94" t="s">
        <v>57</v>
      </c>
      <c r="F98" s="95" t="s">
        <v>57</v>
      </c>
      <c r="G98" s="97">
        <v>4.05</v>
      </c>
      <c r="H98" s="97"/>
      <c r="I98" s="94">
        <f t="shared" si="181"/>
        <v>4.05</v>
      </c>
      <c r="J98" s="94">
        <f t="shared" si="182"/>
        <v>4.05</v>
      </c>
      <c r="K98" s="109"/>
      <c r="L98" s="98" t="s">
        <v>31</v>
      </c>
      <c r="M98" s="99">
        <v>1</v>
      </c>
      <c r="N98" s="121">
        <v>8.1</v>
      </c>
      <c r="O98" s="101">
        <v>2.5</v>
      </c>
      <c r="P98" s="102"/>
      <c r="Q98" s="102"/>
      <c r="R98" s="102"/>
      <c r="S98" s="99">
        <f t="shared" si="150"/>
        <v>20.25</v>
      </c>
      <c r="T98" s="110"/>
      <c r="U98" s="91"/>
      <c r="V98" s="92"/>
      <c r="W98" s="103"/>
      <c r="X98" s="126"/>
      <c r="Y98" s="105"/>
      <c r="Z98" s="128"/>
      <c r="AA98" s="107" t="s">
        <v>18</v>
      </c>
      <c r="AB98" s="108" t="str">
        <f t="shared" si="168"/>
        <v>cad</v>
      </c>
      <c r="AC98" s="108" t="str">
        <f t="shared" si="169"/>
        <v>cad</v>
      </c>
      <c r="AD98" s="108">
        <f t="shared" si="146"/>
        <v>4.05</v>
      </c>
      <c r="AE98" s="108">
        <f t="shared" si="170"/>
        <v>0</v>
      </c>
      <c r="AF98" s="108">
        <f t="shared" si="147"/>
        <v>4.05</v>
      </c>
      <c r="AG98" s="108">
        <f t="shared" si="148"/>
        <v>4.05</v>
      </c>
      <c r="AH98" s="103"/>
      <c r="AI98" s="119" t="s">
        <v>17</v>
      </c>
      <c r="AJ98" s="108">
        <f t="shared" si="183"/>
        <v>8.1</v>
      </c>
    </row>
    <row r="99" spans="1:36" s="11" customFormat="1" ht="15.75" customHeight="1">
      <c r="A99" s="18"/>
      <c r="B99" s="120" t="s">
        <v>161</v>
      </c>
      <c r="C99" s="94" t="s">
        <v>246</v>
      </c>
      <c r="D99" s="94">
        <v>1</v>
      </c>
      <c r="E99" s="94" t="s">
        <v>57</v>
      </c>
      <c r="F99" s="95" t="s">
        <v>57</v>
      </c>
      <c r="G99" s="97">
        <v>7.46</v>
      </c>
      <c r="H99" s="97"/>
      <c r="I99" s="94">
        <f t="shared" ref="I99" si="186">(G99-H99)</f>
        <v>7.46</v>
      </c>
      <c r="J99" s="94">
        <f t="shared" ref="J99" si="187">I99*D99</f>
        <v>7.46</v>
      </c>
      <c r="K99" s="109"/>
      <c r="L99" s="98" t="s">
        <v>31</v>
      </c>
      <c r="M99" s="99">
        <v>1</v>
      </c>
      <c r="N99" s="121">
        <v>13.09</v>
      </c>
      <c r="O99" s="101">
        <v>2.5</v>
      </c>
      <c r="P99" s="102"/>
      <c r="Q99" s="102"/>
      <c r="R99" s="102"/>
      <c r="S99" s="99">
        <f t="shared" ref="S99" si="188">(N99*O99-P99)*M99</f>
        <v>32.725000000000001</v>
      </c>
      <c r="T99" s="110"/>
      <c r="U99" s="91"/>
      <c r="V99" s="92"/>
      <c r="W99" s="103"/>
      <c r="X99" s="126"/>
      <c r="Y99" s="105"/>
      <c r="Z99" s="128"/>
      <c r="AA99" s="107" t="s">
        <v>18</v>
      </c>
      <c r="AB99" s="108" t="str">
        <f t="shared" ref="AB99" si="189">E99</f>
        <v>cad</v>
      </c>
      <c r="AC99" s="108" t="str">
        <f t="shared" ref="AC99" si="190">F99</f>
        <v>cad</v>
      </c>
      <c r="AD99" s="108">
        <f t="shared" ref="AD99" si="191">G99</f>
        <v>7.46</v>
      </c>
      <c r="AE99" s="108">
        <f t="shared" ref="AE99" si="192">H99</f>
        <v>0</v>
      </c>
      <c r="AF99" s="108">
        <f t="shared" ref="AF99" si="193">I99</f>
        <v>7.46</v>
      </c>
      <c r="AG99" s="108">
        <f t="shared" ref="AG99" si="194">J99</f>
        <v>7.46</v>
      </c>
      <c r="AH99" s="103"/>
      <c r="AI99" s="119" t="s">
        <v>17</v>
      </c>
      <c r="AJ99" s="108">
        <f t="shared" si="183"/>
        <v>13.09</v>
      </c>
    </row>
    <row r="100" spans="1:36" s="11" customFormat="1" ht="15.75" customHeight="1">
      <c r="A100" s="18"/>
      <c r="B100" s="120" t="s">
        <v>270</v>
      </c>
      <c r="C100" s="94" t="s">
        <v>246</v>
      </c>
      <c r="D100" s="94">
        <v>1</v>
      </c>
      <c r="E100" s="94" t="s">
        <v>57</v>
      </c>
      <c r="F100" s="95" t="s">
        <v>57</v>
      </c>
      <c r="G100" s="97">
        <v>4.05</v>
      </c>
      <c r="H100" s="97"/>
      <c r="I100" s="94">
        <f t="shared" si="181"/>
        <v>4.05</v>
      </c>
      <c r="J100" s="94">
        <f t="shared" si="182"/>
        <v>4.05</v>
      </c>
      <c r="K100" s="109"/>
      <c r="L100" s="98" t="s">
        <v>31</v>
      </c>
      <c r="M100" s="99">
        <v>1</v>
      </c>
      <c r="N100" s="121">
        <v>8.1</v>
      </c>
      <c r="O100" s="101">
        <v>2.5</v>
      </c>
      <c r="P100" s="102"/>
      <c r="Q100" s="102"/>
      <c r="R100" s="102"/>
      <c r="S100" s="99">
        <f t="shared" si="150"/>
        <v>20.25</v>
      </c>
      <c r="T100" s="110"/>
      <c r="U100" s="91"/>
      <c r="V100" s="92"/>
      <c r="W100" s="103"/>
      <c r="X100" s="126"/>
      <c r="Y100" s="105"/>
      <c r="Z100" s="127"/>
      <c r="AA100" s="107" t="s">
        <v>18</v>
      </c>
      <c r="AB100" s="108" t="str">
        <f t="shared" si="168"/>
        <v>cad</v>
      </c>
      <c r="AC100" s="108" t="str">
        <f t="shared" si="169"/>
        <v>cad</v>
      </c>
      <c r="AD100" s="108">
        <f t="shared" si="146"/>
        <v>4.05</v>
      </c>
      <c r="AE100" s="108">
        <f t="shared" si="170"/>
        <v>0</v>
      </c>
      <c r="AF100" s="108">
        <f t="shared" si="147"/>
        <v>4.05</v>
      </c>
      <c r="AG100" s="108">
        <f t="shared" si="148"/>
        <v>4.05</v>
      </c>
      <c r="AH100" s="103"/>
      <c r="AI100" s="119" t="s">
        <v>17</v>
      </c>
      <c r="AJ100" s="108">
        <f t="shared" si="183"/>
        <v>8.1</v>
      </c>
    </row>
    <row r="101" spans="1:36" s="11" customFormat="1" ht="15.75" customHeight="1">
      <c r="A101" s="18"/>
      <c r="B101" s="120" t="s">
        <v>271</v>
      </c>
      <c r="C101" s="94" t="s">
        <v>390</v>
      </c>
      <c r="D101" s="94">
        <v>1</v>
      </c>
      <c r="E101" s="94" t="s">
        <v>57</v>
      </c>
      <c r="F101" s="95" t="s">
        <v>57</v>
      </c>
      <c r="G101" s="97">
        <v>14.23</v>
      </c>
      <c r="H101" s="97"/>
      <c r="I101" s="94">
        <f t="shared" si="181"/>
        <v>14.23</v>
      </c>
      <c r="J101" s="94">
        <f t="shared" si="182"/>
        <v>14.23</v>
      </c>
      <c r="K101" s="109"/>
      <c r="L101" s="98" t="s">
        <v>17</v>
      </c>
      <c r="M101" s="99">
        <v>1</v>
      </c>
      <c r="N101" s="100">
        <v>16.440000000000001</v>
      </c>
      <c r="O101" s="101">
        <v>2.4</v>
      </c>
      <c r="P101" s="102"/>
      <c r="Q101" s="102"/>
      <c r="R101" s="102"/>
      <c r="S101" s="99">
        <f t="shared" si="150"/>
        <v>39.456000000000003</v>
      </c>
      <c r="T101" s="110"/>
      <c r="U101" s="91" t="s">
        <v>357</v>
      </c>
      <c r="V101" s="92">
        <f t="shared" ref="V101:V109" si="195">N101*M101</f>
        <v>16.440000000000001</v>
      </c>
      <c r="W101" s="103"/>
      <c r="X101" s="104" t="s">
        <v>17</v>
      </c>
      <c r="Y101" s="105">
        <f t="shared" si="126"/>
        <v>16.440000000000001</v>
      </c>
      <c r="Z101" s="128"/>
      <c r="AA101" s="107" t="s">
        <v>18</v>
      </c>
      <c r="AB101" s="108" t="str">
        <f t="shared" si="168"/>
        <v>cad</v>
      </c>
      <c r="AC101" s="108" t="str">
        <f t="shared" si="169"/>
        <v>cad</v>
      </c>
      <c r="AD101" s="108">
        <f t="shared" si="146"/>
        <v>14.23</v>
      </c>
      <c r="AE101" s="108">
        <f t="shared" si="170"/>
        <v>0</v>
      </c>
      <c r="AF101" s="108">
        <f t="shared" si="147"/>
        <v>14.23</v>
      </c>
      <c r="AG101" s="108">
        <f t="shared" si="148"/>
        <v>14.23</v>
      </c>
      <c r="AH101" s="103"/>
      <c r="AI101" s="119" t="s">
        <v>17</v>
      </c>
      <c r="AJ101" s="108">
        <f t="shared" si="183"/>
        <v>16.440000000000001</v>
      </c>
    </row>
    <row r="102" spans="1:36" s="11" customFormat="1" ht="15.75" customHeight="1">
      <c r="A102" s="18"/>
      <c r="B102" s="111" t="s">
        <v>424</v>
      </c>
      <c r="C102" s="94" t="s">
        <v>390</v>
      </c>
      <c r="D102" s="94">
        <v>1</v>
      </c>
      <c r="E102" s="94" t="s">
        <v>57</v>
      </c>
      <c r="F102" s="95" t="s">
        <v>57</v>
      </c>
      <c r="G102" s="130">
        <v>36.04</v>
      </c>
      <c r="H102" s="97"/>
      <c r="I102" s="94">
        <f t="shared" ref="I102" si="196">(G102-H102)</f>
        <v>36.04</v>
      </c>
      <c r="J102" s="94">
        <f t="shared" ref="J102" si="197">I102*D102</f>
        <v>36.04</v>
      </c>
      <c r="K102" s="109"/>
      <c r="L102" s="98" t="s">
        <v>17</v>
      </c>
      <c r="M102" s="99">
        <v>1</v>
      </c>
      <c r="N102" s="113">
        <f>23.2-1.4</f>
        <v>21.8</v>
      </c>
      <c r="O102" s="112">
        <v>2.4</v>
      </c>
      <c r="P102" s="102"/>
      <c r="Q102" s="102"/>
      <c r="R102" s="102"/>
      <c r="S102" s="99">
        <f t="shared" si="150"/>
        <v>52.32</v>
      </c>
      <c r="T102" s="110"/>
      <c r="U102" s="91"/>
      <c r="V102" s="92"/>
      <c r="W102" s="103"/>
      <c r="X102" s="104" t="s">
        <v>17</v>
      </c>
      <c r="Y102" s="105">
        <f t="shared" si="126"/>
        <v>21.8</v>
      </c>
      <c r="Z102" s="128"/>
      <c r="AA102" s="115" t="s">
        <v>17</v>
      </c>
      <c r="AB102" s="108" t="str">
        <f t="shared" ref="AB102:AB108" si="198">E102</f>
        <v>cad</v>
      </c>
      <c r="AC102" s="108" t="str">
        <f t="shared" ref="AC102:AC108" si="199">F102</f>
        <v>cad</v>
      </c>
      <c r="AD102" s="108">
        <f t="shared" si="146"/>
        <v>36.04</v>
      </c>
      <c r="AE102" s="108"/>
      <c r="AF102" s="108">
        <f t="shared" ref="AF102:AF108" si="200">I102</f>
        <v>36.04</v>
      </c>
      <c r="AG102" s="108">
        <f t="shared" ref="AG102:AG108" si="201">J102</f>
        <v>36.04</v>
      </c>
      <c r="AH102" s="103"/>
      <c r="AI102" s="116" t="s">
        <v>17</v>
      </c>
      <c r="AJ102" s="108">
        <f t="shared" si="183"/>
        <v>21.8</v>
      </c>
    </row>
    <row r="103" spans="1:36" s="11" customFormat="1" ht="15.75" customHeight="1">
      <c r="A103" s="18"/>
      <c r="B103" s="111" t="s">
        <v>435</v>
      </c>
      <c r="C103" s="94" t="s">
        <v>390</v>
      </c>
      <c r="D103" s="94">
        <v>1</v>
      </c>
      <c r="E103" s="94" t="s">
        <v>57</v>
      </c>
      <c r="F103" s="95" t="s">
        <v>57</v>
      </c>
      <c r="G103" s="130">
        <v>24.18</v>
      </c>
      <c r="H103" s="97"/>
      <c r="I103" s="94">
        <f t="shared" ref="I103" si="202">(G103-H103)</f>
        <v>24.18</v>
      </c>
      <c r="J103" s="94">
        <f t="shared" ref="J103" si="203">I103*D103</f>
        <v>24.18</v>
      </c>
      <c r="K103" s="109"/>
      <c r="L103" s="98" t="s">
        <v>17</v>
      </c>
      <c r="M103" s="99">
        <v>1</v>
      </c>
      <c r="N103" s="113">
        <v>19.7</v>
      </c>
      <c r="O103" s="112">
        <v>2.5</v>
      </c>
      <c r="P103" s="102"/>
      <c r="Q103" s="102"/>
      <c r="R103" s="102"/>
      <c r="S103" s="99">
        <f t="shared" si="150"/>
        <v>49.25</v>
      </c>
      <c r="T103" s="110"/>
      <c r="U103" s="91"/>
      <c r="V103" s="92"/>
      <c r="W103" s="103"/>
      <c r="X103" s="104" t="s">
        <v>17</v>
      </c>
      <c r="Y103" s="105">
        <f t="shared" si="126"/>
        <v>19.7</v>
      </c>
      <c r="Z103" s="128"/>
      <c r="AA103" s="115" t="s">
        <v>17</v>
      </c>
      <c r="AB103" s="108" t="str">
        <f t="shared" si="198"/>
        <v>cad</v>
      </c>
      <c r="AC103" s="108" t="str">
        <f t="shared" si="199"/>
        <v>cad</v>
      </c>
      <c r="AD103" s="108">
        <f t="shared" si="146"/>
        <v>24.18</v>
      </c>
      <c r="AE103" s="108"/>
      <c r="AF103" s="108">
        <f t="shared" si="200"/>
        <v>24.18</v>
      </c>
      <c r="AG103" s="108">
        <f t="shared" si="201"/>
        <v>24.18</v>
      </c>
      <c r="AH103" s="103"/>
      <c r="AI103" s="116" t="s">
        <v>17</v>
      </c>
      <c r="AJ103" s="108">
        <f t="shared" si="183"/>
        <v>19.7</v>
      </c>
    </row>
    <row r="104" spans="1:36" s="11" customFormat="1" ht="15.75" customHeight="1">
      <c r="A104" s="18"/>
      <c r="B104" s="111" t="s">
        <v>436</v>
      </c>
      <c r="C104" s="94" t="s">
        <v>390</v>
      </c>
      <c r="D104" s="94">
        <v>1</v>
      </c>
      <c r="E104" s="94" t="s">
        <v>57</v>
      </c>
      <c r="F104" s="95" t="s">
        <v>57</v>
      </c>
      <c r="G104" s="130">
        <v>14.6</v>
      </c>
      <c r="H104" s="97"/>
      <c r="I104" s="94">
        <f t="shared" ref="I104" si="204">(G104-H104)</f>
        <v>14.6</v>
      </c>
      <c r="J104" s="94">
        <f t="shared" ref="J104" si="205">I104*D104</f>
        <v>14.6</v>
      </c>
      <c r="K104" s="109"/>
      <c r="L104" s="98" t="s">
        <v>17</v>
      </c>
      <c r="M104" s="99">
        <v>1</v>
      </c>
      <c r="N104" s="113">
        <v>15.25</v>
      </c>
      <c r="O104" s="112">
        <v>2.4</v>
      </c>
      <c r="P104" s="102"/>
      <c r="Q104" s="102"/>
      <c r="R104" s="102"/>
      <c r="S104" s="99">
        <f t="shared" si="150"/>
        <v>36.6</v>
      </c>
      <c r="T104" s="110"/>
      <c r="U104" s="91"/>
      <c r="V104" s="92"/>
      <c r="W104" s="103"/>
      <c r="X104" s="104" t="s">
        <v>17</v>
      </c>
      <c r="Y104" s="105">
        <f t="shared" si="126"/>
        <v>15.25</v>
      </c>
      <c r="Z104" s="128"/>
      <c r="AA104" s="115" t="s">
        <v>17</v>
      </c>
      <c r="AB104" s="108" t="str">
        <f t="shared" si="198"/>
        <v>cad</v>
      </c>
      <c r="AC104" s="108" t="str">
        <f t="shared" si="199"/>
        <v>cad</v>
      </c>
      <c r="AD104" s="108">
        <f t="shared" si="146"/>
        <v>14.6</v>
      </c>
      <c r="AE104" s="108"/>
      <c r="AF104" s="108">
        <f t="shared" si="200"/>
        <v>14.6</v>
      </c>
      <c r="AG104" s="108">
        <f t="shared" si="201"/>
        <v>14.6</v>
      </c>
      <c r="AH104" s="103"/>
      <c r="AI104" s="116" t="s">
        <v>17</v>
      </c>
      <c r="AJ104" s="108">
        <f t="shared" si="183"/>
        <v>15.25</v>
      </c>
    </row>
    <row r="105" spans="1:36" s="11" customFormat="1" ht="15.75" customHeight="1">
      <c r="A105" s="18"/>
      <c r="B105" s="111" t="s">
        <v>437</v>
      </c>
      <c r="C105" s="94" t="s">
        <v>390</v>
      </c>
      <c r="D105" s="94">
        <v>1</v>
      </c>
      <c r="E105" s="94" t="s">
        <v>57</v>
      </c>
      <c r="F105" s="95" t="s">
        <v>57</v>
      </c>
      <c r="G105" s="130">
        <v>8.92</v>
      </c>
      <c r="H105" s="97"/>
      <c r="I105" s="94">
        <f t="shared" ref="I105" si="206">(G105-H105)</f>
        <v>8.92</v>
      </c>
      <c r="J105" s="94">
        <f t="shared" ref="J105" si="207">I105*D105</f>
        <v>8.92</v>
      </c>
      <c r="K105" s="109"/>
      <c r="L105" s="98" t="s">
        <v>17</v>
      </c>
      <c r="M105" s="99">
        <v>1</v>
      </c>
      <c r="N105" s="113">
        <v>11.96</v>
      </c>
      <c r="O105" s="112">
        <v>2.4</v>
      </c>
      <c r="P105" s="102"/>
      <c r="Q105" s="102"/>
      <c r="R105" s="102"/>
      <c r="S105" s="99">
        <f t="shared" si="150"/>
        <v>28.704000000000001</v>
      </c>
      <c r="T105" s="110"/>
      <c r="U105" s="91"/>
      <c r="V105" s="92"/>
      <c r="W105" s="103"/>
      <c r="X105" s="104" t="s">
        <v>17</v>
      </c>
      <c r="Y105" s="105">
        <f t="shared" si="126"/>
        <v>11.96</v>
      </c>
      <c r="Z105" s="128"/>
      <c r="AA105" s="115" t="s">
        <v>17</v>
      </c>
      <c r="AB105" s="108" t="str">
        <f t="shared" si="198"/>
        <v>cad</v>
      </c>
      <c r="AC105" s="108" t="str">
        <f t="shared" si="199"/>
        <v>cad</v>
      </c>
      <c r="AD105" s="108">
        <f t="shared" si="146"/>
        <v>8.92</v>
      </c>
      <c r="AE105" s="108"/>
      <c r="AF105" s="108">
        <f t="shared" si="200"/>
        <v>8.92</v>
      </c>
      <c r="AG105" s="108">
        <f t="shared" si="201"/>
        <v>8.92</v>
      </c>
      <c r="AH105" s="103"/>
      <c r="AI105" s="116" t="s">
        <v>17</v>
      </c>
      <c r="AJ105" s="108">
        <f t="shared" si="183"/>
        <v>11.96</v>
      </c>
    </row>
    <row r="106" spans="1:36" s="11" customFormat="1" ht="15.75" customHeight="1">
      <c r="A106" s="18"/>
      <c r="B106" s="111" t="s">
        <v>157</v>
      </c>
      <c r="C106" s="94" t="s">
        <v>390</v>
      </c>
      <c r="D106" s="94">
        <v>1</v>
      </c>
      <c r="E106" s="94" t="s">
        <v>57</v>
      </c>
      <c r="F106" s="95" t="s">
        <v>57</v>
      </c>
      <c r="G106" s="130">
        <v>35.33</v>
      </c>
      <c r="H106" s="97"/>
      <c r="I106" s="94">
        <f t="shared" ref="I106" si="208">(G106-H106)</f>
        <v>35.33</v>
      </c>
      <c r="J106" s="94">
        <f t="shared" ref="J106" si="209">I106*D106</f>
        <v>35.33</v>
      </c>
      <c r="K106" s="109"/>
      <c r="L106" s="98" t="s">
        <v>17</v>
      </c>
      <c r="M106" s="99">
        <v>1</v>
      </c>
      <c r="N106" s="113">
        <f>30.59-3.66</f>
        <v>26.93</v>
      </c>
      <c r="O106" s="112">
        <v>2.4</v>
      </c>
      <c r="P106" s="102"/>
      <c r="Q106" s="102"/>
      <c r="R106" s="102"/>
      <c r="S106" s="99">
        <f t="shared" si="150"/>
        <v>64.631999999999991</v>
      </c>
      <c r="T106" s="110"/>
      <c r="U106" s="91"/>
      <c r="V106" s="92"/>
      <c r="W106" s="103"/>
      <c r="X106" s="104" t="s">
        <v>17</v>
      </c>
      <c r="Y106" s="105">
        <f t="shared" si="126"/>
        <v>26.93</v>
      </c>
      <c r="Z106" s="128"/>
      <c r="AA106" s="115" t="s">
        <v>17</v>
      </c>
      <c r="AB106" s="108" t="str">
        <f t="shared" si="198"/>
        <v>cad</v>
      </c>
      <c r="AC106" s="108" t="str">
        <f t="shared" si="199"/>
        <v>cad</v>
      </c>
      <c r="AD106" s="108">
        <f t="shared" si="146"/>
        <v>35.33</v>
      </c>
      <c r="AE106" s="108"/>
      <c r="AF106" s="108">
        <f t="shared" si="200"/>
        <v>35.33</v>
      </c>
      <c r="AG106" s="108">
        <f t="shared" si="201"/>
        <v>35.33</v>
      </c>
      <c r="AH106" s="103"/>
      <c r="AI106" s="116" t="s">
        <v>17</v>
      </c>
      <c r="AJ106" s="108">
        <f t="shared" si="183"/>
        <v>26.93</v>
      </c>
    </row>
    <row r="107" spans="1:36" s="11" customFormat="1" ht="15.75" customHeight="1">
      <c r="A107" s="18"/>
      <c r="B107" s="111"/>
      <c r="C107" s="94"/>
      <c r="D107" s="94"/>
      <c r="E107" s="94"/>
      <c r="F107" s="95"/>
      <c r="G107" s="143"/>
      <c r="H107" s="97"/>
      <c r="I107" s="94"/>
      <c r="J107" s="94"/>
      <c r="K107" s="109"/>
      <c r="L107" s="98"/>
      <c r="M107" s="99"/>
      <c r="N107" s="94"/>
      <c r="O107" s="94"/>
      <c r="P107" s="102"/>
      <c r="Q107" s="102"/>
      <c r="R107" s="102"/>
      <c r="S107" s="99"/>
      <c r="T107" s="110"/>
      <c r="U107" s="91"/>
      <c r="V107" s="92"/>
      <c r="W107" s="103"/>
      <c r="X107" s="104"/>
      <c r="Y107" s="105"/>
      <c r="Z107" s="128"/>
      <c r="AA107" s="140" t="s">
        <v>19</v>
      </c>
      <c r="AB107" s="141">
        <f t="shared" si="198"/>
        <v>0</v>
      </c>
      <c r="AC107" s="141">
        <f t="shared" si="199"/>
        <v>0</v>
      </c>
      <c r="AD107" s="141">
        <v>14.06</v>
      </c>
      <c r="AE107" s="108">
        <f t="shared" ref="AE107" si="210">H107</f>
        <v>0</v>
      </c>
      <c r="AF107" s="141">
        <f>AD107</f>
        <v>14.06</v>
      </c>
      <c r="AG107" s="141">
        <f>AF107</f>
        <v>14.06</v>
      </c>
      <c r="AH107" s="103"/>
      <c r="AI107" s="118"/>
      <c r="AJ107" s="108"/>
    </row>
    <row r="108" spans="1:36" s="11" customFormat="1" ht="15.75" customHeight="1">
      <c r="A108" s="18"/>
      <c r="B108" s="111" t="s">
        <v>157</v>
      </c>
      <c r="C108" s="94" t="s">
        <v>390</v>
      </c>
      <c r="D108" s="94">
        <v>1</v>
      </c>
      <c r="E108" s="94" t="s">
        <v>57</v>
      </c>
      <c r="F108" s="95" t="s">
        <v>57</v>
      </c>
      <c r="G108" s="130">
        <v>5.04</v>
      </c>
      <c r="H108" s="97"/>
      <c r="I108" s="94">
        <f t="shared" ref="I108" si="211">(G108-H108)</f>
        <v>5.04</v>
      </c>
      <c r="J108" s="94">
        <f t="shared" ref="J108" si="212">I108*D108</f>
        <v>5.04</v>
      </c>
      <c r="K108" s="109"/>
      <c r="L108" s="98" t="s">
        <v>17</v>
      </c>
      <c r="M108" s="99">
        <v>1</v>
      </c>
      <c r="N108" s="113">
        <v>10</v>
      </c>
      <c r="O108" s="112">
        <v>2.4</v>
      </c>
      <c r="P108" s="102"/>
      <c r="Q108" s="102"/>
      <c r="R108" s="102"/>
      <c r="S108" s="99">
        <f t="shared" si="150"/>
        <v>24</v>
      </c>
      <c r="T108" s="110"/>
      <c r="U108" s="91"/>
      <c r="V108" s="92"/>
      <c r="W108" s="103"/>
      <c r="X108" s="104" t="s">
        <v>17</v>
      </c>
      <c r="Y108" s="105">
        <f t="shared" si="126"/>
        <v>10</v>
      </c>
      <c r="Z108" s="128"/>
      <c r="AA108" s="115" t="s">
        <v>17</v>
      </c>
      <c r="AB108" s="108" t="str">
        <f t="shared" si="198"/>
        <v>cad</v>
      </c>
      <c r="AC108" s="108" t="str">
        <f t="shared" si="199"/>
        <v>cad</v>
      </c>
      <c r="AD108" s="108">
        <f t="shared" si="146"/>
        <v>5.04</v>
      </c>
      <c r="AE108" s="108"/>
      <c r="AF108" s="108">
        <f t="shared" si="200"/>
        <v>5.04</v>
      </c>
      <c r="AG108" s="108">
        <f t="shared" si="201"/>
        <v>5.04</v>
      </c>
      <c r="AH108" s="103"/>
      <c r="AI108" s="116" t="s">
        <v>17</v>
      </c>
      <c r="AJ108" s="108">
        <f>N108*M108</f>
        <v>10</v>
      </c>
    </row>
    <row r="109" spans="1:36" s="11" customFormat="1" ht="15.75" customHeight="1">
      <c r="A109" s="18"/>
      <c r="B109" s="93" t="s">
        <v>165</v>
      </c>
      <c r="C109" s="94" t="s">
        <v>390</v>
      </c>
      <c r="D109" s="94">
        <v>1</v>
      </c>
      <c r="E109" s="94" t="s">
        <v>57</v>
      </c>
      <c r="F109" s="95" t="s">
        <v>57</v>
      </c>
      <c r="G109" s="96">
        <v>4.74</v>
      </c>
      <c r="H109" s="97"/>
      <c r="I109" s="94">
        <f t="shared" si="181"/>
        <v>4.74</v>
      </c>
      <c r="J109" s="94">
        <f t="shared" si="182"/>
        <v>4.74</v>
      </c>
      <c r="K109" s="109"/>
      <c r="L109" s="98" t="s">
        <v>17</v>
      </c>
      <c r="M109" s="99">
        <v>1</v>
      </c>
      <c r="N109" s="100">
        <v>8.9700000000000006</v>
      </c>
      <c r="O109" s="101">
        <v>2.4</v>
      </c>
      <c r="P109" s="102"/>
      <c r="Q109" s="102"/>
      <c r="R109" s="102"/>
      <c r="S109" s="99">
        <f t="shared" si="150"/>
        <v>21.528000000000002</v>
      </c>
      <c r="T109" s="110"/>
      <c r="U109" s="91" t="s">
        <v>357</v>
      </c>
      <c r="V109" s="92">
        <f t="shared" si="195"/>
        <v>8.9700000000000006</v>
      </c>
      <c r="W109" s="103"/>
      <c r="X109" s="104" t="s">
        <v>17</v>
      </c>
      <c r="Y109" s="105">
        <f t="shared" si="126"/>
        <v>8.9700000000000006</v>
      </c>
      <c r="Z109" s="128"/>
      <c r="AA109" s="107" t="s">
        <v>17</v>
      </c>
      <c r="AB109" s="108" t="str">
        <f t="shared" si="168"/>
        <v>cad</v>
      </c>
      <c r="AC109" s="108" t="str">
        <f t="shared" si="169"/>
        <v>cad</v>
      </c>
      <c r="AD109" s="108">
        <f t="shared" si="146"/>
        <v>4.74</v>
      </c>
      <c r="AE109" s="108">
        <f t="shared" si="170"/>
        <v>0</v>
      </c>
      <c r="AF109" s="108">
        <f t="shared" si="147"/>
        <v>4.74</v>
      </c>
      <c r="AG109" s="108">
        <f t="shared" si="148"/>
        <v>4.74</v>
      </c>
      <c r="AH109" s="103"/>
      <c r="AI109" s="119" t="s">
        <v>17</v>
      </c>
      <c r="AJ109" s="108">
        <f t="shared" ref="AJ109:AJ114" si="213">N109*M109</f>
        <v>8.9700000000000006</v>
      </c>
    </row>
    <row r="110" spans="1:36" s="11" customFormat="1" ht="15.75" customHeight="1">
      <c r="A110" s="18"/>
      <c r="B110" s="93" t="s">
        <v>229</v>
      </c>
      <c r="C110" s="94" t="s">
        <v>318</v>
      </c>
      <c r="D110" s="94">
        <v>1</v>
      </c>
      <c r="E110" s="94" t="s">
        <v>57</v>
      </c>
      <c r="F110" s="95" t="s">
        <v>57</v>
      </c>
      <c r="G110" s="96">
        <v>2.2200000000000002</v>
      </c>
      <c r="H110" s="97"/>
      <c r="I110" s="94">
        <f t="shared" si="181"/>
        <v>2.2200000000000002</v>
      </c>
      <c r="J110" s="94">
        <f t="shared" si="182"/>
        <v>2.2200000000000002</v>
      </c>
      <c r="K110" s="109"/>
      <c r="L110" s="98" t="s">
        <v>18</v>
      </c>
      <c r="M110" s="99">
        <v>1</v>
      </c>
      <c r="N110" s="100">
        <v>6.1</v>
      </c>
      <c r="O110" s="101">
        <v>2.5</v>
      </c>
      <c r="P110" s="102"/>
      <c r="Q110" s="102"/>
      <c r="R110" s="102"/>
      <c r="S110" s="99">
        <f t="shared" si="150"/>
        <v>15.25</v>
      </c>
      <c r="T110" s="110"/>
      <c r="U110" s="91"/>
      <c r="V110" s="92"/>
      <c r="W110" s="103"/>
      <c r="X110" s="126" t="s">
        <v>18</v>
      </c>
      <c r="Y110" s="105">
        <f t="shared" si="126"/>
        <v>6.1</v>
      </c>
      <c r="Z110" s="128"/>
      <c r="AA110" s="107" t="s">
        <v>18</v>
      </c>
      <c r="AB110" s="108" t="str">
        <f t="shared" si="168"/>
        <v>cad</v>
      </c>
      <c r="AC110" s="108" t="str">
        <f t="shared" si="169"/>
        <v>cad</v>
      </c>
      <c r="AD110" s="108">
        <f t="shared" si="146"/>
        <v>2.2200000000000002</v>
      </c>
      <c r="AE110" s="108">
        <f t="shared" si="170"/>
        <v>0</v>
      </c>
      <c r="AF110" s="108">
        <f t="shared" si="147"/>
        <v>2.2200000000000002</v>
      </c>
      <c r="AG110" s="108">
        <f t="shared" si="148"/>
        <v>2.2200000000000002</v>
      </c>
      <c r="AH110" s="103"/>
      <c r="AI110" s="119" t="s">
        <v>17</v>
      </c>
      <c r="AJ110" s="108">
        <f t="shared" si="213"/>
        <v>6.1</v>
      </c>
    </row>
    <row r="111" spans="1:36" s="11" customFormat="1" ht="15.75" customHeight="1">
      <c r="A111" s="18"/>
      <c r="B111" s="93" t="s">
        <v>230</v>
      </c>
      <c r="C111" s="94" t="s">
        <v>318</v>
      </c>
      <c r="D111" s="94">
        <v>1</v>
      </c>
      <c r="E111" s="94" t="s">
        <v>57</v>
      </c>
      <c r="F111" s="95" t="s">
        <v>57</v>
      </c>
      <c r="G111" s="96">
        <v>2.2200000000000002</v>
      </c>
      <c r="H111" s="97"/>
      <c r="I111" s="94">
        <f t="shared" si="181"/>
        <v>2.2200000000000002</v>
      </c>
      <c r="J111" s="94">
        <f t="shared" si="182"/>
        <v>2.2200000000000002</v>
      </c>
      <c r="K111" s="109"/>
      <c r="L111" s="98" t="s">
        <v>18</v>
      </c>
      <c r="M111" s="99">
        <v>1</v>
      </c>
      <c r="N111" s="100">
        <v>6.1</v>
      </c>
      <c r="O111" s="101">
        <v>2.5</v>
      </c>
      <c r="P111" s="102"/>
      <c r="Q111" s="102"/>
      <c r="R111" s="102"/>
      <c r="S111" s="99">
        <f t="shared" si="150"/>
        <v>15.25</v>
      </c>
      <c r="T111" s="110"/>
      <c r="U111" s="91"/>
      <c r="V111" s="92"/>
      <c r="W111" s="103"/>
      <c r="X111" s="126" t="s">
        <v>18</v>
      </c>
      <c r="Y111" s="105">
        <f t="shared" si="126"/>
        <v>6.1</v>
      </c>
      <c r="Z111" s="129"/>
      <c r="AA111" s="107" t="s">
        <v>18</v>
      </c>
      <c r="AB111" s="108" t="str">
        <f t="shared" si="168"/>
        <v>cad</v>
      </c>
      <c r="AC111" s="108" t="str">
        <f t="shared" si="169"/>
        <v>cad</v>
      </c>
      <c r="AD111" s="108">
        <f t="shared" si="146"/>
        <v>2.2200000000000002</v>
      </c>
      <c r="AE111" s="108">
        <f t="shared" si="170"/>
        <v>0</v>
      </c>
      <c r="AF111" s="108">
        <f t="shared" si="147"/>
        <v>2.2200000000000002</v>
      </c>
      <c r="AG111" s="108">
        <f t="shared" si="148"/>
        <v>2.2200000000000002</v>
      </c>
      <c r="AH111" s="103"/>
      <c r="AI111" s="119" t="s">
        <v>17</v>
      </c>
      <c r="AJ111" s="108">
        <f t="shared" si="213"/>
        <v>6.1</v>
      </c>
    </row>
    <row r="112" spans="1:36" s="11" customFormat="1" ht="15.75" customHeight="1">
      <c r="A112" s="18"/>
      <c r="B112" s="111" t="s">
        <v>123</v>
      </c>
      <c r="C112" s="94" t="s">
        <v>249</v>
      </c>
      <c r="D112" s="94">
        <v>1</v>
      </c>
      <c r="E112" s="94" t="s">
        <v>57</v>
      </c>
      <c r="F112" s="95" t="s">
        <v>57</v>
      </c>
      <c r="G112" s="130">
        <v>3.22</v>
      </c>
      <c r="H112" s="97"/>
      <c r="I112" s="94">
        <f t="shared" ref="I112" si="214">(G112-H112)</f>
        <v>3.22</v>
      </c>
      <c r="J112" s="94">
        <f t="shared" ref="J112" si="215">I112*D112</f>
        <v>3.22</v>
      </c>
      <c r="K112" s="109"/>
      <c r="L112" s="98" t="s">
        <v>20</v>
      </c>
      <c r="M112" s="99">
        <v>1</v>
      </c>
      <c r="N112" s="113">
        <v>7.4</v>
      </c>
      <c r="O112" s="112">
        <v>2.5</v>
      </c>
      <c r="P112" s="102"/>
      <c r="Q112" s="102"/>
      <c r="R112" s="102"/>
      <c r="S112" s="99">
        <f t="shared" si="150"/>
        <v>18.5</v>
      </c>
      <c r="T112" s="110"/>
      <c r="U112" s="91"/>
      <c r="V112" s="92"/>
      <c r="W112" s="103"/>
      <c r="X112" s="126"/>
      <c r="Y112" s="105"/>
      <c r="Z112" s="129"/>
      <c r="AA112" s="115" t="s">
        <v>18</v>
      </c>
      <c r="AB112" s="108" t="str">
        <f t="shared" ref="AB112:AB114" si="216">E112</f>
        <v>cad</v>
      </c>
      <c r="AC112" s="108" t="str">
        <f t="shared" ref="AC112:AC114" si="217">F112</f>
        <v>cad</v>
      </c>
      <c r="AD112" s="108">
        <f t="shared" si="146"/>
        <v>3.22</v>
      </c>
      <c r="AE112" s="108"/>
      <c r="AF112" s="108">
        <f t="shared" ref="AF112:AF114" si="218">I112</f>
        <v>3.22</v>
      </c>
      <c r="AG112" s="108">
        <f t="shared" ref="AG112:AG114" si="219">J112</f>
        <v>3.22</v>
      </c>
      <c r="AH112" s="103"/>
      <c r="AI112" s="116" t="s">
        <v>17</v>
      </c>
      <c r="AJ112" s="108">
        <f t="shared" si="213"/>
        <v>7.4</v>
      </c>
    </row>
    <row r="113" spans="1:36" s="11" customFormat="1" ht="15.75" customHeight="1">
      <c r="A113" s="18"/>
      <c r="B113" s="111" t="s">
        <v>396</v>
      </c>
      <c r="C113" s="94" t="s">
        <v>390</v>
      </c>
      <c r="D113" s="94">
        <v>1</v>
      </c>
      <c r="E113" s="94" t="s">
        <v>57</v>
      </c>
      <c r="F113" s="95" t="s">
        <v>57</v>
      </c>
      <c r="G113" s="130">
        <v>11.9</v>
      </c>
      <c r="H113" s="97"/>
      <c r="I113" s="94">
        <f t="shared" ref="I113" si="220">(G113-H113)</f>
        <v>11.9</v>
      </c>
      <c r="J113" s="94">
        <f t="shared" ref="J113" si="221">I113*D113</f>
        <v>11.9</v>
      </c>
      <c r="K113" s="109"/>
      <c r="L113" s="98" t="s">
        <v>17</v>
      </c>
      <c r="M113" s="99">
        <v>1</v>
      </c>
      <c r="N113" s="113">
        <v>13.8</v>
      </c>
      <c r="O113" s="112">
        <v>2.4</v>
      </c>
      <c r="P113" s="102"/>
      <c r="Q113" s="102"/>
      <c r="R113" s="102"/>
      <c r="S113" s="99">
        <f t="shared" si="150"/>
        <v>33.119999999999997</v>
      </c>
      <c r="T113" s="110"/>
      <c r="U113" s="91"/>
      <c r="V113" s="92"/>
      <c r="W113" s="103"/>
      <c r="X113" s="104" t="s">
        <v>17</v>
      </c>
      <c r="Y113" s="105">
        <f t="shared" si="126"/>
        <v>13.8</v>
      </c>
      <c r="Z113" s="128"/>
      <c r="AA113" s="115" t="s">
        <v>17</v>
      </c>
      <c r="AB113" s="108" t="str">
        <f t="shared" si="216"/>
        <v>cad</v>
      </c>
      <c r="AC113" s="108" t="str">
        <f t="shared" si="217"/>
        <v>cad</v>
      </c>
      <c r="AD113" s="108">
        <f t="shared" si="146"/>
        <v>11.9</v>
      </c>
      <c r="AE113" s="108"/>
      <c r="AF113" s="108">
        <f t="shared" si="218"/>
        <v>11.9</v>
      </c>
      <c r="AG113" s="108">
        <f t="shared" si="219"/>
        <v>11.9</v>
      </c>
      <c r="AH113" s="103"/>
      <c r="AI113" s="116" t="s">
        <v>17</v>
      </c>
      <c r="AJ113" s="108">
        <f t="shared" si="213"/>
        <v>13.8</v>
      </c>
    </row>
    <row r="114" spans="1:36" s="11" customFormat="1" ht="15.75" customHeight="1">
      <c r="A114" s="18"/>
      <c r="B114" s="111" t="s">
        <v>157</v>
      </c>
      <c r="C114" s="94" t="s">
        <v>390</v>
      </c>
      <c r="D114" s="94">
        <v>1</v>
      </c>
      <c r="E114" s="94" t="s">
        <v>57</v>
      </c>
      <c r="F114" s="95" t="s">
        <v>57</v>
      </c>
      <c r="G114" s="130">
        <v>11.97</v>
      </c>
      <c r="H114" s="97"/>
      <c r="I114" s="94">
        <f t="shared" ref="I114" si="222">(G114-H114)</f>
        <v>11.97</v>
      </c>
      <c r="J114" s="94">
        <f t="shared" ref="J114" si="223">I114*D114</f>
        <v>11.97</v>
      </c>
      <c r="K114" s="109"/>
      <c r="L114" s="98" t="s">
        <v>17</v>
      </c>
      <c r="M114" s="99">
        <v>1</v>
      </c>
      <c r="N114" s="113">
        <v>15.7</v>
      </c>
      <c r="O114" s="112">
        <v>2.4</v>
      </c>
      <c r="P114" s="102"/>
      <c r="Q114" s="102"/>
      <c r="R114" s="102"/>
      <c r="S114" s="99">
        <f t="shared" si="150"/>
        <v>37.68</v>
      </c>
      <c r="T114" s="110"/>
      <c r="U114" s="91"/>
      <c r="V114" s="92"/>
      <c r="W114" s="103"/>
      <c r="X114" s="104" t="s">
        <v>17</v>
      </c>
      <c r="Y114" s="105">
        <f t="shared" si="126"/>
        <v>15.7</v>
      </c>
      <c r="Z114" s="128"/>
      <c r="AA114" s="115" t="s">
        <v>17</v>
      </c>
      <c r="AB114" s="108" t="str">
        <f t="shared" si="216"/>
        <v>cad</v>
      </c>
      <c r="AC114" s="108" t="str">
        <f t="shared" si="217"/>
        <v>cad</v>
      </c>
      <c r="AD114" s="108">
        <f t="shared" si="146"/>
        <v>11.97</v>
      </c>
      <c r="AE114" s="108"/>
      <c r="AF114" s="108">
        <f t="shared" si="218"/>
        <v>11.97</v>
      </c>
      <c r="AG114" s="108">
        <f t="shared" si="219"/>
        <v>11.97</v>
      </c>
      <c r="AH114" s="103"/>
      <c r="AI114" s="116" t="s">
        <v>17</v>
      </c>
      <c r="AJ114" s="108">
        <f t="shared" si="213"/>
        <v>15.7</v>
      </c>
    </row>
    <row r="115" spans="1:36" s="11" customFormat="1" ht="15.75" customHeight="1">
      <c r="A115" s="18"/>
      <c r="B115" s="93" t="s">
        <v>272</v>
      </c>
      <c r="C115" s="94" t="s">
        <v>390</v>
      </c>
      <c r="D115" s="94">
        <v>1</v>
      </c>
      <c r="E115" s="94" t="s">
        <v>57</v>
      </c>
      <c r="F115" s="95" t="s">
        <v>57</v>
      </c>
      <c r="G115" s="96">
        <v>10.29</v>
      </c>
      <c r="H115" s="97"/>
      <c r="I115" s="94">
        <f t="shared" si="181"/>
        <v>10.29</v>
      </c>
      <c r="J115" s="94">
        <f t="shared" si="182"/>
        <v>10.29</v>
      </c>
      <c r="K115" s="109"/>
      <c r="L115" s="98" t="s">
        <v>17</v>
      </c>
      <c r="M115" s="99">
        <v>1</v>
      </c>
      <c r="N115" s="100">
        <v>12.92</v>
      </c>
      <c r="O115" s="101">
        <v>2.35</v>
      </c>
      <c r="P115" s="102"/>
      <c r="Q115" s="102"/>
      <c r="R115" s="102"/>
      <c r="S115" s="99">
        <f t="shared" si="150"/>
        <v>30.362000000000002</v>
      </c>
      <c r="T115" s="110"/>
      <c r="U115" s="91" t="s">
        <v>357</v>
      </c>
      <c r="V115" s="92">
        <f t="shared" ref="V115:V124" si="224">N115*M115</f>
        <v>12.92</v>
      </c>
      <c r="W115" s="103"/>
      <c r="X115" s="104" t="s">
        <v>17</v>
      </c>
      <c r="Y115" s="105">
        <f t="shared" si="126"/>
        <v>12.92</v>
      </c>
      <c r="Z115" s="128"/>
      <c r="AA115" s="107" t="s">
        <v>17</v>
      </c>
      <c r="AB115" s="108" t="str">
        <f t="shared" si="168"/>
        <v>cad</v>
      </c>
      <c r="AC115" s="108" t="str">
        <f t="shared" si="169"/>
        <v>cad</v>
      </c>
      <c r="AD115" s="108">
        <f t="shared" si="146"/>
        <v>10.29</v>
      </c>
      <c r="AE115" s="108">
        <f t="shared" si="170"/>
        <v>0</v>
      </c>
      <c r="AF115" s="108">
        <f t="shared" si="147"/>
        <v>10.29</v>
      </c>
      <c r="AG115" s="108">
        <f t="shared" si="148"/>
        <v>10.29</v>
      </c>
      <c r="AH115" s="103"/>
      <c r="AI115" s="119" t="s">
        <v>17</v>
      </c>
      <c r="AJ115" s="108">
        <f>N115*M115</f>
        <v>12.92</v>
      </c>
    </row>
    <row r="116" spans="1:36" s="11" customFormat="1" ht="15.75" customHeight="1">
      <c r="A116" s="18"/>
      <c r="B116" s="111" t="s">
        <v>428</v>
      </c>
      <c r="C116" s="94" t="s">
        <v>390</v>
      </c>
      <c r="D116" s="94">
        <v>1</v>
      </c>
      <c r="E116" s="94" t="s">
        <v>57</v>
      </c>
      <c r="F116" s="95" t="s">
        <v>57</v>
      </c>
      <c r="G116" s="130">
        <v>13.45</v>
      </c>
      <c r="H116" s="97"/>
      <c r="I116" s="94">
        <f t="shared" si="181"/>
        <v>13.45</v>
      </c>
      <c r="J116" s="94">
        <f t="shared" si="182"/>
        <v>13.45</v>
      </c>
      <c r="K116" s="109"/>
      <c r="L116" s="98" t="s">
        <v>17</v>
      </c>
      <c r="M116" s="94">
        <v>1</v>
      </c>
      <c r="N116" s="112">
        <v>15.21</v>
      </c>
      <c r="O116" s="112">
        <v>2.4</v>
      </c>
      <c r="P116" s="97"/>
      <c r="Q116" s="97"/>
      <c r="R116" s="97"/>
      <c r="S116" s="99">
        <f t="shared" si="150"/>
        <v>36.503999999999998</v>
      </c>
      <c r="T116" s="110"/>
      <c r="U116" s="91"/>
      <c r="V116" s="92">
        <f t="shared" si="224"/>
        <v>15.21</v>
      </c>
      <c r="W116" s="103"/>
      <c r="X116" s="104" t="s">
        <v>17</v>
      </c>
      <c r="Y116" s="105">
        <f t="shared" si="126"/>
        <v>15.21</v>
      </c>
      <c r="Z116" s="106"/>
      <c r="AA116" s="115" t="s">
        <v>17</v>
      </c>
      <c r="AB116" s="108" t="str">
        <f t="shared" ref="AB116:AB120" si="225">E116</f>
        <v>cad</v>
      </c>
      <c r="AC116" s="108" t="str">
        <f t="shared" ref="AC116:AC120" si="226">F116</f>
        <v>cad</v>
      </c>
      <c r="AD116" s="108">
        <f t="shared" si="146"/>
        <v>13.45</v>
      </c>
      <c r="AE116" s="108"/>
      <c r="AF116" s="108">
        <f t="shared" ref="AF116:AF118" si="227">I116</f>
        <v>13.45</v>
      </c>
      <c r="AG116" s="108">
        <f t="shared" ref="AG116:AG118" si="228">J116</f>
        <v>13.45</v>
      </c>
      <c r="AH116" s="103"/>
      <c r="AI116" s="116" t="s">
        <v>17</v>
      </c>
      <c r="AJ116" s="108">
        <f t="shared" ref="AJ116:AJ125" si="229">N116*M116</f>
        <v>15.21</v>
      </c>
    </row>
    <row r="117" spans="1:36" s="11" customFormat="1" ht="15.75" customHeight="1">
      <c r="A117" s="18"/>
      <c r="B117" s="111" t="s">
        <v>165</v>
      </c>
      <c r="C117" s="94" t="s">
        <v>390</v>
      </c>
      <c r="D117" s="94">
        <v>1</v>
      </c>
      <c r="E117" s="94" t="s">
        <v>57</v>
      </c>
      <c r="F117" s="95" t="s">
        <v>57</v>
      </c>
      <c r="G117" s="130">
        <v>4.34</v>
      </c>
      <c r="H117" s="97"/>
      <c r="I117" s="94">
        <f t="shared" ref="I117" si="230">(G117-H117)</f>
        <v>4.34</v>
      </c>
      <c r="J117" s="94">
        <f t="shared" ref="J117" si="231">I117*D117</f>
        <v>4.34</v>
      </c>
      <c r="K117" s="109"/>
      <c r="L117" s="98" t="s">
        <v>17</v>
      </c>
      <c r="M117" s="94">
        <v>1</v>
      </c>
      <c r="N117" s="112">
        <v>8.6999999999999993</v>
      </c>
      <c r="O117" s="112">
        <v>2.5</v>
      </c>
      <c r="P117" s="97"/>
      <c r="Q117" s="97"/>
      <c r="R117" s="97"/>
      <c r="S117" s="99">
        <f t="shared" si="150"/>
        <v>21.75</v>
      </c>
      <c r="T117" s="110"/>
      <c r="U117" s="91"/>
      <c r="V117" s="92">
        <f t="shared" si="224"/>
        <v>8.6999999999999993</v>
      </c>
      <c r="W117" s="103"/>
      <c r="X117" s="104" t="s">
        <v>17</v>
      </c>
      <c r="Y117" s="105">
        <f t="shared" ref="Y117:Y124" si="232">N117*M117</f>
        <v>8.6999999999999993</v>
      </c>
      <c r="Z117" s="106"/>
      <c r="AA117" s="115" t="s">
        <v>17</v>
      </c>
      <c r="AB117" s="108" t="str">
        <f t="shared" si="225"/>
        <v>cad</v>
      </c>
      <c r="AC117" s="108" t="str">
        <f t="shared" si="226"/>
        <v>cad</v>
      </c>
      <c r="AD117" s="108">
        <f t="shared" si="146"/>
        <v>4.34</v>
      </c>
      <c r="AE117" s="108"/>
      <c r="AF117" s="108">
        <f t="shared" si="227"/>
        <v>4.34</v>
      </c>
      <c r="AG117" s="108">
        <f t="shared" si="228"/>
        <v>4.34</v>
      </c>
      <c r="AH117" s="103"/>
      <c r="AI117" s="116" t="s">
        <v>17</v>
      </c>
      <c r="AJ117" s="108">
        <f t="shared" si="229"/>
        <v>8.6999999999999993</v>
      </c>
    </row>
    <row r="118" spans="1:36" s="11" customFormat="1" ht="15.75" customHeight="1">
      <c r="A118" s="18"/>
      <c r="B118" s="111" t="s">
        <v>427</v>
      </c>
      <c r="C118" s="94" t="s">
        <v>390</v>
      </c>
      <c r="D118" s="94">
        <v>1</v>
      </c>
      <c r="E118" s="94" t="s">
        <v>57</v>
      </c>
      <c r="F118" s="95" t="s">
        <v>57</v>
      </c>
      <c r="G118" s="130">
        <v>9.6300000000000008</v>
      </c>
      <c r="H118" s="97"/>
      <c r="I118" s="94">
        <f t="shared" ref="I118" si="233">(G118-H118)</f>
        <v>9.6300000000000008</v>
      </c>
      <c r="J118" s="94">
        <f t="shared" ref="J118" si="234">I118*D118</f>
        <v>9.6300000000000008</v>
      </c>
      <c r="K118" s="109"/>
      <c r="L118" s="98" t="s">
        <v>17</v>
      </c>
      <c r="M118" s="94">
        <v>1</v>
      </c>
      <c r="N118" s="112">
        <v>12.48</v>
      </c>
      <c r="O118" s="112">
        <v>2.5</v>
      </c>
      <c r="P118" s="97"/>
      <c r="Q118" s="97"/>
      <c r="R118" s="97"/>
      <c r="S118" s="99">
        <f t="shared" si="150"/>
        <v>31.200000000000003</v>
      </c>
      <c r="T118" s="110"/>
      <c r="U118" s="91"/>
      <c r="V118" s="92">
        <f t="shared" si="224"/>
        <v>12.48</v>
      </c>
      <c r="W118" s="103"/>
      <c r="X118" s="104" t="s">
        <v>17</v>
      </c>
      <c r="Y118" s="105">
        <f t="shared" si="232"/>
        <v>12.48</v>
      </c>
      <c r="Z118" s="106"/>
      <c r="AA118" s="115" t="s">
        <v>17</v>
      </c>
      <c r="AB118" s="108" t="str">
        <f t="shared" si="225"/>
        <v>cad</v>
      </c>
      <c r="AC118" s="108" t="str">
        <f t="shared" si="226"/>
        <v>cad</v>
      </c>
      <c r="AD118" s="108">
        <f t="shared" si="146"/>
        <v>9.6300000000000008</v>
      </c>
      <c r="AE118" s="108"/>
      <c r="AF118" s="108">
        <f t="shared" si="227"/>
        <v>9.6300000000000008</v>
      </c>
      <c r="AG118" s="108">
        <f t="shared" si="228"/>
        <v>9.6300000000000008</v>
      </c>
      <c r="AH118" s="103"/>
      <c r="AI118" s="116" t="s">
        <v>17</v>
      </c>
      <c r="AJ118" s="108">
        <f t="shared" si="229"/>
        <v>12.48</v>
      </c>
    </row>
    <row r="119" spans="1:36" s="11" customFormat="1" ht="15.75" customHeight="1">
      <c r="A119" s="18"/>
      <c r="B119" s="111" t="s">
        <v>426</v>
      </c>
      <c r="C119" s="94" t="s">
        <v>390</v>
      </c>
      <c r="D119" s="94">
        <v>1</v>
      </c>
      <c r="E119" s="94" t="s">
        <v>57</v>
      </c>
      <c r="F119" s="95" t="s">
        <v>57</v>
      </c>
      <c r="G119" s="132">
        <v>9.6</v>
      </c>
      <c r="H119" s="97"/>
      <c r="I119" s="94">
        <f t="shared" si="181"/>
        <v>9.6</v>
      </c>
      <c r="J119" s="94">
        <f t="shared" si="182"/>
        <v>9.6</v>
      </c>
      <c r="K119" s="109"/>
      <c r="L119" s="98" t="s">
        <v>17</v>
      </c>
      <c r="M119" s="94">
        <v>1</v>
      </c>
      <c r="N119" s="112">
        <v>12.45</v>
      </c>
      <c r="O119" s="112">
        <v>2.5</v>
      </c>
      <c r="P119" s="97"/>
      <c r="Q119" s="97"/>
      <c r="R119" s="97"/>
      <c r="S119" s="99">
        <f t="shared" si="150"/>
        <v>31.125</v>
      </c>
      <c r="T119" s="110"/>
      <c r="U119" s="91"/>
      <c r="V119" s="92">
        <f t="shared" si="224"/>
        <v>12.45</v>
      </c>
      <c r="W119" s="103"/>
      <c r="X119" s="104" t="s">
        <v>17</v>
      </c>
      <c r="Y119" s="105">
        <f t="shared" si="232"/>
        <v>12.45</v>
      </c>
      <c r="Z119" s="106"/>
      <c r="AA119" s="115" t="s">
        <v>17</v>
      </c>
      <c r="AB119" s="108" t="str">
        <f t="shared" si="225"/>
        <v>cad</v>
      </c>
      <c r="AC119" s="108" t="str">
        <f t="shared" si="226"/>
        <v>cad</v>
      </c>
      <c r="AD119" s="108">
        <f t="shared" si="146"/>
        <v>9.6</v>
      </c>
      <c r="AE119" s="108"/>
      <c r="AF119" s="108">
        <f t="shared" si="147"/>
        <v>9.6</v>
      </c>
      <c r="AG119" s="108">
        <f t="shared" si="148"/>
        <v>9.6</v>
      </c>
      <c r="AH119" s="103"/>
      <c r="AI119" s="116" t="s">
        <v>17</v>
      </c>
      <c r="AJ119" s="108">
        <f t="shared" si="229"/>
        <v>12.45</v>
      </c>
    </row>
    <row r="120" spans="1:36" s="11" customFormat="1" ht="15.75" customHeight="1">
      <c r="A120" s="18"/>
      <c r="B120" s="111" t="s">
        <v>83</v>
      </c>
      <c r="C120" s="94" t="s">
        <v>390</v>
      </c>
      <c r="D120" s="94">
        <v>1</v>
      </c>
      <c r="E120" s="94" t="s">
        <v>57</v>
      </c>
      <c r="F120" s="95" t="s">
        <v>57</v>
      </c>
      <c r="G120" s="130">
        <v>5.72</v>
      </c>
      <c r="H120" s="97"/>
      <c r="I120" s="94">
        <f t="shared" si="181"/>
        <v>5.72</v>
      </c>
      <c r="J120" s="94">
        <f t="shared" si="182"/>
        <v>5.72</v>
      </c>
      <c r="K120" s="109"/>
      <c r="L120" s="98" t="s">
        <v>17</v>
      </c>
      <c r="M120" s="94">
        <v>1</v>
      </c>
      <c r="N120" s="112">
        <f>10.34-1.6</f>
        <v>8.74</v>
      </c>
      <c r="O120" s="112">
        <v>2.5</v>
      </c>
      <c r="P120" s="97"/>
      <c r="Q120" s="97"/>
      <c r="R120" s="97"/>
      <c r="S120" s="99">
        <f t="shared" si="150"/>
        <v>21.85</v>
      </c>
      <c r="T120" s="110"/>
      <c r="U120" s="91"/>
      <c r="V120" s="92">
        <f t="shared" si="224"/>
        <v>8.74</v>
      </c>
      <c r="W120" s="103"/>
      <c r="X120" s="104" t="s">
        <v>17</v>
      </c>
      <c r="Y120" s="105">
        <f t="shared" si="232"/>
        <v>8.74</v>
      </c>
      <c r="Z120" s="106"/>
      <c r="AA120" s="115" t="s">
        <v>17</v>
      </c>
      <c r="AB120" s="108" t="str">
        <f t="shared" si="225"/>
        <v>cad</v>
      </c>
      <c r="AC120" s="108" t="str">
        <f t="shared" si="226"/>
        <v>cad</v>
      </c>
      <c r="AD120" s="108">
        <f t="shared" si="146"/>
        <v>5.72</v>
      </c>
      <c r="AE120" s="108"/>
      <c r="AF120" s="108">
        <f t="shared" si="147"/>
        <v>5.72</v>
      </c>
      <c r="AG120" s="108">
        <f t="shared" si="148"/>
        <v>5.72</v>
      </c>
      <c r="AH120" s="103"/>
      <c r="AI120" s="116" t="s">
        <v>17</v>
      </c>
      <c r="AJ120" s="108">
        <f t="shared" si="229"/>
        <v>8.74</v>
      </c>
    </row>
    <row r="121" spans="1:36" s="11" customFormat="1" ht="15.75" customHeight="1">
      <c r="A121" s="18"/>
      <c r="B121" s="93" t="s">
        <v>273</v>
      </c>
      <c r="C121" s="94" t="s">
        <v>390</v>
      </c>
      <c r="D121" s="94">
        <v>1</v>
      </c>
      <c r="E121" s="94" t="s">
        <v>57</v>
      </c>
      <c r="F121" s="95" t="s">
        <v>57</v>
      </c>
      <c r="G121" s="131">
        <v>17.2</v>
      </c>
      <c r="H121" s="97"/>
      <c r="I121" s="94">
        <f t="shared" si="181"/>
        <v>17.2</v>
      </c>
      <c r="J121" s="94">
        <f t="shared" si="182"/>
        <v>17.2</v>
      </c>
      <c r="K121" s="109"/>
      <c r="L121" s="121" t="s">
        <v>17</v>
      </c>
      <c r="M121" s="99">
        <v>1</v>
      </c>
      <c r="N121" s="100">
        <v>17.46</v>
      </c>
      <c r="O121" s="101">
        <v>2.5</v>
      </c>
      <c r="P121" s="102"/>
      <c r="Q121" s="102"/>
      <c r="R121" s="102"/>
      <c r="S121" s="99">
        <f t="shared" si="150"/>
        <v>43.650000000000006</v>
      </c>
      <c r="T121" s="110"/>
      <c r="U121" s="91" t="s">
        <v>357</v>
      </c>
      <c r="V121" s="92">
        <f t="shared" si="224"/>
        <v>17.46</v>
      </c>
      <c r="W121" s="103"/>
      <c r="X121" s="104" t="s">
        <v>17</v>
      </c>
      <c r="Y121" s="105">
        <f t="shared" si="232"/>
        <v>17.46</v>
      </c>
      <c r="Z121" s="106"/>
      <c r="AA121" s="107" t="s">
        <v>17</v>
      </c>
      <c r="AB121" s="108" t="str">
        <f t="shared" si="168"/>
        <v>cad</v>
      </c>
      <c r="AC121" s="108" t="str">
        <f t="shared" si="169"/>
        <v>cad</v>
      </c>
      <c r="AD121" s="108">
        <f t="shared" si="146"/>
        <v>17.2</v>
      </c>
      <c r="AE121" s="108">
        <f t="shared" si="170"/>
        <v>0</v>
      </c>
      <c r="AF121" s="108">
        <f t="shared" si="147"/>
        <v>17.2</v>
      </c>
      <c r="AG121" s="108">
        <f t="shared" si="148"/>
        <v>17.2</v>
      </c>
      <c r="AH121" s="103"/>
      <c r="AI121" s="119" t="s">
        <v>17</v>
      </c>
      <c r="AJ121" s="108">
        <f t="shared" si="229"/>
        <v>17.46</v>
      </c>
    </row>
    <row r="122" spans="1:36" s="11" customFormat="1" ht="15.75" customHeight="1">
      <c r="A122" s="18"/>
      <c r="B122" s="111" t="s">
        <v>157</v>
      </c>
      <c r="C122" s="94" t="s">
        <v>390</v>
      </c>
      <c r="D122" s="94">
        <v>1</v>
      </c>
      <c r="E122" s="94" t="s">
        <v>57</v>
      </c>
      <c r="F122" s="95" t="s">
        <v>57</v>
      </c>
      <c r="G122" s="132">
        <v>20.77</v>
      </c>
      <c r="H122" s="97"/>
      <c r="I122" s="94">
        <f t="shared" ref="I122:I124" si="235">(G122-H122)</f>
        <v>20.77</v>
      </c>
      <c r="J122" s="94">
        <f t="shared" ref="J122:J124" si="236">I122*D122</f>
        <v>20.77</v>
      </c>
      <c r="K122" s="109"/>
      <c r="L122" s="121" t="s">
        <v>17</v>
      </c>
      <c r="M122" s="99">
        <v>1</v>
      </c>
      <c r="N122" s="113">
        <f>35.88-1.6</f>
        <v>34.28</v>
      </c>
      <c r="O122" s="112">
        <v>2.4</v>
      </c>
      <c r="P122" s="102"/>
      <c r="Q122" s="102"/>
      <c r="R122" s="102"/>
      <c r="S122" s="99">
        <f t="shared" si="150"/>
        <v>82.272000000000006</v>
      </c>
      <c r="T122" s="110"/>
      <c r="U122" s="91"/>
      <c r="V122" s="92">
        <f t="shared" si="224"/>
        <v>34.28</v>
      </c>
      <c r="W122" s="103"/>
      <c r="X122" s="104" t="s">
        <v>17</v>
      </c>
      <c r="Y122" s="105">
        <f t="shared" si="232"/>
        <v>34.28</v>
      </c>
      <c r="Z122" s="106"/>
      <c r="AA122" s="115" t="s">
        <v>17</v>
      </c>
      <c r="AB122" s="108" t="str">
        <f t="shared" ref="AB122:AB124" si="237">E122</f>
        <v>cad</v>
      </c>
      <c r="AC122" s="108" t="str">
        <f t="shared" ref="AC122:AC124" si="238">F122</f>
        <v>cad</v>
      </c>
      <c r="AD122" s="108">
        <f t="shared" si="146"/>
        <v>20.77</v>
      </c>
      <c r="AE122" s="108"/>
      <c r="AF122" s="108">
        <f t="shared" ref="AF122:AF124" si="239">I122</f>
        <v>20.77</v>
      </c>
      <c r="AG122" s="108">
        <f t="shared" ref="AG122:AG124" si="240">J122</f>
        <v>20.77</v>
      </c>
      <c r="AH122" s="103"/>
      <c r="AI122" s="116" t="s">
        <v>17</v>
      </c>
      <c r="AJ122" s="108">
        <f t="shared" si="229"/>
        <v>34.28</v>
      </c>
    </row>
    <row r="123" spans="1:36" s="11" customFormat="1" ht="15.75" customHeight="1">
      <c r="A123" s="18"/>
      <c r="B123" s="111" t="s">
        <v>433</v>
      </c>
      <c r="C123" s="94" t="s">
        <v>390</v>
      </c>
      <c r="D123" s="94">
        <v>1</v>
      </c>
      <c r="E123" s="94" t="s">
        <v>57</v>
      </c>
      <c r="F123" s="95" t="s">
        <v>57</v>
      </c>
      <c r="G123" s="132">
        <v>13.69</v>
      </c>
      <c r="H123" s="97"/>
      <c r="I123" s="94">
        <f t="shared" si="235"/>
        <v>13.69</v>
      </c>
      <c r="J123" s="94">
        <f t="shared" si="236"/>
        <v>13.69</v>
      </c>
      <c r="K123" s="109"/>
      <c r="L123" s="121" t="s">
        <v>17</v>
      </c>
      <c r="M123" s="99">
        <v>1</v>
      </c>
      <c r="N123" s="113">
        <v>15.13</v>
      </c>
      <c r="O123" s="112">
        <v>2.5</v>
      </c>
      <c r="P123" s="102"/>
      <c r="Q123" s="102"/>
      <c r="R123" s="102"/>
      <c r="S123" s="99">
        <f t="shared" si="150"/>
        <v>37.825000000000003</v>
      </c>
      <c r="T123" s="110"/>
      <c r="U123" s="91"/>
      <c r="V123" s="92">
        <f t="shared" si="224"/>
        <v>15.13</v>
      </c>
      <c r="W123" s="103"/>
      <c r="X123" s="104" t="s">
        <v>17</v>
      </c>
      <c r="Y123" s="105">
        <f t="shared" si="232"/>
        <v>15.13</v>
      </c>
      <c r="Z123" s="106"/>
      <c r="AA123" s="115" t="s">
        <v>17</v>
      </c>
      <c r="AB123" s="108" t="str">
        <f t="shared" si="237"/>
        <v>cad</v>
      </c>
      <c r="AC123" s="108" t="str">
        <f t="shared" si="238"/>
        <v>cad</v>
      </c>
      <c r="AD123" s="108">
        <f t="shared" si="146"/>
        <v>13.69</v>
      </c>
      <c r="AE123" s="108"/>
      <c r="AF123" s="108">
        <f t="shared" si="239"/>
        <v>13.69</v>
      </c>
      <c r="AG123" s="108">
        <f t="shared" si="240"/>
        <v>13.69</v>
      </c>
      <c r="AH123" s="103"/>
      <c r="AI123" s="116" t="s">
        <v>17</v>
      </c>
      <c r="AJ123" s="108">
        <f t="shared" si="229"/>
        <v>15.13</v>
      </c>
    </row>
    <row r="124" spans="1:36" s="11" customFormat="1" ht="15.75" customHeight="1">
      <c r="A124" s="18"/>
      <c r="B124" s="111" t="s">
        <v>434</v>
      </c>
      <c r="C124" s="94" t="s">
        <v>390</v>
      </c>
      <c r="D124" s="94">
        <v>1</v>
      </c>
      <c r="E124" s="94" t="s">
        <v>57</v>
      </c>
      <c r="F124" s="95" t="s">
        <v>57</v>
      </c>
      <c r="G124" s="132">
        <v>10.83</v>
      </c>
      <c r="H124" s="97"/>
      <c r="I124" s="94">
        <f t="shared" si="235"/>
        <v>10.83</v>
      </c>
      <c r="J124" s="94">
        <f t="shared" si="236"/>
        <v>10.83</v>
      </c>
      <c r="K124" s="109"/>
      <c r="L124" s="121" t="s">
        <v>17</v>
      </c>
      <c r="M124" s="99">
        <v>1</v>
      </c>
      <c r="N124" s="113">
        <v>14.21</v>
      </c>
      <c r="O124" s="112">
        <v>2.5</v>
      </c>
      <c r="P124" s="102"/>
      <c r="Q124" s="102"/>
      <c r="R124" s="102"/>
      <c r="S124" s="99">
        <f t="shared" si="150"/>
        <v>35.525000000000006</v>
      </c>
      <c r="T124" s="110"/>
      <c r="U124" s="91"/>
      <c r="V124" s="92">
        <f t="shared" si="224"/>
        <v>14.21</v>
      </c>
      <c r="W124" s="103"/>
      <c r="X124" s="104" t="s">
        <v>17</v>
      </c>
      <c r="Y124" s="105">
        <f t="shared" si="232"/>
        <v>14.21</v>
      </c>
      <c r="Z124" s="144"/>
      <c r="AA124" s="115" t="s">
        <v>17</v>
      </c>
      <c r="AB124" s="108" t="str">
        <f t="shared" si="237"/>
        <v>cad</v>
      </c>
      <c r="AC124" s="108" t="str">
        <f t="shared" si="238"/>
        <v>cad</v>
      </c>
      <c r="AD124" s="108">
        <f t="shared" si="146"/>
        <v>10.83</v>
      </c>
      <c r="AE124" s="108"/>
      <c r="AF124" s="108">
        <f t="shared" si="239"/>
        <v>10.83</v>
      </c>
      <c r="AG124" s="108">
        <f t="shared" si="240"/>
        <v>10.83</v>
      </c>
      <c r="AH124" s="103"/>
      <c r="AI124" s="116" t="s">
        <v>17</v>
      </c>
      <c r="AJ124" s="108">
        <f t="shared" si="229"/>
        <v>14.21</v>
      </c>
    </row>
    <row r="125" spans="1:36" s="11" customFormat="1" ht="15.75" customHeight="1">
      <c r="A125" s="18"/>
      <c r="B125" s="93" t="s">
        <v>123</v>
      </c>
      <c r="C125" s="94" t="s">
        <v>249</v>
      </c>
      <c r="D125" s="94">
        <v>1</v>
      </c>
      <c r="E125" s="94" t="s">
        <v>57</v>
      </c>
      <c r="F125" s="95" t="s">
        <v>57</v>
      </c>
      <c r="G125" s="131">
        <v>2.6</v>
      </c>
      <c r="H125" s="97"/>
      <c r="I125" s="94">
        <f t="shared" si="181"/>
        <v>2.6</v>
      </c>
      <c r="J125" s="94">
        <f t="shared" si="182"/>
        <v>2.6</v>
      </c>
      <c r="K125" s="109"/>
      <c r="L125" s="98" t="s">
        <v>20</v>
      </c>
      <c r="M125" s="99">
        <v>1</v>
      </c>
      <c r="N125" s="100">
        <v>6.45</v>
      </c>
      <c r="O125" s="101">
        <v>2.5</v>
      </c>
      <c r="P125" s="102"/>
      <c r="Q125" s="102"/>
      <c r="R125" s="102"/>
      <c r="S125" s="99">
        <f t="shared" si="150"/>
        <v>16.125</v>
      </c>
      <c r="T125" s="110"/>
      <c r="U125" s="91"/>
      <c r="V125" s="92"/>
      <c r="W125" s="103"/>
      <c r="X125" s="126"/>
      <c r="Y125" s="105"/>
      <c r="Z125" s="144"/>
      <c r="AA125" s="107" t="s">
        <v>18</v>
      </c>
      <c r="AB125" s="108" t="str">
        <f t="shared" si="168"/>
        <v>cad</v>
      </c>
      <c r="AC125" s="108" t="str">
        <f t="shared" si="169"/>
        <v>cad</v>
      </c>
      <c r="AD125" s="108">
        <f t="shared" si="146"/>
        <v>2.6</v>
      </c>
      <c r="AE125" s="108">
        <f t="shared" si="170"/>
        <v>0</v>
      </c>
      <c r="AF125" s="108">
        <f t="shared" si="147"/>
        <v>2.6</v>
      </c>
      <c r="AG125" s="108">
        <f t="shared" si="148"/>
        <v>2.6</v>
      </c>
      <c r="AH125" s="103"/>
      <c r="AI125" s="119" t="s">
        <v>17</v>
      </c>
      <c r="AJ125" s="108">
        <f t="shared" si="229"/>
        <v>6.45</v>
      </c>
    </row>
    <row r="126" spans="1:36" s="11" customFormat="1" ht="15.75" customHeight="1">
      <c r="A126" s="18"/>
      <c r="B126" s="93" t="s">
        <v>65</v>
      </c>
      <c r="C126" s="94" t="s">
        <v>390</v>
      </c>
      <c r="D126" s="94">
        <v>1</v>
      </c>
      <c r="E126" s="94" t="s">
        <v>57</v>
      </c>
      <c r="F126" s="95" t="s">
        <v>57</v>
      </c>
      <c r="G126" s="101">
        <v>31.62</v>
      </c>
      <c r="H126" s="97"/>
      <c r="I126" s="94">
        <f t="shared" si="181"/>
        <v>31.62</v>
      </c>
      <c r="J126" s="94">
        <f t="shared" si="182"/>
        <v>31.62</v>
      </c>
      <c r="K126" s="89"/>
      <c r="L126" s="121" t="s">
        <v>17</v>
      </c>
      <c r="M126" s="99">
        <v>1</v>
      </c>
      <c r="N126" s="100">
        <f>29.85-1.37</f>
        <v>28.48</v>
      </c>
      <c r="O126" s="101">
        <v>2.5</v>
      </c>
      <c r="P126" s="102"/>
      <c r="Q126" s="102"/>
      <c r="R126" s="102"/>
      <c r="S126" s="99">
        <f t="shared" ref="S126:S144" si="241">(N126*O126-P126)*M126</f>
        <v>71.2</v>
      </c>
      <c r="T126" s="110"/>
      <c r="U126" s="91" t="s">
        <v>357</v>
      </c>
      <c r="V126" s="92">
        <f>N126*M126</f>
        <v>28.48</v>
      </c>
      <c r="W126" s="103"/>
      <c r="X126" s="104" t="s">
        <v>17</v>
      </c>
      <c r="Y126" s="105">
        <f t="shared" ref="Y126:Y165" si="242">N126*M126</f>
        <v>28.48</v>
      </c>
      <c r="Z126" s="103"/>
      <c r="AA126" s="145" t="s">
        <v>17</v>
      </c>
      <c r="AB126" s="108" t="str">
        <f t="shared" si="168"/>
        <v>cad</v>
      </c>
      <c r="AC126" s="108" t="str">
        <f t="shared" si="169"/>
        <v>cad</v>
      </c>
      <c r="AD126" s="108">
        <f t="shared" si="146"/>
        <v>31.62</v>
      </c>
      <c r="AE126" s="108">
        <f t="shared" si="170"/>
        <v>0</v>
      </c>
      <c r="AF126" s="108">
        <f t="shared" si="147"/>
        <v>31.62</v>
      </c>
      <c r="AG126" s="108">
        <f t="shared" si="148"/>
        <v>31.62</v>
      </c>
      <c r="AH126" s="146"/>
      <c r="AI126" s="145" t="s">
        <v>17</v>
      </c>
      <c r="AJ126" s="108">
        <f>N126*M126</f>
        <v>28.48</v>
      </c>
    </row>
    <row r="127" spans="1:36" s="11" customFormat="1" ht="15.75" customHeight="1">
      <c r="A127" s="18"/>
      <c r="B127" s="93" t="s">
        <v>66</v>
      </c>
      <c r="C127" s="94" t="s">
        <v>246</v>
      </c>
      <c r="D127" s="94">
        <v>1</v>
      </c>
      <c r="E127" s="94" t="s">
        <v>57</v>
      </c>
      <c r="F127" s="95" t="s">
        <v>57</v>
      </c>
      <c r="G127" s="101">
        <v>27.12</v>
      </c>
      <c r="H127" s="97"/>
      <c r="I127" s="94">
        <f t="shared" si="181"/>
        <v>27.12</v>
      </c>
      <c r="J127" s="94">
        <f t="shared" si="182"/>
        <v>27.12</v>
      </c>
      <c r="K127" s="89"/>
      <c r="L127" s="121" t="s">
        <v>24</v>
      </c>
      <c r="M127" s="99">
        <v>1</v>
      </c>
      <c r="N127" s="100">
        <v>20.91</v>
      </c>
      <c r="O127" s="101">
        <v>3.15</v>
      </c>
      <c r="P127" s="102"/>
      <c r="Q127" s="102"/>
      <c r="R127" s="102"/>
      <c r="S127" s="99">
        <f t="shared" si="241"/>
        <v>65.866500000000002</v>
      </c>
      <c r="T127" s="110"/>
      <c r="U127" s="91" t="s">
        <v>357</v>
      </c>
      <c r="V127" s="92">
        <f>N127*M127</f>
        <v>20.91</v>
      </c>
      <c r="W127" s="103"/>
      <c r="X127" s="104" t="s">
        <v>20</v>
      </c>
      <c r="Y127" s="105">
        <f t="shared" si="242"/>
        <v>20.91</v>
      </c>
      <c r="Z127" s="103"/>
      <c r="AA127" s="145" t="s">
        <v>20</v>
      </c>
      <c r="AB127" s="108" t="str">
        <f t="shared" si="168"/>
        <v>cad</v>
      </c>
      <c r="AC127" s="108" t="str">
        <f t="shared" si="169"/>
        <v>cad</v>
      </c>
      <c r="AD127" s="108">
        <f t="shared" si="146"/>
        <v>27.12</v>
      </c>
      <c r="AE127" s="108">
        <f t="shared" si="170"/>
        <v>0</v>
      </c>
      <c r="AF127" s="108">
        <f t="shared" si="147"/>
        <v>27.12</v>
      </c>
      <c r="AG127" s="108">
        <f t="shared" si="148"/>
        <v>27.12</v>
      </c>
      <c r="AH127" s="146"/>
      <c r="AI127" s="92"/>
      <c r="AJ127" s="108"/>
    </row>
    <row r="128" spans="1:36" s="11" customFormat="1" ht="15.75" customHeight="1">
      <c r="A128" s="18"/>
      <c r="B128" s="93"/>
      <c r="C128" s="94" t="s">
        <v>246</v>
      </c>
      <c r="D128" s="94">
        <v>1</v>
      </c>
      <c r="E128" s="94" t="s">
        <v>57</v>
      </c>
      <c r="F128" s="95" t="s">
        <v>57</v>
      </c>
      <c r="G128" s="101">
        <v>8.6199999999999992</v>
      </c>
      <c r="H128" s="97"/>
      <c r="I128" s="94">
        <f t="shared" ref="I128" si="243">(G128-H128)</f>
        <v>8.6199999999999992</v>
      </c>
      <c r="J128" s="94">
        <f t="shared" ref="J128" si="244">I128*D128</f>
        <v>8.6199999999999992</v>
      </c>
      <c r="K128" s="89"/>
      <c r="L128" s="121"/>
      <c r="M128" s="99"/>
      <c r="N128" s="94"/>
      <c r="O128" s="94"/>
      <c r="P128" s="102"/>
      <c r="Q128" s="102"/>
      <c r="R128" s="102"/>
      <c r="S128" s="99"/>
      <c r="T128" s="110"/>
      <c r="U128" s="91"/>
      <c r="V128" s="92"/>
      <c r="W128" s="103"/>
      <c r="X128" s="104"/>
      <c r="Y128" s="105"/>
      <c r="Z128" s="103"/>
      <c r="AA128" s="95"/>
      <c r="AB128" s="108"/>
      <c r="AC128" s="108"/>
      <c r="AD128" s="108"/>
      <c r="AE128" s="108"/>
      <c r="AF128" s="108"/>
      <c r="AG128" s="108"/>
      <c r="AH128" s="146"/>
      <c r="AI128" s="92"/>
      <c r="AJ128" s="108"/>
    </row>
    <row r="129" spans="1:36" s="11" customFormat="1" ht="15.75" customHeight="1">
      <c r="A129" s="18"/>
      <c r="B129" s="93" t="s">
        <v>157</v>
      </c>
      <c r="C129" s="94" t="s">
        <v>390</v>
      </c>
      <c r="D129" s="94">
        <v>1</v>
      </c>
      <c r="E129" s="94" t="s">
        <v>57</v>
      </c>
      <c r="F129" s="95" t="s">
        <v>57</v>
      </c>
      <c r="G129" s="96">
        <v>9.23</v>
      </c>
      <c r="H129" s="97"/>
      <c r="I129" s="94">
        <f t="shared" ref="I129" si="245">(G129-H129)</f>
        <v>9.23</v>
      </c>
      <c r="J129" s="94">
        <f t="shared" ref="J129" si="246">I129*D129</f>
        <v>9.23</v>
      </c>
      <c r="K129" s="109"/>
      <c r="L129" s="121" t="s">
        <v>17</v>
      </c>
      <c r="M129" s="99">
        <v>1</v>
      </c>
      <c r="N129" s="100">
        <v>13.3</v>
      </c>
      <c r="O129" s="101">
        <v>2.35</v>
      </c>
      <c r="P129" s="102"/>
      <c r="Q129" s="102"/>
      <c r="R129" s="102"/>
      <c r="S129" s="99">
        <f t="shared" ref="S129" si="247">(N129*O129-P129)*M129</f>
        <v>31.255000000000003</v>
      </c>
      <c r="T129" s="110"/>
      <c r="U129" s="91" t="s">
        <v>357</v>
      </c>
      <c r="V129" s="92">
        <f>N129*M129</f>
        <v>13.3</v>
      </c>
      <c r="W129" s="103"/>
      <c r="X129" s="92" t="s">
        <v>17</v>
      </c>
      <c r="Y129" s="105">
        <f t="shared" si="242"/>
        <v>13.3</v>
      </c>
      <c r="Z129" s="103"/>
      <c r="AA129" s="119" t="s">
        <v>17</v>
      </c>
      <c r="AB129" s="108" t="str">
        <f t="shared" ref="AB129" si="248">E129</f>
        <v>cad</v>
      </c>
      <c r="AC129" s="108" t="str">
        <f t="shared" ref="AC129" si="249">F129</f>
        <v>cad</v>
      </c>
      <c r="AD129" s="108">
        <f t="shared" ref="AD129" si="250">G129</f>
        <v>9.23</v>
      </c>
      <c r="AE129" s="108">
        <f t="shared" ref="AE129" si="251">H129</f>
        <v>0</v>
      </c>
      <c r="AF129" s="108">
        <f t="shared" ref="AF129" si="252">I129</f>
        <v>9.23</v>
      </c>
      <c r="AG129" s="108">
        <f t="shared" ref="AG129" si="253">J129</f>
        <v>9.23</v>
      </c>
      <c r="AH129" s="103"/>
      <c r="AI129" s="119" t="s">
        <v>17</v>
      </c>
      <c r="AJ129" s="108">
        <f>N129*M129</f>
        <v>13.3</v>
      </c>
    </row>
    <row r="130" spans="1:36" s="11" customFormat="1" ht="15.75" customHeight="1">
      <c r="A130" s="18"/>
      <c r="B130" s="93" t="s">
        <v>157</v>
      </c>
      <c r="C130" s="94" t="s">
        <v>390</v>
      </c>
      <c r="D130" s="94">
        <v>1</v>
      </c>
      <c r="E130" s="94" t="s">
        <v>57</v>
      </c>
      <c r="F130" s="95" t="s">
        <v>57</v>
      </c>
      <c r="G130" s="96">
        <v>80.19</v>
      </c>
      <c r="H130" s="97"/>
      <c r="I130" s="94">
        <f t="shared" si="181"/>
        <v>80.19</v>
      </c>
      <c r="J130" s="94">
        <f t="shared" si="182"/>
        <v>80.19</v>
      </c>
      <c r="K130" s="109"/>
      <c r="L130" s="121" t="s">
        <v>17</v>
      </c>
      <c r="M130" s="99">
        <v>1</v>
      </c>
      <c r="N130" s="100">
        <f>75.89-5.92</f>
        <v>69.97</v>
      </c>
      <c r="O130" s="101">
        <v>2.5499999999999998</v>
      </c>
      <c r="P130" s="102"/>
      <c r="Q130" s="102"/>
      <c r="R130" s="102"/>
      <c r="S130" s="99">
        <f t="shared" si="241"/>
        <v>178.42349999999999</v>
      </c>
      <c r="T130" s="110"/>
      <c r="U130" s="91" t="s">
        <v>357</v>
      </c>
      <c r="V130" s="92">
        <f>N130*M130</f>
        <v>69.97</v>
      </c>
      <c r="W130" s="103"/>
      <c r="X130" s="104" t="s">
        <v>17</v>
      </c>
      <c r="Y130" s="105">
        <f t="shared" si="242"/>
        <v>69.97</v>
      </c>
      <c r="Z130" s="103"/>
      <c r="AA130" s="119" t="s">
        <v>17</v>
      </c>
      <c r="AB130" s="108" t="str">
        <f t="shared" ref="AB130:AG132" si="254">E130</f>
        <v>cad</v>
      </c>
      <c r="AC130" s="108" t="str">
        <f t="shared" si="254"/>
        <v>cad</v>
      </c>
      <c r="AD130" s="108">
        <f t="shared" si="254"/>
        <v>80.19</v>
      </c>
      <c r="AE130" s="108">
        <f t="shared" si="254"/>
        <v>0</v>
      </c>
      <c r="AF130" s="108">
        <f t="shared" si="254"/>
        <v>80.19</v>
      </c>
      <c r="AG130" s="108">
        <f t="shared" si="254"/>
        <v>80.19</v>
      </c>
      <c r="AH130" s="103"/>
      <c r="AI130" s="92"/>
      <c r="AJ130" s="108"/>
    </row>
    <row r="131" spans="1:36" s="11" customFormat="1" ht="15.75" customHeight="1">
      <c r="A131" s="18"/>
      <c r="B131" s="93"/>
      <c r="C131" s="94"/>
      <c r="D131" s="94"/>
      <c r="E131" s="94"/>
      <c r="F131" s="95"/>
      <c r="G131" s="147"/>
      <c r="H131" s="97"/>
      <c r="I131" s="94"/>
      <c r="J131" s="94"/>
      <c r="K131" s="109"/>
      <c r="L131" s="121"/>
      <c r="M131" s="99"/>
      <c r="N131" s="94"/>
      <c r="O131" s="94"/>
      <c r="P131" s="102"/>
      <c r="Q131" s="102"/>
      <c r="R131" s="102"/>
      <c r="S131" s="99"/>
      <c r="T131" s="110"/>
      <c r="U131" s="91"/>
      <c r="V131" s="92"/>
      <c r="W131" s="103"/>
      <c r="X131" s="104"/>
      <c r="Y131" s="105"/>
      <c r="Z131" s="103"/>
      <c r="AA131" s="148" t="s">
        <v>19</v>
      </c>
      <c r="AB131" s="141">
        <f t="shared" si="254"/>
        <v>0</v>
      </c>
      <c r="AC131" s="141">
        <f t="shared" si="254"/>
        <v>0</v>
      </c>
      <c r="AD131" s="141">
        <v>42.98</v>
      </c>
      <c r="AE131" s="108">
        <f t="shared" si="254"/>
        <v>0</v>
      </c>
      <c r="AF131" s="141">
        <f>AD131</f>
        <v>42.98</v>
      </c>
      <c r="AG131" s="141">
        <f>AD131</f>
        <v>42.98</v>
      </c>
      <c r="AH131" s="103"/>
      <c r="AI131" s="92"/>
      <c r="AJ131" s="108"/>
    </row>
    <row r="132" spans="1:36" s="11" customFormat="1" ht="15.75" customHeight="1">
      <c r="A132" s="18"/>
      <c r="B132" s="93" t="s">
        <v>274</v>
      </c>
      <c r="C132" s="94" t="s">
        <v>390</v>
      </c>
      <c r="D132" s="94">
        <v>1</v>
      </c>
      <c r="E132" s="94" t="s">
        <v>57</v>
      </c>
      <c r="F132" s="95" t="s">
        <v>57</v>
      </c>
      <c r="G132" s="96">
        <v>21.13</v>
      </c>
      <c r="H132" s="97"/>
      <c r="I132" s="94">
        <f t="shared" si="181"/>
        <v>21.13</v>
      </c>
      <c r="J132" s="94">
        <f t="shared" si="182"/>
        <v>21.13</v>
      </c>
      <c r="K132" s="109"/>
      <c r="L132" s="121" t="s">
        <v>17</v>
      </c>
      <c r="M132" s="99">
        <v>1</v>
      </c>
      <c r="N132" s="100">
        <f>20.19-3.91</f>
        <v>16.28</v>
      </c>
      <c r="O132" s="101">
        <v>2.5</v>
      </c>
      <c r="P132" s="102"/>
      <c r="Q132" s="102"/>
      <c r="R132" s="102"/>
      <c r="S132" s="99">
        <f t="shared" si="241"/>
        <v>40.700000000000003</v>
      </c>
      <c r="T132" s="110"/>
      <c r="U132" s="91" t="s">
        <v>357</v>
      </c>
      <c r="V132" s="92">
        <f>N132*M132</f>
        <v>16.28</v>
      </c>
      <c r="W132" s="103"/>
      <c r="X132" s="104" t="s">
        <v>17</v>
      </c>
      <c r="Y132" s="105">
        <f t="shared" si="242"/>
        <v>16.28</v>
      </c>
      <c r="Z132" s="103"/>
      <c r="AA132" s="119" t="s">
        <v>17</v>
      </c>
      <c r="AB132" s="108" t="str">
        <f t="shared" si="254"/>
        <v>cad</v>
      </c>
      <c r="AC132" s="108" t="str">
        <f t="shared" si="254"/>
        <v>cad</v>
      </c>
      <c r="AD132" s="108">
        <f t="shared" si="254"/>
        <v>21.13</v>
      </c>
      <c r="AE132" s="108">
        <f t="shared" si="254"/>
        <v>0</v>
      </c>
      <c r="AF132" s="108">
        <f t="shared" si="254"/>
        <v>21.13</v>
      </c>
      <c r="AG132" s="108">
        <f t="shared" si="254"/>
        <v>21.13</v>
      </c>
      <c r="AH132" s="103"/>
      <c r="AI132" s="119" t="s">
        <v>17</v>
      </c>
      <c r="AJ132" s="108">
        <f t="shared" ref="AJ132:AJ136" si="255">N132*M132</f>
        <v>16.28</v>
      </c>
    </row>
    <row r="133" spans="1:36" s="11" customFormat="1" ht="15.75" customHeight="1">
      <c r="A133" s="18"/>
      <c r="B133" s="111" t="s">
        <v>227</v>
      </c>
      <c r="C133" s="94" t="s">
        <v>318</v>
      </c>
      <c r="D133" s="94">
        <v>2</v>
      </c>
      <c r="E133" s="94" t="s">
        <v>57</v>
      </c>
      <c r="F133" s="95" t="s">
        <v>57</v>
      </c>
      <c r="G133" s="130">
        <v>2.88</v>
      </c>
      <c r="H133" s="97"/>
      <c r="I133" s="94">
        <f t="shared" ref="I133" si="256">(G133-H133)</f>
        <v>2.88</v>
      </c>
      <c r="J133" s="94">
        <f t="shared" ref="J133" si="257">I133*D133</f>
        <v>5.76</v>
      </c>
      <c r="K133" s="109"/>
      <c r="L133" s="98" t="s">
        <v>18</v>
      </c>
      <c r="M133" s="99">
        <v>1</v>
      </c>
      <c r="N133" s="113">
        <v>6.8</v>
      </c>
      <c r="O133" s="112">
        <v>2.5</v>
      </c>
      <c r="P133" s="102"/>
      <c r="Q133" s="102"/>
      <c r="R133" s="102"/>
      <c r="S133" s="99">
        <f t="shared" si="241"/>
        <v>17</v>
      </c>
      <c r="T133" s="110"/>
      <c r="U133" s="91"/>
      <c r="V133" s="92"/>
      <c r="W133" s="103"/>
      <c r="X133" s="92" t="s">
        <v>18</v>
      </c>
      <c r="Y133" s="105">
        <f t="shared" si="242"/>
        <v>6.8</v>
      </c>
      <c r="Z133" s="103"/>
      <c r="AA133" s="116" t="s">
        <v>18</v>
      </c>
      <c r="AB133" s="108" t="str">
        <f t="shared" ref="AB133" si="258">E133</f>
        <v>cad</v>
      </c>
      <c r="AC133" s="108" t="str">
        <f t="shared" ref="AC133" si="259">F133</f>
        <v>cad</v>
      </c>
      <c r="AD133" s="108">
        <f>G133</f>
        <v>2.88</v>
      </c>
      <c r="AE133" s="108"/>
      <c r="AF133" s="108">
        <f t="shared" ref="AF133" si="260">I133</f>
        <v>2.88</v>
      </c>
      <c r="AG133" s="108">
        <f t="shared" ref="AG133" si="261">J133</f>
        <v>5.76</v>
      </c>
      <c r="AH133" s="103"/>
      <c r="AI133" s="116" t="s">
        <v>17</v>
      </c>
      <c r="AJ133" s="108">
        <f t="shared" si="255"/>
        <v>6.8</v>
      </c>
    </row>
    <row r="134" spans="1:36" s="11" customFormat="1" ht="15.75" customHeight="1">
      <c r="A134" s="18"/>
      <c r="B134" s="93" t="s">
        <v>275</v>
      </c>
      <c r="C134" s="94" t="s">
        <v>318</v>
      </c>
      <c r="D134" s="94">
        <v>1</v>
      </c>
      <c r="E134" s="94" t="s">
        <v>57</v>
      </c>
      <c r="F134" s="95" t="s">
        <v>57</v>
      </c>
      <c r="G134" s="96">
        <v>43.02</v>
      </c>
      <c r="H134" s="97"/>
      <c r="I134" s="94">
        <f t="shared" si="181"/>
        <v>43.02</v>
      </c>
      <c r="J134" s="94">
        <f t="shared" si="182"/>
        <v>43.02</v>
      </c>
      <c r="K134" s="109"/>
      <c r="L134" s="98" t="s">
        <v>18</v>
      </c>
      <c r="M134" s="99">
        <v>1</v>
      </c>
      <c r="N134" s="100">
        <v>38</v>
      </c>
      <c r="O134" s="101">
        <v>2.6</v>
      </c>
      <c r="P134" s="102"/>
      <c r="Q134" s="102"/>
      <c r="R134" s="102"/>
      <c r="S134" s="99">
        <f t="shared" si="241"/>
        <v>98.8</v>
      </c>
      <c r="T134" s="110"/>
      <c r="U134" s="91"/>
      <c r="V134" s="92"/>
      <c r="W134" s="103"/>
      <c r="X134" s="92" t="s">
        <v>18</v>
      </c>
      <c r="Y134" s="105">
        <f t="shared" si="242"/>
        <v>38</v>
      </c>
      <c r="Z134" s="103"/>
      <c r="AA134" s="119" t="s">
        <v>18</v>
      </c>
      <c r="AB134" s="108" t="str">
        <f t="shared" ref="AB134:AC137" si="262">E134</f>
        <v>cad</v>
      </c>
      <c r="AC134" s="108" t="str">
        <f t="shared" si="262"/>
        <v>cad</v>
      </c>
      <c r="AD134" s="108">
        <f>G134</f>
        <v>43.02</v>
      </c>
      <c r="AE134" s="108">
        <f t="shared" ref="AE134:AG137" si="263">H134</f>
        <v>0</v>
      </c>
      <c r="AF134" s="108">
        <f t="shared" si="263"/>
        <v>43.02</v>
      </c>
      <c r="AG134" s="108">
        <f t="shared" si="263"/>
        <v>43.02</v>
      </c>
      <c r="AH134" s="103"/>
      <c r="AI134" s="119" t="s">
        <v>17</v>
      </c>
      <c r="AJ134" s="108">
        <f t="shared" si="255"/>
        <v>38</v>
      </c>
    </row>
    <row r="135" spans="1:36" s="11" customFormat="1" ht="15.75" customHeight="1">
      <c r="A135" s="18"/>
      <c r="B135" s="93" t="s">
        <v>276</v>
      </c>
      <c r="C135" s="94" t="s">
        <v>318</v>
      </c>
      <c r="D135" s="94">
        <v>1</v>
      </c>
      <c r="E135" s="94" t="s">
        <v>57</v>
      </c>
      <c r="F135" s="95" t="s">
        <v>57</v>
      </c>
      <c r="G135" s="96">
        <v>74.78</v>
      </c>
      <c r="H135" s="97"/>
      <c r="I135" s="94">
        <f t="shared" ref="I135:I166" si="264">(G135-H135)</f>
        <v>74.78</v>
      </c>
      <c r="J135" s="94">
        <f t="shared" ref="J135:J165" si="265">I135*D135</f>
        <v>74.78</v>
      </c>
      <c r="K135" s="109"/>
      <c r="L135" s="98" t="s">
        <v>18</v>
      </c>
      <c r="M135" s="99">
        <v>1</v>
      </c>
      <c r="N135" s="100">
        <v>56.71</v>
      </c>
      <c r="O135" s="101">
        <v>2.6</v>
      </c>
      <c r="P135" s="102"/>
      <c r="Q135" s="102"/>
      <c r="R135" s="102"/>
      <c r="S135" s="99">
        <f t="shared" si="241"/>
        <v>147.446</v>
      </c>
      <c r="T135" s="110"/>
      <c r="U135" s="91"/>
      <c r="V135" s="92"/>
      <c r="W135" s="103"/>
      <c r="X135" s="92" t="s">
        <v>18</v>
      </c>
      <c r="Y135" s="105">
        <f t="shared" si="242"/>
        <v>56.71</v>
      </c>
      <c r="Z135" s="103"/>
      <c r="AA135" s="119" t="s">
        <v>18</v>
      </c>
      <c r="AB135" s="108" t="str">
        <f t="shared" si="262"/>
        <v>cad</v>
      </c>
      <c r="AC135" s="108" t="str">
        <f t="shared" si="262"/>
        <v>cad</v>
      </c>
      <c r="AD135" s="108">
        <f>G135</f>
        <v>74.78</v>
      </c>
      <c r="AE135" s="108">
        <f t="shared" si="263"/>
        <v>0</v>
      </c>
      <c r="AF135" s="108">
        <f t="shared" si="263"/>
        <v>74.78</v>
      </c>
      <c r="AG135" s="108">
        <f t="shared" si="263"/>
        <v>74.78</v>
      </c>
      <c r="AH135" s="103"/>
      <c r="AI135" s="119" t="s">
        <v>17</v>
      </c>
      <c r="AJ135" s="108">
        <f t="shared" si="255"/>
        <v>56.71</v>
      </c>
    </row>
    <row r="136" spans="1:36" s="11" customFormat="1" ht="15.75" customHeight="1">
      <c r="A136" s="18"/>
      <c r="B136" s="93" t="s">
        <v>70</v>
      </c>
      <c r="C136" s="94" t="s">
        <v>390</v>
      </c>
      <c r="D136" s="94">
        <v>1</v>
      </c>
      <c r="E136" s="94" t="s">
        <v>57</v>
      </c>
      <c r="F136" s="95" t="s">
        <v>57</v>
      </c>
      <c r="G136" s="131">
        <v>23.3</v>
      </c>
      <c r="H136" s="97"/>
      <c r="I136" s="94">
        <f t="shared" si="264"/>
        <v>23.3</v>
      </c>
      <c r="J136" s="94">
        <f t="shared" si="265"/>
        <v>23.3</v>
      </c>
      <c r="K136" s="109"/>
      <c r="L136" s="98" t="s">
        <v>17</v>
      </c>
      <c r="M136" s="99">
        <v>1</v>
      </c>
      <c r="N136" s="100">
        <f>22.31-3.02</f>
        <v>19.29</v>
      </c>
      <c r="O136" s="101">
        <v>2.5</v>
      </c>
      <c r="P136" s="102"/>
      <c r="Q136" s="102"/>
      <c r="R136" s="102"/>
      <c r="S136" s="99">
        <f t="shared" si="241"/>
        <v>48.224999999999994</v>
      </c>
      <c r="T136" s="110"/>
      <c r="U136" s="91" t="s">
        <v>357</v>
      </c>
      <c r="V136" s="92">
        <f>N136*M136</f>
        <v>19.29</v>
      </c>
      <c r="W136" s="103"/>
      <c r="X136" s="104" t="s">
        <v>17</v>
      </c>
      <c r="Y136" s="105">
        <f t="shared" si="242"/>
        <v>19.29</v>
      </c>
      <c r="Z136" s="103"/>
      <c r="AA136" s="119" t="s">
        <v>17</v>
      </c>
      <c r="AB136" s="108" t="str">
        <f t="shared" si="262"/>
        <v>cad</v>
      </c>
      <c r="AC136" s="108" t="str">
        <f t="shared" si="262"/>
        <v>cad</v>
      </c>
      <c r="AD136" s="108">
        <f>G136</f>
        <v>23.3</v>
      </c>
      <c r="AE136" s="108">
        <f t="shared" si="263"/>
        <v>0</v>
      </c>
      <c r="AF136" s="108">
        <f t="shared" si="263"/>
        <v>23.3</v>
      </c>
      <c r="AG136" s="108">
        <f t="shared" si="263"/>
        <v>23.3</v>
      </c>
      <c r="AH136" s="103"/>
      <c r="AI136" s="119" t="s">
        <v>17</v>
      </c>
      <c r="AJ136" s="108">
        <f t="shared" si="255"/>
        <v>19.29</v>
      </c>
    </row>
    <row r="137" spans="1:36" s="11" customFormat="1" ht="15.75" customHeight="1">
      <c r="A137" s="18"/>
      <c r="B137" s="93" t="s">
        <v>72</v>
      </c>
      <c r="C137" s="94" t="s">
        <v>246</v>
      </c>
      <c r="D137" s="94">
        <v>1</v>
      </c>
      <c r="E137" s="94" t="s">
        <v>57</v>
      </c>
      <c r="F137" s="95" t="s">
        <v>57</v>
      </c>
      <c r="G137" s="96">
        <v>36.090000000000003</v>
      </c>
      <c r="H137" s="97"/>
      <c r="I137" s="94">
        <f t="shared" si="264"/>
        <v>36.090000000000003</v>
      </c>
      <c r="J137" s="94">
        <f t="shared" si="265"/>
        <v>36.090000000000003</v>
      </c>
      <c r="K137" s="109"/>
      <c r="L137" s="98" t="s">
        <v>24</v>
      </c>
      <c r="M137" s="99">
        <v>1</v>
      </c>
      <c r="N137" s="100">
        <v>35.380000000000003</v>
      </c>
      <c r="O137" s="101">
        <v>3.15</v>
      </c>
      <c r="P137" s="102"/>
      <c r="Q137" s="102"/>
      <c r="R137" s="102"/>
      <c r="S137" s="99">
        <f t="shared" si="241"/>
        <v>111.447</v>
      </c>
      <c r="T137" s="110"/>
      <c r="U137" s="91" t="s">
        <v>357</v>
      </c>
      <c r="V137" s="92">
        <f>N137*M137</f>
        <v>35.380000000000003</v>
      </c>
      <c r="W137" s="103"/>
      <c r="X137" s="104" t="s">
        <v>20</v>
      </c>
      <c r="Y137" s="105">
        <f t="shared" si="242"/>
        <v>35.380000000000003</v>
      </c>
      <c r="Z137" s="103"/>
      <c r="AA137" s="119" t="s">
        <v>20</v>
      </c>
      <c r="AB137" s="108" t="str">
        <f t="shared" si="262"/>
        <v>cad</v>
      </c>
      <c r="AC137" s="108" t="str">
        <f t="shared" si="262"/>
        <v>cad</v>
      </c>
      <c r="AD137" s="108">
        <f>G137</f>
        <v>36.090000000000003</v>
      </c>
      <c r="AE137" s="108">
        <f t="shared" si="263"/>
        <v>0</v>
      </c>
      <c r="AF137" s="108">
        <f t="shared" si="263"/>
        <v>36.090000000000003</v>
      </c>
      <c r="AG137" s="108">
        <f t="shared" si="263"/>
        <v>36.090000000000003</v>
      </c>
      <c r="AH137" s="103"/>
      <c r="AI137" s="92"/>
      <c r="AJ137" s="108"/>
    </row>
    <row r="138" spans="1:36" s="11" customFormat="1" ht="15.75" customHeight="1">
      <c r="A138" s="18"/>
      <c r="B138" s="93"/>
      <c r="C138" s="94" t="s">
        <v>246</v>
      </c>
      <c r="D138" s="94">
        <v>1</v>
      </c>
      <c r="E138" s="94" t="s">
        <v>57</v>
      </c>
      <c r="F138" s="95" t="s">
        <v>57</v>
      </c>
      <c r="G138" s="96">
        <v>7.96</v>
      </c>
      <c r="H138" s="97"/>
      <c r="I138" s="94">
        <f t="shared" ref="I138" si="266">(G138-H138)</f>
        <v>7.96</v>
      </c>
      <c r="J138" s="94">
        <f t="shared" ref="J138" si="267">I138*D138</f>
        <v>7.96</v>
      </c>
      <c r="K138" s="109"/>
      <c r="L138" s="98"/>
      <c r="M138" s="99"/>
      <c r="N138" s="94"/>
      <c r="O138" s="94"/>
      <c r="P138" s="102"/>
      <c r="Q138" s="102"/>
      <c r="R138" s="102"/>
      <c r="S138" s="99"/>
      <c r="T138" s="110"/>
      <c r="U138" s="91"/>
      <c r="V138" s="92"/>
      <c r="W138" s="103"/>
      <c r="X138" s="104"/>
      <c r="Y138" s="105"/>
      <c r="Z138" s="103"/>
      <c r="AA138" s="119"/>
      <c r="AB138" s="108"/>
      <c r="AC138" s="108"/>
      <c r="AD138" s="108"/>
      <c r="AE138" s="108"/>
      <c r="AF138" s="108"/>
      <c r="AG138" s="108"/>
      <c r="AH138" s="103"/>
      <c r="AI138" s="92"/>
      <c r="AJ138" s="108"/>
    </row>
    <row r="139" spans="1:36" s="11" customFormat="1" ht="15.75" customHeight="1">
      <c r="A139" s="18"/>
      <c r="B139" s="93" t="s">
        <v>277</v>
      </c>
      <c r="C139" s="94" t="s">
        <v>390</v>
      </c>
      <c r="D139" s="94">
        <v>1</v>
      </c>
      <c r="E139" s="94" t="s">
        <v>57</v>
      </c>
      <c r="F139" s="95" t="s">
        <v>57</v>
      </c>
      <c r="G139" s="96">
        <v>12.66</v>
      </c>
      <c r="H139" s="97"/>
      <c r="I139" s="94">
        <f t="shared" si="264"/>
        <v>12.66</v>
      </c>
      <c r="J139" s="94">
        <f t="shared" si="265"/>
        <v>12.66</v>
      </c>
      <c r="K139" s="109"/>
      <c r="L139" s="98" t="s">
        <v>17</v>
      </c>
      <c r="M139" s="99">
        <v>1</v>
      </c>
      <c r="N139" s="100">
        <v>14.28</v>
      </c>
      <c r="O139" s="101">
        <v>2.5</v>
      </c>
      <c r="P139" s="102"/>
      <c r="Q139" s="102"/>
      <c r="R139" s="102"/>
      <c r="S139" s="99">
        <f t="shared" si="241"/>
        <v>35.699999999999996</v>
      </c>
      <c r="T139" s="110"/>
      <c r="U139" s="91" t="s">
        <v>357</v>
      </c>
      <c r="V139" s="92">
        <f>N139*M139</f>
        <v>14.28</v>
      </c>
      <c r="W139" s="103"/>
      <c r="X139" s="104" t="s">
        <v>17</v>
      </c>
      <c r="Y139" s="105">
        <f t="shared" si="242"/>
        <v>14.28</v>
      </c>
      <c r="Z139" s="103"/>
      <c r="AA139" s="119" t="s">
        <v>17</v>
      </c>
      <c r="AB139" s="108" t="str">
        <f t="shared" ref="AB139:AG139" si="268">E139</f>
        <v>cad</v>
      </c>
      <c r="AC139" s="108" t="str">
        <f t="shared" si="268"/>
        <v>cad</v>
      </c>
      <c r="AD139" s="108">
        <f t="shared" si="268"/>
        <v>12.66</v>
      </c>
      <c r="AE139" s="108">
        <f t="shared" si="268"/>
        <v>0</v>
      </c>
      <c r="AF139" s="108">
        <f t="shared" si="268"/>
        <v>12.66</v>
      </c>
      <c r="AG139" s="108">
        <f t="shared" si="268"/>
        <v>12.66</v>
      </c>
      <c r="AH139" s="103"/>
      <c r="AI139" s="119" t="s">
        <v>17</v>
      </c>
      <c r="AJ139" s="108">
        <f t="shared" ref="AJ139:AJ142" si="269">N139*M139</f>
        <v>14.28</v>
      </c>
    </row>
    <row r="140" spans="1:36" s="11" customFormat="1" ht="15.75" customHeight="1">
      <c r="A140" s="18"/>
      <c r="B140" s="111" t="s">
        <v>438</v>
      </c>
      <c r="C140" s="94" t="s">
        <v>390</v>
      </c>
      <c r="D140" s="94">
        <v>1</v>
      </c>
      <c r="E140" s="94" t="s">
        <v>57</v>
      </c>
      <c r="F140" s="95" t="s">
        <v>57</v>
      </c>
      <c r="G140" s="130">
        <v>23.34</v>
      </c>
      <c r="H140" s="97"/>
      <c r="I140" s="94">
        <f t="shared" ref="I140" si="270">(G140-H140)</f>
        <v>23.34</v>
      </c>
      <c r="J140" s="94">
        <f t="shared" ref="J140" si="271">I140*D140</f>
        <v>23.34</v>
      </c>
      <c r="K140" s="109"/>
      <c r="L140" s="98" t="s">
        <v>17</v>
      </c>
      <c r="M140" s="99">
        <v>1</v>
      </c>
      <c r="N140" s="113">
        <f>21.6-1.65</f>
        <v>19.950000000000003</v>
      </c>
      <c r="O140" s="112">
        <v>3.15</v>
      </c>
      <c r="P140" s="102"/>
      <c r="Q140" s="102"/>
      <c r="R140" s="102"/>
      <c r="S140" s="99">
        <f t="shared" si="241"/>
        <v>62.842500000000008</v>
      </c>
      <c r="T140" s="110"/>
      <c r="U140" s="91"/>
      <c r="V140" s="92"/>
      <c r="W140" s="103"/>
      <c r="X140" s="104" t="s">
        <v>17</v>
      </c>
      <c r="Y140" s="105">
        <f t="shared" si="242"/>
        <v>19.950000000000003</v>
      </c>
      <c r="Z140" s="103"/>
      <c r="AA140" s="116" t="s">
        <v>20</v>
      </c>
      <c r="AB140" s="108" t="str">
        <f t="shared" ref="AB140:AB143" si="272">E140</f>
        <v>cad</v>
      </c>
      <c r="AC140" s="108" t="str">
        <f t="shared" ref="AC140:AC143" si="273">F140</f>
        <v>cad</v>
      </c>
      <c r="AD140" s="108">
        <f t="shared" ref="AD140:AD144" si="274">G140</f>
        <v>23.34</v>
      </c>
      <c r="AE140" s="108"/>
      <c r="AF140" s="108">
        <f t="shared" ref="AF140:AF143" si="275">I140</f>
        <v>23.34</v>
      </c>
      <c r="AG140" s="108">
        <f t="shared" ref="AG140:AG143" si="276">J140</f>
        <v>23.34</v>
      </c>
      <c r="AH140" s="103"/>
      <c r="AI140" s="92"/>
      <c r="AJ140" s="108"/>
    </row>
    <row r="141" spans="1:36" s="11" customFormat="1" ht="15.75" customHeight="1">
      <c r="A141" s="18"/>
      <c r="B141" s="93" t="s">
        <v>278</v>
      </c>
      <c r="C141" s="94" t="s">
        <v>390</v>
      </c>
      <c r="D141" s="94">
        <v>1</v>
      </c>
      <c r="E141" s="94" t="s">
        <v>57</v>
      </c>
      <c r="F141" s="95" t="s">
        <v>57</v>
      </c>
      <c r="G141" s="96">
        <v>15.63</v>
      </c>
      <c r="H141" s="97"/>
      <c r="I141" s="94">
        <f t="shared" si="264"/>
        <v>15.63</v>
      </c>
      <c r="J141" s="94">
        <f t="shared" si="265"/>
        <v>15.63</v>
      </c>
      <c r="K141" s="109"/>
      <c r="L141" s="98" t="s">
        <v>17</v>
      </c>
      <c r="M141" s="99">
        <v>1</v>
      </c>
      <c r="N141" s="100">
        <v>16.010000000000002</v>
      </c>
      <c r="O141" s="101">
        <v>2.5</v>
      </c>
      <c r="P141" s="102"/>
      <c r="Q141" s="102"/>
      <c r="R141" s="102"/>
      <c r="S141" s="99">
        <f t="shared" si="241"/>
        <v>40.025000000000006</v>
      </c>
      <c r="T141" s="110"/>
      <c r="U141" s="91" t="s">
        <v>357</v>
      </c>
      <c r="V141" s="92">
        <f>N141*M141</f>
        <v>16.010000000000002</v>
      </c>
      <c r="W141" s="103"/>
      <c r="X141" s="104" t="s">
        <v>17</v>
      </c>
      <c r="Y141" s="105">
        <f t="shared" si="242"/>
        <v>16.010000000000002</v>
      </c>
      <c r="Z141" s="103"/>
      <c r="AA141" s="119" t="s">
        <v>17</v>
      </c>
      <c r="AB141" s="108" t="str">
        <f t="shared" si="272"/>
        <v>cad</v>
      </c>
      <c r="AC141" s="108" t="str">
        <f t="shared" si="273"/>
        <v>cad</v>
      </c>
      <c r="AD141" s="108">
        <f t="shared" si="274"/>
        <v>15.63</v>
      </c>
      <c r="AE141" s="108">
        <f>H141</f>
        <v>0</v>
      </c>
      <c r="AF141" s="108">
        <f t="shared" si="275"/>
        <v>15.63</v>
      </c>
      <c r="AG141" s="108">
        <f t="shared" si="276"/>
        <v>15.63</v>
      </c>
      <c r="AH141" s="103"/>
      <c r="AI141" s="119" t="s">
        <v>17</v>
      </c>
      <c r="AJ141" s="108">
        <f t="shared" si="269"/>
        <v>16.010000000000002</v>
      </c>
    </row>
    <row r="142" spans="1:36" s="11" customFormat="1" ht="15.75" customHeight="1">
      <c r="A142" s="18"/>
      <c r="B142" s="111" t="s">
        <v>157</v>
      </c>
      <c r="C142" s="94" t="s">
        <v>390</v>
      </c>
      <c r="D142" s="94">
        <v>1</v>
      </c>
      <c r="E142" s="94" t="s">
        <v>57</v>
      </c>
      <c r="F142" s="95" t="s">
        <v>57</v>
      </c>
      <c r="G142" s="132">
        <v>5.9</v>
      </c>
      <c r="H142" s="97"/>
      <c r="I142" s="94">
        <f t="shared" ref="I142" si="277">(G142-H142)</f>
        <v>5.9</v>
      </c>
      <c r="J142" s="94">
        <f t="shared" ref="J142" si="278">I142*D142</f>
        <v>5.9</v>
      </c>
      <c r="K142" s="109"/>
      <c r="L142" s="98" t="s">
        <v>17</v>
      </c>
      <c r="M142" s="99">
        <v>1</v>
      </c>
      <c r="N142" s="113">
        <v>11.8</v>
      </c>
      <c r="O142" s="112">
        <v>2.4</v>
      </c>
      <c r="P142" s="102"/>
      <c r="Q142" s="102"/>
      <c r="R142" s="102"/>
      <c r="S142" s="99">
        <f t="shared" si="241"/>
        <v>28.32</v>
      </c>
      <c r="T142" s="110"/>
      <c r="U142" s="91"/>
      <c r="V142" s="92"/>
      <c r="W142" s="103"/>
      <c r="X142" s="104" t="s">
        <v>17</v>
      </c>
      <c r="Y142" s="105">
        <f t="shared" si="242"/>
        <v>11.8</v>
      </c>
      <c r="Z142" s="103"/>
      <c r="AA142" s="116" t="s">
        <v>17</v>
      </c>
      <c r="AB142" s="108" t="str">
        <f t="shared" si="272"/>
        <v>cad</v>
      </c>
      <c r="AC142" s="108" t="str">
        <f t="shared" si="273"/>
        <v>cad</v>
      </c>
      <c r="AD142" s="108">
        <f t="shared" si="274"/>
        <v>5.9</v>
      </c>
      <c r="AE142" s="108"/>
      <c r="AF142" s="108">
        <f t="shared" si="275"/>
        <v>5.9</v>
      </c>
      <c r="AG142" s="108">
        <f t="shared" si="276"/>
        <v>5.9</v>
      </c>
      <c r="AH142" s="103"/>
      <c r="AI142" s="116" t="s">
        <v>17</v>
      </c>
      <c r="AJ142" s="108">
        <f t="shared" si="269"/>
        <v>11.8</v>
      </c>
    </row>
    <row r="143" spans="1:36" s="11" customFormat="1" ht="15.75" customHeight="1">
      <c r="A143" s="18"/>
      <c r="B143" s="111" t="s">
        <v>429</v>
      </c>
      <c r="C143" s="94" t="s">
        <v>390</v>
      </c>
      <c r="D143" s="94">
        <v>1</v>
      </c>
      <c r="E143" s="94" t="s">
        <v>57</v>
      </c>
      <c r="F143" s="95" t="s">
        <v>57</v>
      </c>
      <c r="G143" s="132">
        <v>34.94</v>
      </c>
      <c r="H143" s="97"/>
      <c r="I143" s="94">
        <f t="shared" ref="I143" si="279">(G143-H143)</f>
        <v>34.94</v>
      </c>
      <c r="J143" s="94">
        <f t="shared" ref="J143" si="280">I143*D143</f>
        <v>34.94</v>
      </c>
      <c r="K143" s="109"/>
      <c r="L143" s="98" t="s">
        <v>17</v>
      </c>
      <c r="M143" s="99">
        <v>1</v>
      </c>
      <c r="N143" s="113">
        <v>25.41</v>
      </c>
      <c r="O143" s="112">
        <v>3.15</v>
      </c>
      <c r="P143" s="102"/>
      <c r="Q143" s="102"/>
      <c r="R143" s="102"/>
      <c r="S143" s="99">
        <f t="shared" si="241"/>
        <v>80.041499999999999</v>
      </c>
      <c r="T143" s="110"/>
      <c r="U143" s="91"/>
      <c r="V143" s="92"/>
      <c r="W143" s="103"/>
      <c r="X143" s="104" t="s">
        <v>17</v>
      </c>
      <c r="Y143" s="105">
        <f t="shared" si="242"/>
        <v>25.41</v>
      </c>
      <c r="Z143" s="103"/>
      <c r="AA143" s="116" t="s">
        <v>20</v>
      </c>
      <c r="AB143" s="108" t="str">
        <f t="shared" si="272"/>
        <v>cad</v>
      </c>
      <c r="AC143" s="108" t="str">
        <f t="shared" si="273"/>
        <v>cad</v>
      </c>
      <c r="AD143" s="108">
        <f t="shared" si="274"/>
        <v>34.94</v>
      </c>
      <c r="AE143" s="108"/>
      <c r="AF143" s="108">
        <f t="shared" si="275"/>
        <v>34.94</v>
      </c>
      <c r="AG143" s="108">
        <f t="shared" si="276"/>
        <v>34.94</v>
      </c>
      <c r="AH143" s="103"/>
      <c r="AI143" s="92"/>
      <c r="AJ143" s="108"/>
    </row>
    <row r="144" spans="1:36" s="11" customFormat="1" ht="15.75" customHeight="1">
      <c r="A144" s="18"/>
      <c r="B144" s="93" t="s">
        <v>279</v>
      </c>
      <c r="C144" s="94" t="s">
        <v>246</v>
      </c>
      <c r="D144" s="94">
        <v>1</v>
      </c>
      <c r="E144" s="94" t="s">
        <v>57</v>
      </c>
      <c r="F144" s="95" t="s">
        <v>57</v>
      </c>
      <c r="G144" s="96">
        <v>17.12</v>
      </c>
      <c r="H144" s="97"/>
      <c r="I144" s="94">
        <f t="shared" si="264"/>
        <v>17.12</v>
      </c>
      <c r="J144" s="94">
        <f t="shared" si="265"/>
        <v>17.12</v>
      </c>
      <c r="K144" s="109"/>
      <c r="L144" s="98" t="s">
        <v>24</v>
      </c>
      <c r="M144" s="99">
        <v>1</v>
      </c>
      <c r="N144" s="100">
        <v>19.22</v>
      </c>
      <c r="O144" s="101">
        <v>3.15</v>
      </c>
      <c r="P144" s="102"/>
      <c r="Q144" s="102"/>
      <c r="R144" s="102"/>
      <c r="S144" s="99">
        <f t="shared" si="241"/>
        <v>60.542999999999992</v>
      </c>
      <c r="T144" s="110"/>
      <c r="U144" s="91" t="s">
        <v>357</v>
      </c>
      <c r="V144" s="92">
        <f t="shared" ref="V144:V147" si="281">N144*M144</f>
        <v>19.22</v>
      </c>
      <c r="W144" s="103"/>
      <c r="X144" s="104" t="s">
        <v>20</v>
      </c>
      <c r="Y144" s="105">
        <f t="shared" si="242"/>
        <v>19.22</v>
      </c>
      <c r="Z144" s="103"/>
      <c r="AA144" s="119" t="s">
        <v>20</v>
      </c>
      <c r="AB144" s="108" t="str">
        <f t="shared" ref="AB144:AC147" si="282">E144</f>
        <v>cad</v>
      </c>
      <c r="AC144" s="108" t="str">
        <f t="shared" si="282"/>
        <v>cad</v>
      </c>
      <c r="AD144" s="108">
        <f t="shared" si="274"/>
        <v>17.12</v>
      </c>
      <c r="AE144" s="108">
        <f t="shared" ref="AE144:AG144" si="283">H144</f>
        <v>0</v>
      </c>
      <c r="AF144" s="108">
        <f t="shared" si="283"/>
        <v>17.12</v>
      </c>
      <c r="AG144" s="108">
        <f t="shared" si="283"/>
        <v>17.12</v>
      </c>
      <c r="AH144" s="103"/>
      <c r="AI144" s="92"/>
      <c r="AJ144" s="108"/>
    </row>
    <row r="145" spans="1:36" s="11" customFormat="1" ht="15.75" customHeight="1">
      <c r="A145" s="18"/>
      <c r="B145" s="93" t="s">
        <v>116</v>
      </c>
      <c r="C145" s="94" t="s">
        <v>246</v>
      </c>
      <c r="D145" s="94">
        <v>1</v>
      </c>
      <c r="E145" s="94" t="s">
        <v>57</v>
      </c>
      <c r="F145" s="95" t="s">
        <v>57</v>
      </c>
      <c r="G145" s="97">
        <v>2.96</v>
      </c>
      <c r="H145" s="97"/>
      <c r="I145" s="94">
        <f t="shared" si="264"/>
        <v>2.96</v>
      </c>
      <c r="J145" s="94">
        <f t="shared" si="265"/>
        <v>2.96</v>
      </c>
      <c r="K145" s="109"/>
      <c r="L145" s="98" t="s">
        <v>24</v>
      </c>
      <c r="M145" s="99">
        <v>1</v>
      </c>
      <c r="N145" s="100">
        <v>6.92</v>
      </c>
      <c r="O145" s="101">
        <v>3.15</v>
      </c>
      <c r="P145" s="102"/>
      <c r="Q145" s="102"/>
      <c r="R145" s="102"/>
      <c r="S145" s="99">
        <f t="shared" ref="S145:S166" si="284">(N145*O145-P145)*M145</f>
        <v>21.797999999999998</v>
      </c>
      <c r="T145" s="110"/>
      <c r="U145" s="91" t="s">
        <v>357</v>
      </c>
      <c r="V145" s="92">
        <f t="shared" si="281"/>
        <v>6.92</v>
      </c>
      <c r="W145" s="103"/>
      <c r="X145" s="104" t="s">
        <v>20</v>
      </c>
      <c r="Y145" s="105">
        <f t="shared" si="242"/>
        <v>6.92</v>
      </c>
      <c r="Z145" s="103"/>
      <c r="AA145" s="119" t="s">
        <v>20</v>
      </c>
      <c r="AB145" s="108" t="str">
        <f t="shared" si="282"/>
        <v>cad</v>
      </c>
      <c r="AC145" s="108" t="str">
        <f t="shared" si="282"/>
        <v>cad</v>
      </c>
      <c r="AD145" s="108">
        <f t="shared" ref="AD145:AD166" si="285">G145</f>
        <v>2.96</v>
      </c>
      <c r="AE145" s="108">
        <f>H145</f>
        <v>0</v>
      </c>
      <c r="AF145" s="108">
        <f t="shared" ref="AF145:AF166" si="286">I145</f>
        <v>2.96</v>
      </c>
      <c r="AG145" s="108">
        <f t="shared" ref="AG145:AG166" si="287">J145</f>
        <v>2.96</v>
      </c>
      <c r="AH145" s="103"/>
      <c r="AI145" s="92"/>
      <c r="AJ145" s="108"/>
    </row>
    <row r="146" spans="1:36" s="11" customFormat="1" ht="15.75" customHeight="1">
      <c r="A146" s="18"/>
      <c r="B146" s="93" t="s">
        <v>280</v>
      </c>
      <c r="C146" s="94" t="s">
        <v>246</v>
      </c>
      <c r="D146" s="94">
        <v>1</v>
      </c>
      <c r="E146" s="94" t="s">
        <v>57</v>
      </c>
      <c r="F146" s="95" t="s">
        <v>57</v>
      </c>
      <c r="G146" s="97">
        <v>6.42</v>
      </c>
      <c r="H146" s="97"/>
      <c r="I146" s="94">
        <f t="shared" si="264"/>
        <v>6.42</v>
      </c>
      <c r="J146" s="94">
        <f t="shared" si="265"/>
        <v>6.42</v>
      </c>
      <c r="K146" s="109"/>
      <c r="L146" s="98" t="s">
        <v>24</v>
      </c>
      <c r="M146" s="99">
        <v>1</v>
      </c>
      <c r="N146" s="100">
        <v>10.130000000000001</v>
      </c>
      <c r="O146" s="101">
        <v>3.15</v>
      </c>
      <c r="P146" s="102"/>
      <c r="Q146" s="102"/>
      <c r="R146" s="102"/>
      <c r="S146" s="99">
        <f t="shared" si="284"/>
        <v>31.909500000000001</v>
      </c>
      <c r="T146" s="110"/>
      <c r="U146" s="91" t="s">
        <v>357</v>
      </c>
      <c r="V146" s="92">
        <f t="shared" si="281"/>
        <v>10.130000000000001</v>
      </c>
      <c r="W146" s="103"/>
      <c r="X146" s="104" t="s">
        <v>20</v>
      </c>
      <c r="Y146" s="105">
        <f t="shared" si="242"/>
        <v>10.130000000000001</v>
      </c>
      <c r="Z146" s="103"/>
      <c r="AA146" s="119" t="s">
        <v>20</v>
      </c>
      <c r="AB146" s="108" t="str">
        <f t="shared" si="282"/>
        <v>cad</v>
      </c>
      <c r="AC146" s="108" t="str">
        <f t="shared" si="282"/>
        <v>cad</v>
      </c>
      <c r="AD146" s="108">
        <f t="shared" si="285"/>
        <v>6.42</v>
      </c>
      <c r="AE146" s="108">
        <f>H146</f>
        <v>0</v>
      </c>
      <c r="AF146" s="108">
        <f t="shared" si="286"/>
        <v>6.42</v>
      </c>
      <c r="AG146" s="108">
        <f t="shared" si="287"/>
        <v>6.42</v>
      </c>
      <c r="AH146" s="103"/>
      <c r="AI146" s="92"/>
      <c r="AJ146" s="108"/>
    </row>
    <row r="147" spans="1:36" s="11" customFormat="1" ht="15.75" customHeight="1">
      <c r="A147" s="18"/>
      <c r="B147" s="93" t="s">
        <v>157</v>
      </c>
      <c r="C147" s="94" t="s">
        <v>390</v>
      </c>
      <c r="D147" s="94">
        <v>1</v>
      </c>
      <c r="E147" s="94" t="s">
        <v>57</v>
      </c>
      <c r="F147" s="95" t="s">
        <v>57</v>
      </c>
      <c r="G147" s="96">
        <v>3.82</v>
      </c>
      <c r="H147" s="97"/>
      <c r="I147" s="94">
        <f t="shared" si="264"/>
        <v>3.82</v>
      </c>
      <c r="J147" s="94">
        <f t="shared" si="265"/>
        <v>3.82</v>
      </c>
      <c r="K147" s="109"/>
      <c r="L147" s="98" t="s">
        <v>17</v>
      </c>
      <c r="M147" s="99">
        <v>1</v>
      </c>
      <c r="N147" s="100">
        <f>9.71-1.08</f>
        <v>8.6300000000000008</v>
      </c>
      <c r="O147" s="101">
        <v>2.2000000000000002</v>
      </c>
      <c r="P147" s="102"/>
      <c r="Q147" s="102"/>
      <c r="R147" s="102"/>
      <c r="S147" s="99">
        <f t="shared" si="284"/>
        <v>18.986000000000004</v>
      </c>
      <c r="T147" s="110"/>
      <c r="U147" s="91" t="s">
        <v>357</v>
      </c>
      <c r="V147" s="92">
        <f t="shared" si="281"/>
        <v>8.6300000000000008</v>
      </c>
      <c r="W147" s="103"/>
      <c r="X147" s="104" t="s">
        <v>17</v>
      </c>
      <c r="Y147" s="105">
        <f t="shared" si="242"/>
        <v>8.6300000000000008</v>
      </c>
      <c r="Z147" s="103"/>
      <c r="AA147" s="119" t="s">
        <v>17</v>
      </c>
      <c r="AB147" s="108" t="str">
        <f t="shared" si="282"/>
        <v>cad</v>
      </c>
      <c r="AC147" s="108" t="str">
        <f t="shared" si="282"/>
        <v>cad</v>
      </c>
      <c r="AD147" s="108">
        <f t="shared" si="285"/>
        <v>3.82</v>
      </c>
      <c r="AE147" s="108">
        <f>H147</f>
        <v>0</v>
      </c>
      <c r="AF147" s="108">
        <f t="shared" si="286"/>
        <v>3.82</v>
      </c>
      <c r="AG147" s="108">
        <f t="shared" si="287"/>
        <v>3.82</v>
      </c>
      <c r="AH147" s="103"/>
      <c r="AI147" s="119" t="s">
        <v>17</v>
      </c>
      <c r="AJ147" s="108">
        <f>N147*M147</f>
        <v>8.6300000000000008</v>
      </c>
    </row>
    <row r="148" spans="1:36" s="11" customFormat="1" ht="15.75" customHeight="1">
      <c r="A148" s="18"/>
      <c r="B148" s="111" t="s">
        <v>141</v>
      </c>
      <c r="C148" s="94" t="s">
        <v>246</v>
      </c>
      <c r="D148" s="94">
        <v>1</v>
      </c>
      <c r="E148" s="94" t="s">
        <v>57</v>
      </c>
      <c r="F148" s="95" t="s">
        <v>57</v>
      </c>
      <c r="G148" s="130">
        <v>10.24</v>
      </c>
      <c r="H148" s="97"/>
      <c r="I148" s="94">
        <f t="shared" ref="I148:I150" si="288">(G148-H148)</f>
        <v>10.24</v>
      </c>
      <c r="J148" s="94">
        <f t="shared" ref="J148:J150" si="289">I148*D148</f>
        <v>10.24</v>
      </c>
      <c r="K148" s="109"/>
      <c r="L148" s="98" t="s">
        <v>24</v>
      </c>
      <c r="M148" s="99">
        <v>1</v>
      </c>
      <c r="N148" s="113">
        <v>13.13</v>
      </c>
      <c r="O148" s="112">
        <v>3.15</v>
      </c>
      <c r="P148" s="102"/>
      <c r="Q148" s="102"/>
      <c r="R148" s="102"/>
      <c r="S148" s="99">
        <f t="shared" si="284"/>
        <v>41.359500000000004</v>
      </c>
      <c r="T148" s="110"/>
      <c r="U148" s="91"/>
      <c r="V148" s="92"/>
      <c r="W148" s="103"/>
      <c r="X148" s="104" t="s">
        <v>20</v>
      </c>
      <c r="Y148" s="105">
        <f t="shared" si="242"/>
        <v>13.13</v>
      </c>
      <c r="Z148" s="103"/>
      <c r="AA148" s="116" t="s">
        <v>20</v>
      </c>
      <c r="AB148" s="108" t="str">
        <f t="shared" ref="AB148:AB150" si="290">E148</f>
        <v>cad</v>
      </c>
      <c r="AC148" s="108" t="str">
        <f t="shared" ref="AC148:AC150" si="291">F148</f>
        <v>cad</v>
      </c>
      <c r="AD148" s="108">
        <f t="shared" ref="AD148:AD150" si="292">G148</f>
        <v>10.24</v>
      </c>
      <c r="AE148" s="108">
        <f t="shared" ref="AE148:AE150" si="293">H148</f>
        <v>0</v>
      </c>
      <c r="AF148" s="108">
        <f t="shared" ref="AF148:AF150" si="294">I148</f>
        <v>10.24</v>
      </c>
      <c r="AG148" s="108">
        <f t="shared" ref="AG148:AG150" si="295">J148</f>
        <v>10.24</v>
      </c>
      <c r="AH148" s="103"/>
      <c r="AI148" s="92"/>
      <c r="AJ148" s="108"/>
    </row>
    <row r="149" spans="1:36" s="11" customFormat="1" ht="15.75" customHeight="1">
      <c r="A149" s="18"/>
      <c r="B149" s="111" t="s">
        <v>157</v>
      </c>
      <c r="C149" s="94" t="s">
        <v>246</v>
      </c>
      <c r="D149" s="94">
        <v>1</v>
      </c>
      <c r="E149" s="94" t="s">
        <v>57</v>
      </c>
      <c r="F149" s="95" t="s">
        <v>57</v>
      </c>
      <c r="G149" s="132">
        <v>3.5</v>
      </c>
      <c r="H149" s="97"/>
      <c r="I149" s="94">
        <f t="shared" si="288"/>
        <v>3.5</v>
      </c>
      <c r="J149" s="94">
        <f t="shared" si="289"/>
        <v>3.5</v>
      </c>
      <c r="K149" s="109"/>
      <c r="L149" s="98" t="s">
        <v>24</v>
      </c>
      <c r="M149" s="99">
        <v>1</v>
      </c>
      <c r="N149" s="113">
        <v>8.11</v>
      </c>
      <c r="O149" s="112">
        <v>3.15</v>
      </c>
      <c r="P149" s="102"/>
      <c r="Q149" s="102"/>
      <c r="R149" s="102"/>
      <c r="S149" s="99">
        <f t="shared" si="284"/>
        <v>25.546499999999998</v>
      </c>
      <c r="T149" s="110"/>
      <c r="U149" s="91"/>
      <c r="V149" s="92"/>
      <c r="W149" s="103"/>
      <c r="X149" s="104" t="s">
        <v>20</v>
      </c>
      <c r="Y149" s="105">
        <f t="shared" si="242"/>
        <v>8.11</v>
      </c>
      <c r="Z149" s="103"/>
      <c r="AA149" s="116" t="s">
        <v>20</v>
      </c>
      <c r="AB149" s="108" t="str">
        <f t="shared" si="290"/>
        <v>cad</v>
      </c>
      <c r="AC149" s="108" t="str">
        <f t="shared" si="291"/>
        <v>cad</v>
      </c>
      <c r="AD149" s="108">
        <f t="shared" si="292"/>
        <v>3.5</v>
      </c>
      <c r="AE149" s="108">
        <f t="shared" si="293"/>
        <v>0</v>
      </c>
      <c r="AF149" s="108">
        <f t="shared" si="294"/>
        <v>3.5</v>
      </c>
      <c r="AG149" s="108">
        <f t="shared" si="295"/>
        <v>3.5</v>
      </c>
      <c r="AH149" s="103"/>
      <c r="AI149" s="92"/>
      <c r="AJ149" s="108"/>
    </row>
    <row r="150" spans="1:36" s="11" customFormat="1" ht="15.75" customHeight="1">
      <c r="A150" s="18"/>
      <c r="B150" s="111" t="s">
        <v>439</v>
      </c>
      <c r="C150" s="94" t="s">
        <v>390</v>
      </c>
      <c r="D150" s="94">
        <v>1</v>
      </c>
      <c r="E150" s="94" t="s">
        <v>57</v>
      </c>
      <c r="F150" s="95" t="s">
        <v>57</v>
      </c>
      <c r="G150" s="130">
        <v>7.92</v>
      </c>
      <c r="H150" s="97"/>
      <c r="I150" s="94">
        <f t="shared" si="288"/>
        <v>7.92</v>
      </c>
      <c r="J150" s="94">
        <f t="shared" si="289"/>
        <v>7.92</v>
      </c>
      <c r="K150" s="109"/>
      <c r="L150" s="98" t="s">
        <v>17</v>
      </c>
      <c r="M150" s="99">
        <v>1</v>
      </c>
      <c r="N150" s="113">
        <v>11.4</v>
      </c>
      <c r="O150" s="112">
        <v>2.4</v>
      </c>
      <c r="P150" s="102"/>
      <c r="Q150" s="102"/>
      <c r="R150" s="102"/>
      <c r="S150" s="99">
        <f t="shared" si="284"/>
        <v>27.36</v>
      </c>
      <c r="T150" s="110"/>
      <c r="U150" s="91"/>
      <c r="V150" s="92"/>
      <c r="W150" s="103"/>
      <c r="X150" s="104" t="s">
        <v>17</v>
      </c>
      <c r="Y150" s="105">
        <f t="shared" si="242"/>
        <v>11.4</v>
      </c>
      <c r="Z150" s="103"/>
      <c r="AA150" s="116" t="s">
        <v>20</v>
      </c>
      <c r="AB150" s="108" t="str">
        <f t="shared" si="290"/>
        <v>cad</v>
      </c>
      <c r="AC150" s="108" t="str">
        <f t="shared" si="291"/>
        <v>cad</v>
      </c>
      <c r="AD150" s="108">
        <f t="shared" si="292"/>
        <v>7.92</v>
      </c>
      <c r="AE150" s="108">
        <f t="shared" si="293"/>
        <v>0</v>
      </c>
      <c r="AF150" s="108">
        <f t="shared" si="294"/>
        <v>7.92</v>
      </c>
      <c r="AG150" s="108">
        <f t="shared" si="295"/>
        <v>7.92</v>
      </c>
      <c r="AH150" s="103"/>
      <c r="AI150" s="92"/>
      <c r="AJ150" s="108"/>
    </row>
    <row r="151" spans="1:36" s="11" customFormat="1" ht="15.75" customHeight="1">
      <c r="A151" s="18"/>
      <c r="B151" s="93" t="s">
        <v>425</v>
      </c>
      <c r="C151" s="94" t="s">
        <v>318</v>
      </c>
      <c r="D151" s="94">
        <v>1</v>
      </c>
      <c r="E151" s="94" t="s">
        <v>57</v>
      </c>
      <c r="F151" s="95" t="s">
        <v>57</v>
      </c>
      <c r="G151" s="96">
        <v>2.21</v>
      </c>
      <c r="H151" s="97"/>
      <c r="I151" s="94">
        <f t="shared" si="264"/>
        <v>2.21</v>
      </c>
      <c r="J151" s="94">
        <f t="shared" si="265"/>
        <v>2.21</v>
      </c>
      <c r="K151" s="109"/>
      <c r="L151" s="98" t="s">
        <v>18</v>
      </c>
      <c r="M151" s="99">
        <v>1</v>
      </c>
      <c r="N151" s="100">
        <v>6.05</v>
      </c>
      <c r="O151" s="101">
        <v>2.5</v>
      </c>
      <c r="P151" s="102"/>
      <c r="Q151" s="102"/>
      <c r="R151" s="102"/>
      <c r="S151" s="99">
        <f t="shared" si="284"/>
        <v>15.125</v>
      </c>
      <c r="T151" s="110"/>
      <c r="U151" s="91"/>
      <c r="V151" s="92"/>
      <c r="W151" s="103"/>
      <c r="X151" s="92" t="s">
        <v>18</v>
      </c>
      <c r="Y151" s="105">
        <f t="shared" si="242"/>
        <v>6.05</v>
      </c>
      <c r="Z151" s="103"/>
      <c r="AA151" s="119" t="s">
        <v>18</v>
      </c>
      <c r="AB151" s="108" t="str">
        <f t="shared" ref="AB151:AC153" si="296">E151</f>
        <v>cad</v>
      </c>
      <c r="AC151" s="108" t="str">
        <f t="shared" si="296"/>
        <v>cad</v>
      </c>
      <c r="AD151" s="108">
        <f t="shared" si="285"/>
        <v>2.21</v>
      </c>
      <c r="AE151" s="108"/>
      <c r="AF151" s="108">
        <f t="shared" si="286"/>
        <v>2.21</v>
      </c>
      <c r="AG151" s="108">
        <f t="shared" si="287"/>
        <v>2.21</v>
      </c>
      <c r="AH151" s="103"/>
      <c r="AI151" s="119" t="s">
        <v>17</v>
      </c>
      <c r="AJ151" s="108">
        <f t="shared" ref="AJ151:AJ152" si="297">N151*M151</f>
        <v>6.05</v>
      </c>
    </row>
    <row r="152" spans="1:36" s="11" customFormat="1" ht="15.75" customHeight="1">
      <c r="A152" s="18"/>
      <c r="B152" s="93" t="s">
        <v>422</v>
      </c>
      <c r="C152" s="94" t="s">
        <v>318</v>
      </c>
      <c r="D152" s="94">
        <v>1</v>
      </c>
      <c r="E152" s="94" t="s">
        <v>57</v>
      </c>
      <c r="F152" s="95" t="s">
        <v>57</v>
      </c>
      <c r="G152" s="96">
        <v>2.21</v>
      </c>
      <c r="H152" s="97"/>
      <c r="I152" s="94">
        <f t="shared" si="264"/>
        <v>2.21</v>
      </c>
      <c r="J152" s="94">
        <f t="shared" si="265"/>
        <v>2.21</v>
      </c>
      <c r="K152" s="109"/>
      <c r="L152" s="98" t="s">
        <v>18</v>
      </c>
      <c r="M152" s="99">
        <v>1</v>
      </c>
      <c r="N152" s="100">
        <v>6.05</v>
      </c>
      <c r="O152" s="101">
        <v>2.5</v>
      </c>
      <c r="P152" s="102"/>
      <c r="Q152" s="102"/>
      <c r="R152" s="102"/>
      <c r="S152" s="99">
        <f t="shared" si="284"/>
        <v>15.125</v>
      </c>
      <c r="T152" s="110"/>
      <c r="U152" s="91"/>
      <c r="V152" s="92"/>
      <c r="W152" s="103"/>
      <c r="X152" s="92" t="s">
        <v>18</v>
      </c>
      <c r="Y152" s="105">
        <f t="shared" si="242"/>
        <v>6.05</v>
      </c>
      <c r="Z152" s="103"/>
      <c r="AA152" s="119" t="s">
        <v>18</v>
      </c>
      <c r="AB152" s="108" t="str">
        <f t="shared" si="296"/>
        <v>cad</v>
      </c>
      <c r="AC152" s="108" t="str">
        <f t="shared" si="296"/>
        <v>cad</v>
      </c>
      <c r="AD152" s="108">
        <f t="shared" si="285"/>
        <v>2.21</v>
      </c>
      <c r="AE152" s="108">
        <f>H152</f>
        <v>0</v>
      </c>
      <c r="AF152" s="108">
        <f t="shared" si="286"/>
        <v>2.21</v>
      </c>
      <c r="AG152" s="108">
        <f t="shared" si="287"/>
        <v>2.21</v>
      </c>
      <c r="AH152" s="103"/>
      <c r="AI152" s="119" t="s">
        <v>17</v>
      </c>
      <c r="AJ152" s="108">
        <f t="shared" si="297"/>
        <v>6.05</v>
      </c>
    </row>
    <row r="153" spans="1:36" s="11" customFormat="1" ht="15.75" customHeight="1">
      <c r="A153" s="18"/>
      <c r="B153" s="93" t="s">
        <v>154</v>
      </c>
      <c r="C153" s="94" t="s">
        <v>390</v>
      </c>
      <c r="D153" s="94">
        <v>1</v>
      </c>
      <c r="E153" s="94" t="s">
        <v>57</v>
      </c>
      <c r="F153" s="95" t="s">
        <v>57</v>
      </c>
      <c r="G153" s="96">
        <v>16.079999999999998</v>
      </c>
      <c r="H153" s="97"/>
      <c r="I153" s="94">
        <f t="shared" si="264"/>
        <v>16.079999999999998</v>
      </c>
      <c r="J153" s="94">
        <f t="shared" si="265"/>
        <v>16.079999999999998</v>
      </c>
      <c r="K153" s="109"/>
      <c r="L153" s="98" t="s">
        <v>17</v>
      </c>
      <c r="M153" s="99">
        <v>1</v>
      </c>
      <c r="N153" s="100">
        <v>16.59</v>
      </c>
      <c r="O153" s="101">
        <v>2.4</v>
      </c>
      <c r="P153" s="102"/>
      <c r="Q153" s="102"/>
      <c r="R153" s="102"/>
      <c r="S153" s="99">
        <f t="shared" si="284"/>
        <v>39.815999999999995</v>
      </c>
      <c r="T153" s="110"/>
      <c r="U153" s="137"/>
      <c r="V153" s="138"/>
      <c r="W153" s="103"/>
      <c r="X153" s="104" t="s">
        <v>17</v>
      </c>
      <c r="Y153" s="105">
        <f t="shared" si="242"/>
        <v>16.59</v>
      </c>
      <c r="Z153" s="103"/>
      <c r="AA153" s="119" t="s">
        <v>17</v>
      </c>
      <c r="AB153" s="108" t="str">
        <f t="shared" si="296"/>
        <v>cad</v>
      </c>
      <c r="AC153" s="108" t="str">
        <f t="shared" si="296"/>
        <v>cad</v>
      </c>
      <c r="AD153" s="108">
        <f t="shared" si="285"/>
        <v>16.079999999999998</v>
      </c>
      <c r="AE153" s="108"/>
      <c r="AF153" s="108">
        <f t="shared" si="286"/>
        <v>16.079999999999998</v>
      </c>
      <c r="AG153" s="108">
        <f t="shared" si="287"/>
        <v>16.079999999999998</v>
      </c>
      <c r="AH153" s="103"/>
      <c r="AI153" s="119" t="s">
        <v>17</v>
      </c>
      <c r="AJ153" s="108">
        <f t="shared" ref="AJ153:AJ158" si="298">N153*M153</f>
        <v>16.59</v>
      </c>
    </row>
    <row r="154" spans="1:36" s="11" customFormat="1" ht="15.75" customHeight="1">
      <c r="A154" s="18"/>
      <c r="B154" s="93" t="s">
        <v>218</v>
      </c>
      <c r="C154" s="94" t="s">
        <v>390</v>
      </c>
      <c r="D154" s="94">
        <v>1</v>
      </c>
      <c r="E154" s="94" t="s">
        <v>57</v>
      </c>
      <c r="F154" s="95" t="s">
        <v>57</v>
      </c>
      <c r="G154" s="96">
        <v>31.41</v>
      </c>
      <c r="H154" s="97"/>
      <c r="I154" s="94">
        <f t="shared" ref="I154" si="299">(G154-H154)</f>
        <v>31.41</v>
      </c>
      <c r="J154" s="94">
        <f t="shared" ref="J154" si="300">I154*D154</f>
        <v>31.41</v>
      </c>
      <c r="K154" s="109"/>
      <c r="L154" s="98" t="s">
        <v>17</v>
      </c>
      <c r="M154" s="99">
        <v>1</v>
      </c>
      <c r="N154" s="100">
        <f>41.45-1.08</f>
        <v>40.370000000000005</v>
      </c>
      <c r="O154" s="101">
        <v>2.2000000000000002</v>
      </c>
      <c r="P154" s="102"/>
      <c r="Q154" s="102"/>
      <c r="R154" s="102"/>
      <c r="S154" s="99">
        <f t="shared" ref="S154:S155" si="301">(N154*O154-P154)*M154</f>
        <v>88.814000000000021</v>
      </c>
      <c r="T154" s="110"/>
      <c r="U154" s="91" t="s">
        <v>357</v>
      </c>
      <c r="V154" s="92">
        <f>N154*M154</f>
        <v>40.370000000000005</v>
      </c>
      <c r="W154" s="103"/>
      <c r="X154" s="104" t="s">
        <v>17</v>
      </c>
      <c r="Y154" s="105">
        <f t="shared" si="242"/>
        <v>40.370000000000005</v>
      </c>
      <c r="Z154" s="103"/>
      <c r="AA154" s="119" t="s">
        <v>17</v>
      </c>
      <c r="AB154" s="108" t="str">
        <f t="shared" ref="AB154:AB163" si="302">E154</f>
        <v>cad</v>
      </c>
      <c r="AC154" s="108" t="str">
        <f t="shared" ref="AC154:AC163" si="303">F154</f>
        <v>cad</v>
      </c>
      <c r="AD154" s="108">
        <f t="shared" ref="AD154:AD155" si="304">G154</f>
        <v>31.41</v>
      </c>
      <c r="AE154" s="108">
        <f>H154</f>
        <v>0</v>
      </c>
      <c r="AF154" s="108">
        <f t="shared" ref="AF154" si="305">I154</f>
        <v>31.41</v>
      </c>
      <c r="AG154" s="108">
        <f t="shared" ref="AG154" si="306">J154</f>
        <v>31.41</v>
      </c>
      <c r="AH154" s="103"/>
      <c r="AI154" s="119" t="s">
        <v>17</v>
      </c>
      <c r="AJ154" s="108">
        <f t="shared" si="298"/>
        <v>40.370000000000005</v>
      </c>
    </row>
    <row r="155" spans="1:36" s="11" customFormat="1" ht="15.75" customHeight="1">
      <c r="A155" s="18"/>
      <c r="B155" s="93" t="s">
        <v>412</v>
      </c>
      <c r="C155" s="94" t="s">
        <v>318</v>
      </c>
      <c r="D155" s="94">
        <v>2</v>
      </c>
      <c r="E155" s="94" t="s">
        <v>57</v>
      </c>
      <c r="F155" s="95" t="s">
        <v>57</v>
      </c>
      <c r="G155" s="131">
        <v>2.1</v>
      </c>
      <c r="H155" s="97"/>
      <c r="I155" s="94">
        <f t="shared" ref="I155" si="307">(G155-H155)</f>
        <v>2.1</v>
      </c>
      <c r="J155" s="94">
        <f t="shared" ref="J155" si="308">I155*D155</f>
        <v>4.2</v>
      </c>
      <c r="K155" s="109"/>
      <c r="L155" s="98" t="s">
        <v>18</v>
      </c>
      <c r="M155" s="99">
        <v>2</v>
      </c>
      <c r="N155" s="100">
        <v>5.8</v>
      </c>
      <c r="O155" s="101">
        <v>2.2999999999999998</v>
      </c>
      <c r="P155" s="102"/>
      <c r="Q155" s="102"/>
      <c r="R155" s="102"/>
      <c r="S155" s="99">
        <f t="shared" si="301"/>
        <v>26.679999999999996</v>
      </c>
      <c r="T155" s="110"/>
      <c r="U155" s="91"/>
      <c r="V155" s="92"/>
      <c r="W155" s="103"/>
      <c r="X155" s="92" t="s">
        <v>18</v>
      </c>
      <c r="Y155" s="105">
        <f t="shared" si="242"/>
        <v>11.6</v>
      </c>
      <c r="Z155" s="103"/>
      <c r="AA155" s="119" t="s">
        <v>18</v>
      </c>
      <c r="AB155" s="108" t="str">
        <f t="shared" si="302"/>
        <v>cad</v>
      </c>
      <c r="AC155" s="108" t="str">
        <f t="shared" si="303"/>
        <v>cad</v>
      </c>
      <c r="AD155" s="108">
        <f t="shared" si="304"/>
        <v>2.1</v>
      </c>
      <c r="AE155" s="108"/>
      <c r="AF155" s="108">
        <f t="shared" ref="AF155" si="309">I155</f>
        <v>2.1</v>
      </c>
      <c r="AG155" s="108">
        <f t="shared" ref="AG155" si="310">J155</f>
        <v>4.2</v>
      </c>
      <c r="AH155" s="103"/>
      <c r="AI155" s="119" t="s">
        <v>17</v>
      </c>
      <c r="AJ155" s="108">
        <f t="shared" si="298"/>
        <v>11.6</v>
      </c>
    </row>
    <row r="156" spans="1:36" s="11" customFormat="1" ht="15.75" customHeight="1">
      <c r="A156" s="18"/>
      <c r="B156" s="93" t="s">
        <v>317</v>
      </c>
      <c r="C156" s="94" t="s">
        <v>390</v>
      </c>
      <c r="D156" s="94">
        <v>1</v>
      </c>
      <c r="E156" s="94" t="s">
        <v>57</v>
      </c>
      <c r="F156" s="95" t="s">
        <v>57</v>
      </c>
      <c r="G156" s="96">
        <v>15.38</v>
      </c>
      <c r="H156" s="97"/>
      <c r="I156" s="94">
        <f t="shared" si="264"/>
        <v>15.38</v>
      </c>
      <c r="J156" s="94">
        <f t="shared" si="265"/>
        <v>15.38</v>
      </c>
      <c r="K156" s="109"/>
      <c r="L156" s="98" t="s">
        <v>17</v>
      </c>
      <c r="M156" s="99">
        <v>1</v>
      </c>
      <c r="N156" s="100">
        <f>18.39-3.02</f>
        <v>15.370000000000001</v>
      </c>
      <c r="O156" s="101">
        <v>2.5</v>
      </c>
      <c r="P156" s="102"/>
      <c r="Q156" s="102"/>
      <c r="R156" s="102"/>
      <c r="S156" s="99">
        <f t="shared" si="284"/>
        <v>38.425000000000004</v>
      </c>
      <c r="T156" s="110"/>
      <c r="U156" s="91" t="s">
        <v>357</v>
      </c>
      <c r="V156" s="92">
        <f>N156*M156</f>
        <v>15.370000000000001</v>
      </c>
      <c r="W156" s="103"/>
      <c r="X156" s="104" t="s">
        <v>17</v>
      </c>
      <c r="Y156" s="105">
        <f t="shared" si="242"/>
        <v>15.370000000000001</v>
      </c>
      <c r="Z156" s="103"/>
      <c r="AA156" s="119" t="s">
        <v>18</v>
      </c>
      <c r="AB156" s="108" t="str">
        <f t="shared" si="302"/>
        <v>cad</v>
      </c>
      <c r="AC156" s="108" t="str">
        <f t="shared" si="303"/>
        <v>cad</v>
      </c>
      <c r="AD156" s="108">
        <f t="shared" si="285"/>
        <v>15.38</v>
      </c>
      <c r="AE156" s="108">
        <f>H156</f>
        <v>0</v>
      </c>
      <c r="AF156" s="108">
        <f t="shared" si="286"/>
        <v>15.38</v>
      </c>
      <c r="AG156" s="108">
        <f t="shared" si="287"/>
        <v>15.38</v>
      </c>
      <c r="AH156" s="103"/>
      <c r="AI156" s="119" t="s">
        <v>17</v>
      </c>
      <c r="AJ156" s="108">
        <f t="shared" si="298"/>
        <v>15.370000000000001</v>
      </c>
    </row>
    <row r="157" spans="1:36" s="11" customFormat="1" ht="15.75" customHeight="1">
      <c r="A157" s="18"/>
      <c r="B157" s="111" t="s">
        <v>413</v>
      </c>
      <c r="C157" s="94" t="s">
        <v>390</v>
      </c>
      <c r="D157" s="94">
        <v>1</v>
      </c>
      <c r="E157" s="94" t="s">
        <v>57</v>
      </c>
      <c r="F157" s="95" t="s">
        <v>57</v>
      </c>
      <c r="G157" s="130">
        <v>4.93</v>
      </c>
      <c r="H157" s="97"/>
      <c r="I157" s="94">
        <f t="shared" si="264"/>
        <v>4.93</v>
      </c>
      <c r="J157" s="94">
        <f t="shared" si="265"/>
        <v>4.93</v>
      </c>
      <c r="K157" s="109"/>
      <c r="L157" s="98" t="s">
        <v>17</v>
      </c>
      <c r="M157" s="99">
        <v>1</v>
      </c>
      <c r="N157" s="113">
        <v>9.08</v>
      </c>
      <c r="O157" s="112">
        <v>2.2000000000000002</v>
      </c>
      <c r="P157" s="102"/>
      <c r="Q157" s="102"/>
      <c r="R157" s="102"/>
      <c r="S157" s="99">
        <f t="shared" si="284"/>
        <v>19.976000000000003</v>
      </c>
      <c r="T157" s="110"/>
      <c r="U157" s="91"/>
      <c r="V157" s="92"/>
      <c r="W157" s="103"/>
      <c r="X157" s="104" t="s">
        <v>17</v>
      </c>
      <c r="Y157" s="105">
        <f t="shared" si="242"/>
        <v>9.08</v>
      </c>
      <c r="Z157" s="103"/>
      <c r="AA157" s="116" t="s">
        <v>17</v>
      </c>
      <c r="AB157" s="108" t="str">
        <f t="shared" si="302"/>
        <v>cad</v>
      </c>
      <c r="AC157" s="108" t="str">
        <f t="shared" si="303"/>
        <v>cad</v>
      </c>
      <c r="AD157" s="108">
        <f t="shared" si="285"/>
        <v>4.93</v>
      </c>
      <c r="AE157" s="108"/>
      <c r="AF157" s="108">
        <f t="shared" si="286"/>
        <v>4.93</v>
      </c>
      <c r="AG157" s="108">
        <f t="shared" si="287"/>
        <v>4.93</v>
      </c>
      <c r="AH157" s="103"/>
      <c r="AI157" s="116" t="s">
        <v>17</v>
      </c>
      <c r="AJ157" s="108">
        <f t="shared" si="298"/>
        <v>9.08</v>
      </c>
    </row>
    <row r="158" spans="1:36" s="11" customFormat="1" ht="15.75" customHeight="1">
      <c r="A158" s="18"/>
      <c r="B158" s="111" t="s">
        <v>165</v>
      </c>
      <c r="C158" s="94" t="s">
        <v>390</v>
      </c>
      <c r="D158" s="94">
        <v>1</v>
      </c>
      <c r="E158" s="94" t="s">
        <v>57</v>
      </c>
      <c r="F158" s="95" t="s">
        <v>57</v>
      </c>
      <c r="G158" s="130">
        <v>3.55</v>
      </c>
      <c r="H158" s="97"/>
      <c r="I158" s="94">
        <f t="shared" si="264"/>
        <v>3.55</v>
      </c>
      <c r="J158" s="94">
        <f t="shared" si="265"/>
        <v>3.55</v>
      </c>
      <c r="K158" s="109"/>
      <c r="L158" s="98" t="s">
        <v>17</v>
      </c>
      <c r="M158" s="99">
        <v>1</v>
      </c>
      <c r="N158" s="113">
        <v>8.0500000000000007</v>
      </c>
      <c r="O158" s="112">
        <v>2.2000000000000002</v>
      </c>
      <c r="P158" s="102"/>
      <c r="Q158" s="102"/>
      <c r="R158" s="102"/>
      <c r="S158" s="99">
        <f t="shared" si="284"/>
        <v>17.710000000000004</v>
      </c>
      <c r="T158" s="110"/>
      <c r="U158" s="91"/>
      <c r="V158" s="92"/>
      <c r="W158" s="103"/>
      <c r="X158" s="104" t="s">
        <v>17</v>
      </c>
      <c r="Y158" s="105">
        <f t="shared" si="242"/>
        <v>8.0500000000000007</v>
      </c>
      <c r="Z158" s="103"/>
      <c r="AA158" s="116" t="s">
        <v>17</v>
      </c>
      <c r="AB158" s="108" t="str">
        <f t="shared" si="302"/>
        <v>cad</v>
      </c>
      <c r="AC158" s="108" t="str">
        <f t="shared" si="303"/>
        <v>cad</v>
      </c>
      <c r="AD158" s="108">
        <f t="shared" si="285"/>
        <v>3.55</v>
      </c>
      <c r="AE158" s="108"/>
      <c r="AF158" s="108">
        <f t="shared" si="286"/>
        <v>3.55</v>
      </c>
      <c r="AG158" s="108">
        <f t="shared" si="287"/>
        <v>3.55</v>
      </c>
      <c r="AH158" s="103"/>
      <c r="AI158" s="116" t="s">
        <v>17</v>
      </c>
      <c r="AJ158" s="108">
        <f t="shared" si="298"/>
        <v>8.0500000000000007</v>
      </c>
    </row>
    <row r="159" spans="1:36" s="11" customFormat="1" ht="15.75" customHeight="1">
      <c r="A159" s="18"/>
      <c r="B159" s="93" t="s">
        <v>69</v>
      </c>
      <c r="C159" s="94" t="s">
        <v>246</v>
      </c>
      <c r="D159" s="94">
        <v>1</v>
      </c>
      <c r="E159" s="94" t="s">
        <v>57</v>
      </c>
      <c r="F159" s="95" t="s">
        <v>57</v>
      </c>
      <c r="G159" s="96">
        <v>16.48</v>
      </c>
      <c r="H159" s="97"/>
      <c r="I159" s="94">
        <f t="shared" si="264"/>
        <v>16.48</v>
      </c>
      <c r="J159" s="94">
        <f t="shared" si="265"/>
        <v>16.48</v>
      </c>
      <c r="K159" s="109"/>
      <c r="L159" s="98" t="s">
        <v>24</v>
      </c>
      <c r="M159" s="99">
        <v>1</v>
      </c>
      <c r="N159" s="100">
        <v>10.4</v>
      </c>
      <c r="O159" s="101">
        <v>3.19</v>
      </c>
      <c r="P159" s="102"/>
      <c r="Q159" s="102"/>
      <c r="R159" s="102"/>
      <c r="S159" s="99">
        <f t="shared" si="284"/>
        <v>33.176000000000002</v>
      </c>
      <c r="T159" s="110"/>
      <c r="U159" s="91" t="s">
        <v>357</v>
      </c>
      <c r="V159" s="92">
        <f>N159*M159</f>
        <v>10.4</v>
      </c>
      <c r="W159" s="103"/>
      <c r="X159" s="104" t="s">
        <v>20</v>
      </c>
      <c r="Y159" s="105">
        <f t="shared" si="242"/>
        <v>10.4</v>
      </c>
      <c r="Z159" s="103"/>
      <c r="AA159" s="119" t="s">
        <v>20</v>
      </c>
      <c r="AB159" s="108" t="str">
        <f t="shared" si="302"/>
        <v>cad</v>
      </c>
      <c r="AC159" s="108" t="str">
        <f t="shared" si="303"/>
        <v>cad</v>
      </c>
      <c r="AD159" s="108">
        <f t="shared" si="285"/>
        <v>16.48</v>
      </c>
      <c r="AE159" s="108"/>
      <c r="AF159" s="108">
        <f t="shared" si="286"/>
        <v>16.48</v>
      </c>
      <c r="AG159" s="108">
        <f t="shared" si="287"/>
        <v>16.48</v>
      </c>
      <c r="AH159" s="103"/>
      <c r="AI159" s="92"/>
      <c r="AJ159" s="108"/>
    </row>
    <row r="160" spans="1:36" s="11" customFormat="1" ht="15.75" customHeight="1">
      <c r="A160" s="18"/>
      <c r="B160" s="111" t="s">
        <v>430</v>
      </c>
      <c r="C160" s="94" t="s">
        <v>246</v>
      </c>
      <c r="D160" s="94">
        <v>1</v>
      </c>
      <c r="E160" s="94" t="s">
        <v>57</v>
      </c>
      <c r="F160" s="95" t="s">
        <v>57</v>
      </c>
      <c r="G160" s="132">
        <v>33.6</v>
      </c>
      <c r="H160" s="97"/>
      <c r="I160" s="94">
        <f t="shared" ref="I160:I161" si="311">(G160-H160)</f>
        <v>33.6</v>
      </c>
      <c r="J160" s="94">
        <f t="shared" ref="J160:J161" si="312">I160*D160</f>
        <v>33.6</v>
      </c>
      <c r="K160" s="109"/>
      <c r="L160" s="98" t="s">
        <v>24</v>
      </c>
      <c r="M160" s="99">
        <v>1</v>
      </c>
      <c r="N160" s="113">
        <v>23.6</v>
      </c>
      <c r="O160" s="112">
        <v>3.19</v>
      </c>
      <c r="P160" s="102"/>
      <c r="Q160" s="102"/>
      <c r="R160" s="102"/>
      <c r="S160" s="99">
        <f t="shared" si="284"/>
        <v>75.284000000000006</v>
      </c>
      <c r="T160" s="110"/>
      <c r="U160" s="91"/>
      <c r="V160" s="92"/>
      <c r="W160" s="103"/>
      <c r="X160" s="104" t="s">
        <v>20</v>
      </c>
      <c r="Y160" s="105">
        <f t="shared" si="242"/>
        <v>23.6</v>
      </c>
      <c r="Z160" s="103"/>
      <c r="AA160" s="116" t="s">
        <v>20</v>
      </c>
      <c r="AB160" s="108" t="str">
        <f t="shared" si="302"/>
        <v>cad</v>
      </c>
      <c r="AC160" s="108" t="str">
        <f t="shared" si="303"/>
        <v>cad</v>
      </c>
      <c r="AD160" s="108">
        <f t="shared" ref="AD160:AD163" si="313">G160</f>
        <v>33.6</v>
      </c>
      <c r="AE160" s="108"/>
      <c r="AF160" s="108">
        <f t="shared" ref="AF160:AF163" si="314">I160</f>
        <v>33.6</v>
      </c>
      <c r="AG160" s="108">
        <f t="shared" ref="AG160:AG163" si="315">J160</f>
        <v>33.6</v>
      </c>
      <c r="AH160" s="103"/>
      <c r="AI160" s="92"/>
      <c r="AJ160" s="108"/>
    </row>
    <row r="161" spans="1:41" s="11" customFormat="1" ht="15.75" customHeight="1">
      <c r="A161" s="18"/>
      <c r="B161" s="111" t="s">
        <v>431</v>
      </c>
      <c r="C161" s="94" t="s">
        <v>246</v>
      </c>
      <c r="D161" s="94">
        <v>1</v>
      </c>
      <c r="E161" s="94" t="s">
        <v>57</v>
      </c>
      <c r="F161" s="95" t="s">
        <v>57</v>
      </c>
      <c r="G161" s="132">
        <v>33.6</v>
      </c>
      <c r="H161" s="97"/>
      <c r="I161" s="94">
        <f t="shared" si="311"/>
        <v>33.6</v>
      </c>
      <c r="J161" s="94">
        <f t="shared" si="312"/>
        <v>33.6</v>
      </c>
      <c r="K161" s="109"/>
      <c r="L161" s="98" t="s">
        <v>24</v>
      </c>
      <c r="M161" s="99">
        <v>1</v>
      </c>
      <c r="N161" s="113">
        <v>23.6</v>
      </c>
      <c r="O161" s="112">
        <v>3.19</v>
      </c>
      <c r="P161" s="102"/>
      <c r="Q161" s="102"/>
      <c r="R161" s="102"/>
      <c r="S161" s="99">
        <f t="shared" si="284"/>
        <v>75.284000000000006</v>
      </c>
      <c r="T161" s="110"/>
      <c r="U161" s="91"/>
      <c r="V161" s="92"/>
      <c r="W161" s="103"/>
      <c r="X161" s="104" t="s">
        <v>20</v>
      </c>
      <c r="Y161" s="105">
        <f t="shared" si="242"/>
        <v>23.6</v>
      </c>
      <c r="Z161" s="103"/>
      <c r="AA161" s="116" t="s">
        <v>20</v>
      </c>
      <c r="AB161" s="108" t="str">
        <f t="shared" si="302"/>
        <v>cad</v>
      </c>
      <c r="AC161" s="108" t="str">
        <f t="shared" si="303"/>
        <v>cad</v>
      </c>
      <c r="AD161" s="108">
        <f t="shared" si="313"/>
        <v>33.6</v>
      </c>
      <c r="AE161" s="108"/>
      <c r="AF161" s="108">
        <f t="shared" si="314"/>
        <v>33.6</v>
      </c>
      <c r="AG161" s="108">
        <f t="shared" si="315"/>
        <v>33.6</v>
      </c>
      <c r="AH161" s="103"/>
      <c r="AI161" s="92"/>
      <c r="AJ161" s="108"/>
    </row>
    <row r="162" spans="1:41" s="11" customFormat="1" ht="15.75" customHeight="1">
      <c r="A162" s="18"/>
      <c r="B162" s="111" t="s">
        <v>440</v>
      </c>
      <c r="C162" s="94" t="s">
        <v>246</v>
      </c>
      <c r="D162" s="94">
        <v>1</v>
      </c>
      <c r="E162" s="94" t="s">
        <v>57</v>
      </c>
      <c r="F162" s="95" t="s">
        <v>57</v>
      </c>
      <c r="G162" s="132">
        <v>9.6</v>
      </c>
      <c r="H162" s="97"/>
      <c r="I162" s="94">
        <f t="shared" ref="I162" si="316">(G162-H162)</f>
        <v>9.6</v>
      </c>
      <c r="J162" s="94">
        <f t="shared" ref="J162" si="317">I162*D162</f>
        <v>9.6</v>
      </c>
      <c r="K162" s="109"/>
      <c r="L162" s="98" t="s">
        <v>24</v>
      </c>
      <c r="M162" s="99">
        <v>1</v>
      </c>
      <c r="N162" s="113">
        <v>15.8</v>
      </c>
      <c r="O162" s="112">
        <v>3.19</v>
      </c>
      <c r="P162" s="102"/>
      <c r="Q162" s="102"/>
      <c r="R162" s="102"/>
      <c r="S162" s="99">
        <f t="shared" si="284"/>
        <v>50.402000000000001</v>
      </c>
      <c r="T162" s="110"/>
      <c r="U162" s="91"/>
      <c r="V162" s="92"/>
      <c r="W162" s="103"/>
      <c r="X162" s="104" t="s">
        <v>20</v>
      </c>
      <c r="Y162" s="105">
        <f t="shared" si="242"/>
        <v>15.8</v>
      </c>
      <c r="Z162" s="103"/>
      <c r="AA162" s="116" t="s">
        <v>20</v>
      </c>
      <c r="AB162" s="108" t="str">
        <f t="shared" si="302"/>
        <v>cad</v>
      </c>
      <c r="AC162" s="108" t="str">
        <f t="shared" si="303"/>
        <v>cad</v>
      </c>
      <c r="AD162" s="108">
        <f t="shared" si="313"/>
        <v>9.6</v>
      </c>
      <c r="AE162" s="108"/>
      <c r="AF162" s="108">
        <f t="shared" si="314"/>
        <v>9.6</v>
      </c>
      <c r="AG162" s="108">
        <f t="shared" si="315"/>
        <v>9.6</v>
      </c>
      <c r="AH162" s="103"/>
      <c r="AI162" s="92"/>
      <c r="AJ162" s="108"/>
    </row>
    <row r="163" spans="1:41" s="11" customFormat="1" ht="15.75" customHeight="1">
      <c r="A163" s="18"/>
      <c r="B163" s="111" t="s">
        <v>432</v>
      </c>
      <c r="C163" s="94" t="s">
        <v>246</v>
      </c>
      <c r="D163" s="94">
        <v>1</v>
      </c>
      <c r="E163" s="94" t="s">
        <v>57</v>
      </c>
      <c r="F163" s="95" t="s">
        <v>57</v>
      </c>
      <c r="G163" s="130">
        <v>29.25</v>
      </c>
      <c r="H163" s="97"/>
      <c r="I163" s="94">
        <f t="shared" ref="I163" si="318">(G163-H163)</f>
        <v>29.25</v>
      </c>
      <c r="J163" s="94">
        <f t="shared" ref="J163" si="319">I163*D163</f>
        <v>29.25</v>
      </c>
      <c r="K163" s="109"/>
      <c r="L163" s="98" t="s">
        <v>24</v>
      </c>
      <c r="M163" s="99">
        <v>1</v>
      </c>
      <c r="N163" s="113">
        <v>91.14</v>
      </c>
      <c r="O163" s="112">
        <v>3.19</v>
      </c>
      <c r="P163" s="102"/>
      <c r="Q163" s="102"/>
      <c r="R163" s="102"/>
      <c r="S163" s="99">
        <f t="shared" si="284"/>
        <v>290.73660000000001</v>
      </c>
      <c r="T163" s="110"/>
      <c r="U163" s="91"/>
      <c r="V163" s="92"/>
      <c r="W163" s="103"/>
      <c r="X163" s="104" t="s">
        <v>20</v>
      </c>
      <c r="Y163" s="105">
        <f t="shared" si="242"/>
        <v>91.14</v>
      </c>
      <c r="Z163" s="103"/>
      <c r="AA163" s="116" t="s">
        <v>20</v>
      </c>
      <c r="AB163" s="108" t="str">
        <f t="shared" si="302"/>
        <v>cad</v>
      </c>
      <c r="AC163" s="108" t="str">
        <f t="shared" si="303"/>
        <v>cad</v>
      </c>
      <c r="AD163" s="108">
        <f t="shared" si="313"/>
        <v>29.25</v>
      </c>
      <c r="AE163" s="108"/>
      <c r="AF163" s="108">
        <f t="shared" si="314"/>
        <v>29.25</v>
      </c>
      <c r="AG163" s="108">
        <f t="shared" si="315"/>
        <v>29.25</v>
      </c>
      <c r="AH163" s="103"/>
      <c r="AI163" s="92"/>
      <c r="AJ163" s="108"/>
    </row>
    <row r="164" spans="1:41" s="11" customFormat="1" ht="15.75" customHeight="1">
      <c r="A164" s="18"/>
      <c r="B164" s="93" t="s">
        <v>315</v>
      </c>
      <c r="C164" s="94" t="s">
        <v>318</v>
      </c>
      <c r="D164" s="94">
        <v>1</v>
      </c>
      <c r="E164" s="94" t="s">
        <v>57</v>
      </c>
      <c r="F164" s="95" t="s">
        <v>57</v>
      </c>
      <c r="G164" s="101">
        <v>2.75</v>
      </c>
      <c r="H164" s="97"/>
      <c r="I164" s="94">
        <f t="shared" si="264"/>
        <v>2.75</v>
      </c>
      <c r="J164" s="94">
        <f t="shared" si="265"/>
        <v>2.75</v>
      </c>
      <c r="K164" s="109"/>
      <c r="L164" s="98" t="s">
        <v>18</v>
      </c>
      <c r="M164" s="99">
        <v>1</v>
      </c>
      <c r="N164" s="100">
        <v>6.9</v>
      </c>
      <c r="O164" s="101">
        <v>2.4</v>
      </c>
      <c r="P164" s="102"/>
      <c r="Q164" s="102"/>
      <c r="R164" s="102"/>
      <c r="S164" s="99">
        <f t="shared" si="284"/>
        <v>16.559999999999999</v>
      </c>
      <c r="T164" s="110"/>
      <c r="U164" s="91"/>
      <c r="V164" s="92"/>
      <c r="W164" s="103"/>
      <c r="X164" s="92" t="s">
        <v>18</v>
      </c>
      <c r="Y164" s="105">
        <f t="shared" si="242"/>
        <v>6.9</v>
      </c>
      <c r="Z164" s="103"/>
      <c r="AA164" s="119" t="s">
        <v>18</v>
      </c>
      <c r="AB164" s="108" t="str">
        <f t="shared" ref="AB164:AC166" si="320">E164</f>
        <v>cad</v>
      </c>
      <c r="AC164" s="108" t="str">
        <f t="shared" si="320"/>
        <v>cad</v>
      </c>
      <c r="AD164" s="108">
        <f t="shared" si="285"/>
        <v>2.75</v>
      </c>
      <c r="AE164" s="108"/>
      <c r="AF164" s="108">
        <f t="shared" si="286"/>
        <v>2.75</v>
      </c>
      <c r="AG164" s="108">
        <f t="shared" si="287"/>
        <v>2.75</v>
      </c>
      <c r="AH164" s="103"/>
      <c r="AI164" s="119" t="s">
        <v>17</v>
      </c>
      <c r="AJ164" s="108">
        <f t="shared" ref="AJ164:AJ166" si="321">N164*M164</f>
        <v>6.9</v>
      </c>
    </row>
    <row r="165" spans="1:41" s="11" customFormat="1" ht="15.75" customHeight="1">
      <c r="A165" s="18"/>
      <c r="B165" s="93" t="s">
        <v>379</v>
      </c>
      <c r="C165" s="94" t="s">
        <v>318</v>
      </c>
      <c r="D165" s="94">
        <v>1</v>
      </c>
      <c r="E165" s="94" t="s">
        <v>57</v>
      </c>
      <c r="F165" s="95" t="s">
        <v>57</v>
      </c>
      <c r="G165" s="101">
        <v>2.75</v>
      </c>
      <c r="H165" s="97"/>
      <c r="I165" s="94">
        <f t="shared" si="264"/>
        <v>2.75</v>
      </c>
      <c r="J165" s="94">
        <f t="shared" si="265"/>
        <v>2.75</v>
      </c>
      <c r="K165" s="109"/>
      <c r="L165" s="98" t="s">
        <v>18</v>
      </c>
      <c r="M165" s="99">
        <v>1</v>
      </c>
      <c r="N165" s="100">
        <v>6.9</v>
      </c>
      <c r="O165" s="101">
        <v>2.4</v>
      </c>
      <c r="P165" s="102"/>
      <c r="Q165" s="102"/>
      <c r="R165" s="102"/>
      <c r="S165" s="99">
        <f t="shared" si="284"/>
        <v>16.559999999999999</v>
      </c>
      <c r="T165" s="110"/>
      <c r="U165" s="91"/>
      <c r="V165" s="92"/>
      <c r="W165" s="103"/>
      <c r="X165" s="92" t="s">
        <v>18</v>
      </c>
      <c r="Y165" s="105">
        <f t="shared" si="242"/>
        <v>6.9</v>
      </c>
      <c r="Z165" s="103"/>
      <c r="AA165" s="119" t="s">
        <v>18</v>
      </c>
      <c r="AB165" s="108" t="str">
        <f t="shared" si="320"/>
        <v>cad</v>
      </c>
      <c r="AC165" s="108" t="str">
        <f t="shared" si="320"/>
        <v>cad</v>
      </c>
      <c r="AD165" s="108">
        <f t="shared" si="285"/>
        <v>2.75</v>
      </c>
      <c r="AE165" s="108"/>
      <c r="AF165" s="108">
        <f t="shared" si="286"/>
        <v>2.75</v>
      </c>
      <c r="AG165" s="108">
        <f t="shared" si="287"/>
        <v>2.75</v>
      </c>
      <c r="AH165" s="103"/>
      <c r="AI165" s="119" t="s">
        <v>17</v>
      </c>
      <c r="AJ165" s="108">
        <f t="shared" si="321"/>
        <v>6.9</v>
      </c>
    </row>
    <row r="166" spans="1:41" s="11" customFormat="1" ht="15.75" customHeight="1">
      <c r="A166" s="18"/>
      <c r="B166" s="93" t="s">
        <v>314</v>
      </c>
      <c r="C166" s="94" t="s">
        <v>249</v>
      </c>
      <c r="D166" s="94">
        <v>1</v>
      </c>
      <c r="E166" s="94" t="s">
        <v>57</v>
      </c>
      <c r="F166" s="95" t="s">
        <v>57</v>
      </c>
      <c r="G166" s="101">
        <v>2.64</v>
      </c>
      <c r="H166" s="97"/>
      <c r="I166" s="94">
        <f t="shared" si="264"/>
        <v>2.64</v>
      </c>
      <c r="J166" s="94">
        <f>I166*D166</f>
        <v>2.64</v>
      </c>
      <c r="K166" s="109"/>
      <c r="L166" s="97" t="s">
        <v>20</v>
      </c>
      <c r="M166" s="99">
        <v>1</v>
      </c>
      <c r="N166" s="100">
        <v>6.8</v>
      </c>
      <c r="O166" s="101">
        <v>2.4</v>
      </c>
      <c r="P166" s="102"/>
      <c r="Q166" s="102"/>
      <c r="R166" s="102"/>
      <c r="S166" s="99">
        <f t="shared" si="284"/>
        <v>16.32</v>
      </c>
      <c r="T166" s="110"/>
      <c r="U166" s="91"/>
      <c r="V166" s="92"/>
      <c r="W166" s="103"/>
      <c r="X166" s="92"/>
      <c r="Y166" s="105"/>
      <c r="Z166" s="103"/>
      <c r="AA166" s="119" t="s">
        <v>18</v>
      </c>
      <c r="AB166" s="108" t="str">
        <f t="shared" si="320"/>
        <v>cad</v>
      </c>
      <c r="AC166" s="108" t="str">
        <f t="shared" si="320"/>
        <v>cad</v>
      </c>
      <c r="AD166" s="108">
        <f t="shared" si="285"/>
        <v>2.64</v>
      </c>
      <c r="AE166" s="108">
        <f>H166</f>
        <v>0</v>
      </c>
      <c r="AF166" s="108">
        <f t="shared" si="286"/>
        <v>2.64</v>
      </c>
      <c r="AG166" s="108">
        <f t="shared" si="287"/>
        <v>2.64</v>
      </c>
      <c r="AH166" s="103"/>
      <c r="AI166" s="119" t="s">
        <v>17</v>
      </c>
      <c r="AJ166" s="108">
        <f t="shared" si="321"/>
        <v>6.8</v>
      </c>
    </row>
    <row r="167" spans="1:41" s="11" customFormat="1" ht="15.75" customHeight="1">
      <c r="A167" s="18"/>
      <c r="B167" s="90"/>
      <c r="C167" s="89"/>
      <c r="D167" s="89"/>
      <c r="E167" s="89"/>
      <c r="F167" s="150"/>
      <c r="G167" s="109"/>
      <c r="H167" s="89"/>
      <c r="I167" s="89"/>
      <c r="J167" s="151">
        <f>SUM(J12:J166)</f>
        <v>2452.6299999999992</v>
      </c>
      <c r="K167" s="89"/>
      <c r="L167" s="89"/>
      <c r="M167" s="109"/>
      <c r="N167" s="152"/>
      <c r="O167" s="133"/>
      <c r="P167" s="153"/>
      <c r="Q167" s="154"/>
      <c r="R167" s="80"/>
      <c r="S167" s="151">
        <f>SUM(S12:S166)</f>
        <v>6373.0080999999982</v>
      </c>
      <c r="T167" s="90"/>
      <c r="U167" s="155"/>
      <c r="V167" s="155"/>
      <c r="W167" s="103"/>
      <c r="X167" s="103"/>
      <c r="Y167" s="156">
        <f>SUM(Y12:Y166)</f>
        <v>2030.5300000000004</v>
      </c>
      <c r="Z167" s="157"/>
      <c r="AA167" s="85"/>
      <c r="AB167" s="85"/>
      <c r="AC167" s="85"/>
      <c r="AD167" s="85"/>
      <c r="AE167" s="85"/>
      <c r="AF167" s="85"/>
      <c r="AG167" s="158">
        <f>SUM(AG12:AG166)</f>
        <v>2518.8499999999995</v>
      </c>
      <c r="AH167" s="85"/>
      <c r="AI167" s="85"/>
      <c r="AJ167" s="158">
        <f>SUM(AJ16:AJ25,AJ28,AJ32,AJ33:AJ35,AJ36,AJ37:AJ38,AJ39,AJ40:AJ45,AJ52:AJ57,AJ58:AJ59,AJ60:AJ63,AJ66:AJ67,AJ68:AJ69,AJ71:AJ73,AJ74:AJ108,AJ109:AJ114,AJ115,AJ116:AJ125,AJ126,AJ129,AJ132:AJ143,AJ147,AJ151:AJ152,AJ153:AJ166)</f>
        <v>1702.0300000000002</v>
      </c>
    </row>
    <row r="168" spans="1:41" ht="15.75" customHeight="1">
      <c r="B168" s="227" t="s">
        <v>5</v>
      </c>
      <c r="C168" s="80"/>
      <c r="D168" s="80"/>
      <c r="E168" s="80"/>
      <c r="F168" s="188"/>
      <c r="G168" s="80"/>
      <c r="H168" s="80"/>
      <c r="I168" s="80"/>
      <c r="J168" s="210"/>
      <c r="K168" s="80"/>
      <c r="L168" s="80"/>
      <c r="M168" s="133"/>
      <c r="N168" s="133"/>
      <c r="O168" s="133"/>
      <c r="P168" s="133"/>
      <c r="Q168" s="80"/>
      <c r="R168" s="80"/>
      <c r="S168" s="80"/>
      <c r="T168" s="83"/>
      <c r="U168" s="229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3"/>
      <c r="AL168" s="83"/>
      <c r="AM168" s="83"/>
      <c r="AN168" s="83"/>
    </row>
    <row r="169" spans="1:41" ht="15.75" customHeight="1">
      <c r="B169" s="227"/>
      <c r="C169" s="80"/>
      <c r="D169" s="80"/>
      <c r="E169" s="80"/>
      <c r="F169" s="188"/>
      <c r="G169" s="80"/>
      <c r="H169" s="80"/>
      <c r="I169" s="80"/>
      <c r="J169" s="210"/>
      <c r="K169" s="80"/>
      <c r="L169" s="80"/>
      <c r="M169" s="133"/>
      <c r="N169" s="133"/>
      <c r="O169" s="133"/>
      <c r="P169" s="133"/>
      <c r="Q169" s="80"/>
      <c r="R169" s="80"/>
      <c r="S169" s="80"/>
      <c r="T169" s="83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3"/>
      <c r="AL169" s="83"/>
      <c r="AM169" s="83"/>
      <c r="AN169" s="83"/>
    </row>
    <row r="170" spans="1:41" ht="15.75" customHeight="1">
      <c r="B170" s="205" t="s">
        <v>3</v>
      </c>
      <c r="C170" s="80"/>
      <c r="D170" s="80"/>
      <c r="E170" s="80"/>
      <c r="F170" s="80"/>
      <c r="G170" s="80"/>
      <c r="H170" s="80"/>
      <c r="I170" s="80"/>
      <c r="J170" s="210"/>
      <c r="K170" s="80"/>
      <c r="L170" s="227" t="s">
        <v>2</v>
      </c>
      <c r="M170" s="80"/>
      <c r="N170" s="133"/>
      <c r="O170" s="133"/>
      <c r="P170" s="133"/>
      <c r="Q170" s="80"/>
      <c r="R170" s="80"/>
      <c r="S170" s="80"/>
      <c r="T170" s="83"/>
      <c r="U170" s="85"/>
      <c r="V170" s="85"/>
      <c r="W170" s="85"/>
      <c r="X170" s="85"/>
      <c r="Y170" s="85"/>
      <c r="Z170" s="85"/>
      <c r="AA170" s="227" t="s">
        <v>4</v>
      </c>
      <c r="AB170" s="80"/>
      <c r="AC170" s="85"/>
      <c r="AD170" s="85"/>
      <c r="AE170" s="85"/>
      <c r="AF170" s="85"/>
      <c r="AG170" s="85"/>
      <c r="AH170" s="85"/>
      <c r="AI170" s="85"/>
      <c r="AJ170" s="227" t="s">
        <v>34</v>
      </c>
      <c r="AK170" s="80"/>
      <c r="AL170" s="80"/>
      <c r="AM170" s="80"/>
      <c r="AN170" s="188"/>
      <c r="AO170" s="9"/>
    </row>
    <row r="171" spans="1:41" ht="15.75" customHeight="1">
      <c r="B171" s="95" t="s">
        <v>6</v>
      </c>
      <c r="C171" s="320">
        <f>J13+J14+J15+J17+J26+J27+J28+J31+J32+J33+J40+J41+J42+J43+J44+J45+SUM(J52:J57)+J59+J61+J66+J69+SUM(J73:J77)+J79+SUM(J83:J85)+J89+SUM(J101:J106)+SUM(J108:J109)+SUM(J113:J124)+J126+SUM(J129:J130)+J132+J136+SUM(J139:J143)+J147+J150+SUM(J153:J154)+SUM(J156:J158)</f>
        <v>1463.46</v>
      </c>
      <c r="D171" s="80"/>
      <c r="E171" s="80"/>
      <c r="F171" s="80"/>
      <c r="G171" s="80"/>
      <c r="H171" s="80"/>
      <c r="I171" s="80"/>
      <c r="J171" s="210"/>
      <c r="K171" s="80"/>
      <c r="L171" s="118" t="s">
        <v>17</v>
      </c>
      <c r="M171" s="219">
        <f>SUM(S13,S14,S15,S17,S26,S27,S28,S32,S33,S40,S41,S42,S43,S44,S45,S52:S57,S59,S61,S66,S69,S73,S74:S77,S79,S83:S85,S89,S101:S106,S108,S109,S113:S114,S115,S116:S124,S126,S129,S130,S132,S136,S139,S140,S141,S142,S143,S147,S150,S153,S154,S156,S157,S158)</f>
        <v>3302.3674999999989</v>
      </c>
      <c r="N171" s="133"/>
      <c r="O171" s="133"/>
      <c r="P171" s="133"/>
      <c r="Q171" s="80"/>
      <c r="R171" s="80"/>
      <c r="S171" s="80"/>
      <c r="T171" s="83"/>
      <c r="U171" s="85"/>
      <c r="V171" s="85"/>
      <c r="W171" s="85"/>
      <c r="X171" s="85"/>
      <c r="Y171" s="85"/>
      <c r="Z171" s="85"/>
      <c r="AA171" s="228" t="s">
        <v>17</v>
      </c>
      <c r="AB171" s="221">
        <f>SUMIF(AA$12:AA$166,AA171,AG$12:AG$166)</f>
        <v>1242.4100000000005</v>
      </c>
      <c r="AC171" s="85"/>
      <c r="AD171" s="85"/>
      <c r="AE171" s="85"/>
      <c r="AF171" s="85"/>
      <c r="AG171" s="85"/>
      <c r="AH171" s="85"/>
      <c r="AI171" s="85"/>
      <c r="AJ171" s="118" t="s">
        <v>39</v>
      </c>
      <c r="AK171" s="324" t="s">
        <v>364</v>
      </c>
      <c r="AL171" s="324"/>
      <c r="AM171" s="324"/>
      <c r="AN171" s="118" t="s">
        <v>365</v>
      </c>
      <c r="AO171" s="9"/>
    </row>
    <row r="172" spans="1:41" ht="15.75" customHeight="1">
      <c r="B172" s="95" t="s">
        <v>7</v>
      </c>
      <c r="C172" s="218">
        <f>J36+J38+J39+J71+J90</f>
        <v>115.98</v>
      </c>
      <c r="D172" s="80"/>
      <c r="E172" s="80"/>
      <c r="F172" s="80"/>
      <c r="G172" s="80"/>
      <c r="H172" s="80"/>
      <c r="I172" s="80"/>
      <c r="J172" s="210"/>
      <c r="K172" s="80"/>
      <c r="L172" s="118" t="s">
        <v>18</v>
      </c>
      <c r="M172" s="219">
        <f>SUM(S16,S21,S37,S62,S63,S67,S72,S78,S81,S82,S110,S111,S133,S134,S135,S151,S152,S155,S164,S165)</f>
        <v>546.50599999999986</v>
      </c>
      <c r="N172" s="133"/>
      <c r="O172" s="133"/>
      <c r="P172" s="133"/>
      <c r="Q172" s="80"/>
      <c r="R172" s="80"/>
      <c r="S172" s="80"/>
      <c r="T172" s="83"/>
      <c r="U172" s="85"/>
      <c r="V172" s="85"/>
      <c r="W172" s="85"/>
      <c r="X172" s="85"/>
      <c r="Y172" s="85"/>
      <c r="Z172" s="85"/>
      <c r="AA172" s="228" t="s">
        <v>18</v>
      </c>
      <c r="AB172" s="221">
        <f t="shared" ref="AB172:AB179" si="322">SUMIF(AA$12:AA$166,AA172,AG$12:AG$166)</f>
        <v>410.14999999999992</v>
      </c>
      <c r="AC172" s="85"/>
      <c r="AD172" s="85"/>
      <c r="AE172" s="85"/>
      <c r="AF172" s="85"/>
      <c r="AG172" s="85"/>
      <c r="AH172" s="85"/>
      <c r="AI172" s="85"/>
      <c r="AJ172" s="118" t="s">
        <v>357</v>
      </c>
      <c r="AK172" s="323" t="s">
        <v>363</v>
      </c>
      <c r="AL172" s="323"/>
      <c r="AM172" s="323"/>
      <c r="AN172" s="95">
        <f>AJ167</f>
        <v>1702.0300000000002</v>
      </c>
      <c r="AO172" s="9"/>
    </row>
    <row r="173" spans="1:41" ht="15.75" customHeight="1">
      <c r="B173" s="95" t="s">
        <v>8</v>
      </c>
      <c r="C173" s="218">
        <f>J18+J19+J22+J23+J24+J25+J34+J35+J68+J86+J87+J88+J91+J92+J93+J94+J95+J96</f>
        <v>220.48999999999995</v>
      </c>
      <c r="D173" s="80"/>
      <c r="E173" s="80"/>
      <c r="F173" s="80"/>
      <c r="G173" s="80"/>
      <c r="H173" s="80"/>
      <c r="I173" s="80"/>
      <c r="J173" s="210"/>
      <c r="K173" s="80"/>
      <c r="L173" s="118" t="s">
        <v>19</v>
      </c>
      <c r="M173" s="219">
        <f>SUM(S36,S38,S39,S71,S90)</f>
        <v>189.28399999999999</v>
      </c>
      <c r="N173" s="133"/>
      <c r="O173" s="133"/>
      <c r="P173" s="133"/>
      <c r="Q173" s="80"/>
      <c r="R173" s="80"/>
      <c r="S173" s="80"/>
      <c r="T173" s="83"/>
      <c r="U173" s="85"/>
      <c r="V173" s="85"/>
      <c r="W173" s="85"/>
      <c r="X173" s="85"/>
      <c r="Y173" s="85"/>
      <c r="Z173" s="85"/>
      <c r="AA173" s="228" t="s">
        <v>19</v>
      </c>
      <c r="AB173" s="221">
        <f t="shared" si="322"/>
        <v>90.64</v>
      </c>
      <c r="AC173" s="85"/>
      <c r="AD173" s="85"/>
      <c r="AE173" s="85"/>
      <c r="AF173" s="85"/>
      <c r="AG173" s="85"/>
      <c r="AH173" s="85"/>
      <c r="AI173" s="85"/>
      <c r="AJ173" s="85"/>
      <c r="AK173" s="83"/>
      <c r="AL173" s="83"/>
      <c r="AM173" s="83"/>
      <c r="AN173" s="83"/>
    </row>
    <row r="174" spans="1:41" ht="15.75" customHeight="1">
      <c r="B174" s="95" t="s">
        <v>9</v>
      </c>
      <c r="C174" s="218">
        <f>J16+J21+J37+J62+J63+J67+J72+J78+J81+J82+J110+J111+J133+J134+J135+J151+J152+J155+J164+J165</f>
        <v>173.98000000000002</v>
      </c>
      <c r="D174" s="80"/>
      <c r="E174" s="80"/>
      <c r="F174" s="80"/>
      <c r="G174" s="80"/>
      <c r="H174" s="80"/>
      <c r="I174" s="80"/>
      <c r="J174" s="210"/>
      <c r="K174" s="80"/>
      <c r="L174" s="118" t="s">
        <v>20</v>
      </c>
      <c r="M174" s="219">
        <f>SUM(S20,S58,S60,S80,S112,S125,S166)</f>
        <v>131.89699999999999</v>
      </c>
      <c r="N174" s="133"/>
      <c r="O174" s="133"/>
      <c r="P174" s="133"/>
      <c r="Q174" s="80"/>
      <c r="R174" s="80"/>
      <c r="S174" s="80"/>
      <c r="T174" s="83"/>
      <c r="U174" s="85"/>
      <c r="V174" s="85"/>
      <c r="W174" s="85"/>
      <c r="X174" s="85"/>
      <c r="Y174" s="85"/>
      <c r="Z174" s="85"/>
      <c r="AA174" s="228" t="s">
        <v>20</v>
      </c>
      <c r="AB174" s="221">
        <f t="shared" si="322"/>
        <v>467.6400000000001</v>
      </c>
      <c r="AC174" s="85"/>
      <c r="AD174" s="85"/>
      <c r="AE174" s="85"/>
      <c r="AF174" s="85"/>
      <c r="AG174" s="85"/>
      <c r="AH174" s="85"/>
      <c r="AI174" s="85"/>
      <c r="AJ174" s="85"/>
      <c r="AK174" s="83"/>
      <c r="AL174" s="83"/>
      <c r="AM174" s="83"/>
      <c r="AN174" s="83"/>
    </row>
    <row r="175" spans="1:41" ht="15.75" customHeight="1">
      <c r="B175" s="95" t="s">
        <v>10</v>
      </c>
      <c r="C175" s="218"/>
      <c r="D175" s="80"/>
      <c r="E175" s="80"/>
      <c r="F175" s="80"/>
      <c r="G175" s="80"/>
      <c r="H175" s="80"/>
      <c r="I175" s="80"/>
      <c r="J175" s="210"/>
      <c r="K175" s="80"/>
      <c r="L175" s="118" t="s">
        <v>21</v>
      </c>
      <c r="M175" s="219"/>
      <c r="N175" s="133"/>
      <c r="O175" s="133"/>
      <c r="P175" s="133"/>
      <c r="Q175" s="80"/>
      <c r="R175" s="80"/>
      <c r="S175" s="80"/>
      <c r="T175" s="83"/>
      <c r="U175" s="85"/>
      <c r="V175" s="85"/>
      <c r="W175" s="85"/>
      <c r="X175" s="85"/>
      <c r="Y175" s="85"/>
      <c r="Z175" s="85"/>
      <c r="AA175" s="228" t="s">
        <v>21</v>
      </c>
      <c r="AB175" s="221">
        <f t="shared" si="322"/>
        <v>40.659999999999997</v>
      </c>
      <c r="AC175" s="85"/>
      <c r="AD175" s="85"/>
      <c r="AE175" s="85"/>
      <c r="AF175" s="85"/>
      <c r="AG175" s="85"/>
      <c r="AH175" s="85"/>
      <c r="AI175" s="85"/>
      <c r="AJ175" s="85"/>
      <c r="AK175" s="83"/>
      <c r="AL175" s="83"/>
      <c r="AM175" s="83"/>
      <c r="AN175" s="83"/>
    </row>
    <row r="176" spans="1:41" ht="15.75" customHeight="1">
      <c r="B176" s="95" t="s">
        <v>11</v>
      </c>
      <c r="C176" s="218">
        <f>J20+J58+J60+J80+J112+J125+J166</f>
        <v>21.59</v>
      </c>
      <c r="D176" s="80"/>
      <c r="E176" s="80"/>
      <c r="F176" s="80"/>
      <c r="G176" s="80"/>
      <c r="H176" s="80"/>
      <c r="I176" s="80"/>
      <c r="J176" s="210"/>
      <c r="K176" s="80"/>
      <c r="L176" s="118" t="s">
        <v>22</v>
      </c>
      <c r="M176" s="219"/>
      <c r="N176" s="133"/>
      <c r="O176" s="133"/>
      <c r="P176" s="133"/>
      <c r="Q176" s="80"/>
      <c r="R176" s="80"/>
      <c r="S176" s="80"/>
      <c r="T176" s="83"/>
      <c r="U176" s="85"/>
      <c r="V176" s="85"/>
      <c r="W176" s="85"/>
      <c r="X176" s="85"/>
      <c r="Y176" s="85"/>
      <c r="Z176" s="85"/>
      <c r="AA176" s="228" t="s">
        <v>22</v>
      </c>
      <c r="AB176" s="221">
        <f t="shared" si="322"/>
        <v>0</v>
      </c>
      <c r="AC176" s="85"/>
      <c r="AD176" s="85"/>
      <c r="AE176" s="85"/>
      <c r="AF176" s="85"/>
      <c r="AG176" s="85"/>
      <c r="AH176" s="85"/>
      <c r="AI176" s="85"/>
      <c r="AJ176" s="85"/>
      <c r="AK176" s="83"/>
      <c r="AL176" s="83"/>
      <c r="AM176" s="83"/>
      <c r="AN176" s="83"/>
    </row>
    <row r="177" spans="2:40" ht="15.75" customHeight="1">
      <c r="B177" s="95" t="s">
        <v>12</v>
      </c>
      <c r="C177" s="218"/>
      <c r="D177" s="80"/>
      <c r="E177" s="80"/>
      <c r="F177" s="80"/>
      <c r="G177" s="80"/>
      <c r="H177" s="80"/>
      <c r="I177" s="80"/>
      <c r="J177" s="210"/>
      <c r="K177" s="80"/>
      <c r="L177" s="118" t="s">
        <v>23</v>
      </c>
      <c r="M177" s="219"/>
      <c r="N177" s="133"/>
      <c r="O177" s="133"/>
      <c r="P177" s="133"/>
      <c r="Q177" s="80"/>
      <c r="R177" s="80"/>
      <c r="S177" s="80"/>
      <c r="T177" s="83"/>
      <c r="U177" s="85"/>
      <c r="V177" s="85"/>
      <c r="W177" s="85"/>
      <c r="X177" s="85"/>
      <c r="Y177" s="85"/>
      <c r="Z177" s="85"/>
      <c r="AA177" s="228" t="s">
        <v>23</v>
      </c>
      <c r="AB177" s="221">
        <f t="shared" si="322"/>
        <v>0</v>
      </c>
      <c r="AC177" s="85"/>
      <c r="AD177" s="85"/>
      <c r="AE177" s="85"/>
      <c r="AF177" s="85"/>
      <c r="AG177" s="85"/>
      <c r="AH177" s="85"/>
      <c r="AI177" s="85"/>
      <c r="AJ177" s="85"/>
      <c r="AK177" s="83"/>
      <c r="AL177" s="83"/>
      <c r="AM177" s="83"/>
      <c r="AN177" s="83"/>
    </row>
    <row r="178" spans="2:40" ht="15.75" customHeight="1">
      <c r="B178" s="95" t="s">
        <v>13</v>
      </c>
      <c r="C178" s="218">
        <f>J12+J29+J30+J46+J47+J48+J49+J50+J51+J64+J65+J97+J98+J99+J100+J127+J128+J137+J138+J144+J145+J146+J148+J149+J159+J160+J161+J162+J163</f>
        <v>457.13000000000011</v>
      </c>
      <c r="D178" s="80"/>
      <c r="E178" s="80"/>
      <c r="F178" s="80"/>
      <c r="G178" s="80"/>
      <c r="H178" s="80"/>
      <c r="I178" s="80"/>
      <c r="J178" s="210"/>
      <c r="K178" s="80"/>
      <c r="L178" s="118" t="s">
        <v>24</v>
      </c>
      <c r="M178" s="219">
        <f>SUM(S12,S29,S46,S47,S48,S49,S50,S51,S64,S65,S127,S137,S144,S145,S146,S148,S149,S159,S160,S161,S162,S163)</f>
        <v>1438.9496000000001</v>
      </c>
      <c r="N178" s="133"/>
      <c r="O178" s="133"/>
      <c r="P178" s="133"/>
      <c r="Q178" s="80"/>
      <c r="R178" s="80"/>
      <c r="S178" s="80"/>
      <c r="T178" s="83"/>
      <c r="U178" s="85"/>
      <c r="V178" s="85"/>
      <c r="W178" s="85"/>
      <c r="X178" s="85"/>
      <c r="Y178" s="85"/>
      <c r="Z178" s="85"/>
      <c r="AA178" s="228" t="s">
        <v>24</v>
      </c>
      <c r="AB178" s="221">
        <f t="shared" si="322"/>
        <v>0</v>
      </c>
      <c r="AC178" s="85"/>
      <c r="AD178" s="85"/>
      <c r="AE178" s="85"/>
      <c r="AF178" s="85"/>
      <c r="AG178" s="85"/>
      <c r="AH178" s="85"/>
      <c r="AI178" s="85"/>
      <c r="AJ178" s="85"/>
      <c r="AK178" s="83"/>
      <c r="AL178" s="83"/>
      <c r="AM178" s="83"/>
      <c r="AN178" s="83"/>
    </row>
    <row r="179" spans="2:40" ht="15.75" customHeight="1">
      <c r="B179" s="95" t="s">
        <v>14</v>
      </c>
      <c r="C179" s="218"/>
      <c r="D179" s="80"/>
      <c r="E179" s="80"/>
      <c r="F179" s="80"/>
      <c r="G179" s="80"/>
      <c r="H179" s="80"/>
      <c r="I179" s="80"/>
      <c r="J179" s="210"/>
      <c r="K179" s="80"/>
      <c r="L179" s="118" t="s">
        <v>25</v>
      </c>
      <c r="M179" s="219"/>
      <c r="N179" s="133"/>
      <c r="O179" s="133"/>
      <c r="P179" s="133"/>
      <c r="Q179" s="80"/>
      <c r="R179" s="80"/>
      <c r="S179" s="80"/>
      <c r="T179" s="83"/>
      <c r="U179" s="85"/>
      <c r="V179" s="85"/>
      <c r="W179" s="85"/>
      <c r="X179" s="85"/>
      <c r="Y179" s="85"/>
      <c r="Z179" s="85"/>
      <c r="AA179" s="228" t="s">
        <v>25</v>
      </c>
      <c r="AB179" s="221">
        <f t="shared" si="322"/>
        <v>267.35000000000002</v>
      </c>
      <c r="AC179" s="85"/>
      <c r="AD179" s="85"/>
      <c r="AE179" s="85"/>
      <c r="AF179" s="85"/>
      <c r="AG179" s="85"/>
      <c r="AH179" s="85"/>
      <c r="AI179" s="85"/>
      <c r="AJ179" s="85"/>
      <c r="AK179" s="83"/>
      <c r="AL179" s="83"/>
      <c r="AM179" s="83"/>
      <c r="AN179" s="83"/>
    </row>
    <row r="180" spans="2:40" ht="15.75" customHeight="1">
      <c r="B180" s="95" t="s">
        <v>15</v>
      </c>
      <c r="C180" s="218"/>
      <c r="D180" s="80"/>
      <c r="E180" s="80"/>
      <c r="F180" s="80"/>
      <c r="G180" s="80"/>
      <c r="H180" s="80"/>
      <c r="I180" s="80"/>
      <c r="J180" s="210"/>
      <c r="K180" s="80"/>
      <c r="L180" s="118" t="s">
        <v>26</v>
      </c>
      <c r="M180" s="219"/>
      <c r="N180" s="133"/>
      <c r="O180" s="133"/>
      <c r="P180" s="133"/>
      <c r="Q180" s="80"/>
      <c r="R180" s="80"/>
      <c r="S180" s="80"/>
      <c r="T180" s="83"/>
      <c r="U180" s="85"/>
      <c r="V180" s="85"/>
      <c r="W180" s="85"/>
      <c r="X180" s="85"/>
      <c r="Y180" s="85"/>
      <c r="Z180" s="85"/>
      <c r="AA180" s="191"/>
      <c r="AB180" s="189">
        <f>SUM(AB171:AB179)</f>
        <v>2518.8500000000004</v>
      </c>
      <c r="AC180" s="85"/>
      <c r="AD180" s="85"/>
      <c r="AE180" s="85"/>
      <c r="AF180" s="85"/>
      <c r="AG180" s="85"/>
      <c r="AH180" s="85"/>
      <c r="AI180" s="85"/>
      <c r="AJ180" s="85"/>
      <c r="AK180" s="83"/>
      <c r="AL180" s="83"/>
      <c r="AM180" s="83"/>
      <c r="AN180" s="83"/>
    </row>
    <row r="181" spans="2:40" ht="15.75" customHeight="1">
      <c r="B181" s="95" t="s">
        <v>16</v>
      </c>
      <c r="C181" s="231"/>
      <c r="D181" s="80"/>
      <c r="E181" s="80"/>
      <c r="F181" s="80"/>
      <c r="G181" s="80"/>
      <c r="H181" s="80"/>
      <c r="I181" s="80"/>
      <c r="J181" s="210"/>
      <c r="K181" s="80"/>
      <c r="L181" s="118" t="s">
        <v>27</v>
      </c>
      <c r="M181" s="219"/>
      <c r="N181" s="133"/>
      <c r="O181" s="133"/>
      <c r="P181" s="133"/>
      <c r="Q181" s="80"/>
      <c r="R181" s="80"/>
      <c r="S181" s="80"/>
      <c r="T181" s="83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3"/>
      <c r="AL181" s="83"/>
      <c r="AM181" s="83"/>
      <c r="AN181" s="83"/>
    </row>
    <row r="182" spans="2:40" ht="15.75" customHeight="1">
      <c r="B182" s="87"/>
      <c r="C182" s="232">
        <f>SUM(C171:C181)</f>
        <v>2452.63</v>
      </c>
      <c r="D182" s="80"/>
      <c r="E182" s="80"/>
      <c r="F182" s="80"/>
      <c r="G182" s="80"/>
      <c r="H182" s="80"/>
      <c r="I182" s="80"/>
      <c r="J182" s="210"/>
      <c r="K182" s="80"/>
      <c r="L182" s="118" t="s">
        <v>337</v>
      </c>
      <c r="M182" s="219"/>
      <c r="N182" s="133"/>
      <c r="O182" s="133"/>
      <c r="P182" s="133"/>
      <c r="Q182" s="80"/>
      <c r="R182" s="80"/>
      <c r="S182" s="80"/>
      <c r="T182" s="83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3"/>
      <c r="AL182" s="83"/>
      <c r="AM182" s="83"/>
      <c r="AN182" s="83"/>
    </row>
    <row r="183" spans="2:40" ht="15.75" customHeight="1">
      <c r="B183" s="83"/>
      <c r="C183" s="80"/>
      <c r="D183" s="80"/>
      <c r="E183" s="80"/>
      <c r="F183" s="188"/>
      <c r="G183" s="80"/>
      <c r="H183" s="80"/>
      <c r="I183" s="80"/>
      <c r="J183" s="210"/>
      <c r="K183" s="80"/>
      <c r="L183" s="118" t="s">
        <v>338</v>
      </c>
      <c r="M183" s="219">
        <f>SUM(S31)</f>
        <v>49.522000000000006</v>
      </c>
      <c r="N183" s="133"/>
      <c r="O183" s="133"/>
      <c r="P183" s="133"/>
      <c r="Q183" s="80"/>
      <c r="R183" s="80"/>
      <c r="S183" s="80"/>
      <c r="T183" s="83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3"/>
      <c r="AL183" s="83"/>
      <c r="AM183" s="83"/>
      <c r="AN183" s="83"/>
    </row>
    <row r="184" spans="2:40" ht="25.05" customHeight="1">
      <c r="B184" s="83"/>
      <c r="C184" s="80"/>
      <c r="D184" s="80"/>
      <c r="E184" s="80"/>
      <c r="F184" s="188"/>
      <c r="G184" s="80"/>
      <c r="H184" s="80"/>
      <c r="I184" s="80"/>
      <c r="J184" s="210"/>
      <c r="K184" s="80"/>
      <c r="L184" s="118" t="s">
        <v>339</v>
      </c>
      <c r="M184" s="219"/>
      <c r="N184" s="133"/>
      <c r="O184" s="133"/>
      <c r="P184" s="133"/>
      <c r="Q184" s="80"/>
      <c r="R184" s="80"/>
      <c r="S184" s="80"/>
      <c r="T184" s="83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3"/>
      <c r="AL184" s="83"/>
      <c r="AM184" s="83"/>
      <c r="AN184" s="83"/>
    </row>
    <row r="185" spans="2:40" ht="15.75" customHeight="1">
      <c r="B185" s="83"/>
      <c r="C185" s="80"/>
      <c r="D185" s="80"/>
      <c r="E185" s="80"/>
      <c r="F185" s="188"/>
      <c r="G185" s="80"/>
      <c r="H185" s="80"/>
      <c r="I185" s="80"/>
      <c r="J185" s="210"/>
      <c r="K185" s="80"/>
      <c r="L185" s="118" t="s">
        <v>28</v>
      </c>
      <c r="M185" s="219">
        <f>SUMIF(L$12:L$166,L185,S$12:S$166)</f>
        <v>0</v>
      </c>
      <c r="N185" s="133"/>
      <c r="O185" s="133"/>
      <c r="P185" s="133"/>
      <c r="Q185" s="80"/>
      <c r="R185" s="80"/>
      <c r="S185" s="80"/>
      <c r="T185" s="83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  <c r="AI185" s="85"/>
      <c r="AJ185" s="85"/>
      <c r="AK185" s="83"/>
      <c r="AL185" s="83"/>
      <c r="AM185" s="83"/>
      <c r="AN185" s="83"/>
    </row>
    <row r="186" spans="2:40" ht="15.75" customHeight="1">
      <c r="B186" s="83"/>
      <c r="C186" s="80"/>
      <c r="D186" s="80"/>
      <c r="E186" s="80"/>
      <c r="F186" s="188"/>
      <c r="G186" s="80"/>
      <c r="H186" s="80"/>
      <c r="I186" s="80"/>
      <c r="J186" s="210"/>
      <c r="K186" s="80"/>
      <c r="L186" s="118" t="s">
        <v>29</v>
      </c>
      <c r="M186" s="219"/>
      <c r="N186" s="133"/>
      <c r="O186" s="133"/>
      <c r="P186" s="133"/>
      <c r="Q186" s="80"/>
      <c r="R186" s="80"/>
      <c r="S186" s="80"/>
      <c r="T186" s="83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3"/>
      <c r="AL186" s="83"/>
      <c r="AM186" s="83"/>
      <c r="AN186" s="83"/>
    </row>
    <row r="187" spans="2:40" ht="15.75" customHeight="1">
      <c r="B187" s="83"/>
      <c r="C187" s="80"/>
      <c r="D187" s="80"/>
      <c r="E187" s="80"/>
      <c r="F187" s="188"/>
      <c r="G187" s="80"/>
      <c r="H187" s="80"/>
      <c r="I187" s="80"/>
      <c r="J187" s="210"/>
      <c r="K187" s="80"/>
      <c r="L187" s="118" t="s">
        <v>30</v>
      </c>
      <c r="M187" s="219"/>
      <c r="N187" s="133"/>
      <c r="O187" s="133"/>
      <c r="P187" s="133"/>
      <c r="Q187" s="80"/>
      <c r="R187" s="80"/>
      <c r="S187" s="80"/>
      <c r="T187" s="83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  <c r="AI187" s="85"/>
      <c r="AJ187" s="85"/>
      <c r="AK187" s="83"/>
      <c r="AL187" s="83"/>
      <c r="AM187" s="83"/>
      <c r="AN187" s="83"/>
    </row>
    <row r="188" spans="2:40" ht="15.75" customHeight="1">
      <c r="B188" s="83"/>
      <c r="C188" s="80"/>
      <c r="D188" s="80"/>
      <c r="E188" s="80"/>
      <c r="F188" s="188"/>
      <c r="G188" s="80"/>
      <c r="H188" s="80"/>
      <c r="I188" s="80"/>
      <c r="J188" s="210"/>
      <c r="K188" s="80"/>
      <c r="L188" s="118" t="s">
        <v>340</v>
      </c>
      <c r="M188" s="219">
        <f>SUM(S18,S19,S22,S23,S24,S25,S34,S35,S68,S86,S87,S88,S91,S92,S93,S94,S95,S96)</f>
        <v>614.75700000000006</v>
      </c>
      <c r="N188" s="133"/>
      <c r="O188" s="133"/>
      <c r="P188" s="133"/>
      <c r="Q188" s="80"/>
      <c r="R188" s="80"/>
      <c r="S188" s="80"/>
      <c r="T188" s="83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3"/>
      <c r="AL188" s="83"/>
      <c r="AM188" s="83"/>
      <c r="AN188" s="83"/>
    </row>
    <row r="189" spans="2:40" ht="15.75" customHeight="1">
      <c r="B189" s="83"/>
      <c r="C189" s="80"/>
      <c r="D189" s="80"/>
      <c r="E189" s="80"/>
      <c r="F189" s="188"/>
      <c r="G189" s="80"/>
      <c r="H189" s="80"/>
      <c r="I189" s="80"/>
      <c r="J189" s="210"/>
      <c r="K189" s="80"/>
      <c r="L189" s="118" t="s">
        <v>341</v>
      </c>
      <c r="M189" s="219">
        <f>SUMIF(L$12:L$166,L189,S$12:S$166)</f>
        <v>0</v>
      </c>
      <c r="N189" s="133"/>
      <c r="O189" s="133"/>
      <c r="P189" s="133"/>
      <c r="Q189" s="80"/>
      <c r="R189" s="80"/>
      <c r="S189" s="80"/>
      <c r="T189" s="83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3"/>
      <c r="AL189" s="83"/>
      <c r="AM189" s="83"/>
      <c r="AN189" s="83"/>
    </row>
    <row r="190" spans="2:40" ht="15.75" customHeight="1">
      <c r="B190" s="83"/>
      <c r="C190" s="80"/>
      <c r="D190" s="80"/>
      <c r="E190" s="80"/>
      <c r="F190" s="188"/>
      <c r="G190" s="80"/>
      <c r="H190" s="80"/>
      <c r="I190" s="80"/>
      <c r="J190" s="210"/>
      <c r="K190" s="80"/>
      <c r="L190" s="118" t="s">
        <v>31</v>
      </c>
      <c r="M190" s="219">
        <f>SUM(S97,S98,S99,S100)</f>
        <v>99.724999999999994</v>
      </c>
      <c r="N190" s="133"/>
      <c r="O190" s="133"/>
      <c r="P190" s="133"/>
      <c r="Q190" s="80"/>
      <c r="R190" s="80"/>
      <c r="S190" s="80"/>
      <c r="T190" s="83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3"/>
      <c r="AL190" s="83"/>
      <c r="AM190" s="83"/>
      <c r="AN190" s="83"/>
    </row>
    <row r="191" spans="2:40" ht="15.75" customHeight="1">
      <c r="B191" s="83"/>
      <c r="C191" s="80"/>
      <c r="D191" s="80"/>
      <c r="E191" s="80"/>
      <c r="F191" s="188"/>
      <c r="G191" s="80"/>
      <c r="H191" s="80"/>
      <c r="I191" s="80"/>
      <c r="J191" s="210"/>
      <c r="K191" s="80"/>
      <c r="L191" s="191"/>
      <c r="M191" s="189">
        <f>SUM(M171:M190)</f>
        <v>6373.0080999999991</v>
      </c>
      <c r="N191" s="133"/>
      <c r="O191" s="133"/>
      <c r="P191" s="133"/>
      <c r="Q191" s="80"/>
      <c r="R191" s="80"/>
      <c r="S191" s="80"/>
      <c r="T191" s="83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3"/>
      <c r="AL191" s="83"/>
      <c r="AM191" s="83"/>
      <c r="AN191" s="83"/>
    </row>
    <row r="192" spans="2:40" ht="15.75" customHeight="1">
      <c r="B192" s="227" t="s">
        <v>33</v>
      </c>
      <c r="C192" s="80"/>
      <c r="D192" s="80"/>
      <c r="E192" s="80"/>
      <c r="F192" s="188"/>
      <c r="G192" s="80"/>
      <c r="H192" s="80"/>
      <c r="I192" s="80"/>
      <c r="J192" s="210"/>
      <c r="K192" s="80"/>
      <c r="L192" s="80"/>
      <c r="M192" s="80"/>
      <c r="N192" s="133"/>
      <c r="O192" s="133"/>
      <c r="P192" s="133"/>
      <c r="Q192" s="80"/>
      <c r="R192" s="80"/>
      <c r="S192" s="80"/>
      <c r="T192" s="83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3"/>
      <c r="AL192" s="83"/>
      <c r="AM192" s="83"/>
      <c r="AN192" s="83"/>
    </row>
    <row r="193" spans="2:40" ht="15.75" customHeight="1">
      <c r="B193" s="83"/>
      <c r="C193" s="80"/>
      <c r="D193" s="80"/>
      <c r="E193" s="80"/>
      <c r="F193" s="188"/>
      <c r="G193" s="80"/>
      <c r="H193" s="80"/>
      <c r="I193" s="80"/>
      <c r="J193" s="210"/>
      <c r="K193" s="80"/>
      <c r="L193" s="80"/>
      <c r="M193" s="133"/>
      <c r="N193" s="133"/>
      <c r="O193" s="133"/>
      <c r="P193" s="133"/>
      <c r="Q193" s="80"/>
      <c r="R193" s="80"/>
      <c r="S193" s="80"/>
      <c r="T193" s="83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3"/>
      <c r="AL193" s="83"/>
      <c r="AM193" s="83"/>
      <c r="AN193" s="83"/>
    </row>
    <row r="194" spans="2:40" ht="60" customHeight="1">
      <c r="B194" s="91" t="s">
        <v>357</v>
      </c>
      <c r="C194" s="323" t="s">
        <v>359</v>
      </c>
      <c r="D194" s="323"/>
      <c r="E194" s="323"/>
      <c r="F194" s="233">
        <f>SUM(Y13,Y15,Y17,Y26:Y28,Y32,Y33,Y40:Y45,Y52:Y57,Y59,Y61,Y66,Y69,Y73,Y74:Y77,Y79,Y83:Y85,Y89,Y101:Y106,Y108,Y109,Y113:Y114,Y115,Y116:Y124,Y126,Y129,Y130,Y132,Y136,Y139:Y143,Y147,Y150,Y153:Y154,Y156:Y158)</f>
        <v>1337.28</v>
      </c>
      <c r="G194" s="188"/>
      <c r="H194" s="80"/>
      <c r="I194" s="80"/>
      <c r="J194" s="210"/>
      <c r="K194" s="80"/>
      <c r="L194" s="80"/>
      <c r="M194" s="133"/>
      <c r="N194" s="133"/>
      <c r="O194" s="133"/>
      <c r="P194" s="133"/>
      <c r="Q194" s="80"/>
      <c r="R194" s="80"/>
      <c r="S194" s="80"/>
      <c r="T194" s="83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3"/>
      <c r="AL194" s="83"/>
      <c r="AM194" s="83"/>
      <c r="AN194" s="83"/>
    </row>
    <row r="195" spans="2:40" ht="60" customHeight="1">
      <c r="B195" s="91" t="s">
        <v>366</v>
      </c>
      <c r="C195" s="323" t="s">
        <v>360</v>
      </c>
      <c r="D195" s="323"/>
      <c r="E195" s="323"/>
      <c r="F195" s="233">
        <f>SUM(Y14,Y16,Y21,Y37,Y62,Y63,Y67,Y72,Y78,Y81,Y82,Y110,Y111,Y133:Y135,Y151:Y152,Y155,Y164:Y165)</f>
        <v>238.53000000000003</v>
      </c>
      <c r="G195" s="188"/>
      <c r="H195" s="80"/>
      <c r="I195" s="80"/>
      <c r="J195" s="210"/>
      <c r="K195" s="80"/>
      <c r="L195" s="80"/>
      <c r="M195" s="133"/>
      <c r="N195" s="133"/>
      <c r="O195" s="133"/>
      <c r="P195" s="133"/>
      <c r="Q195" s="80"/>
      <c r="R195" s="80"/>
      <c r="S195" s="80"/>
      <c r="T195" s="83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3"/>
      <c r="AL195" s="83"/>
      <c r="AM195" s="83"/>
      <c r="AN195" s="83"/>
    </row>
    <row r="196" spans="2:40" ht="25.05" customHeight="1">
      <c r="B196" s="91" t="s">
        <v>358</v>
      </c>
      <c r="C196" s="323" t="s">
        <v>361</v>
      </c>
      <c r="D196" s="323"/>
      <c r="E196" s="323"/>
      <c r="F196" s="233"/>
      <c r="G196" s="188"/>
      <c r="H196" s="188"/>
      <c r="I196" s="80"/>
      <c r="J196" s="210"/>
      <c r="K196" s="80"/>
      <c r="L196" s="80"/>
      <c r="M196" s="133"/>
      <c r="N196" s="133"/>
      <c r="O196" s="133"/>
      <c r="P196" s="133"/>
      <c r="Q196" s="80"/>
      <c r="R196" s="80"/>
      <c r="S196" s="80"/>
      <c r="T196" s="83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3"/>
      <c r="AL196" s="83"/>
      <c r="AM196" s="83"/>
      <c r="AN196" s="83"/>
    </row>
    <row r="197" spans="2:40" ht="60" customHeight="1">
      <c r="B197" s="91" t="s">
        <v>356</v>
      </c>
      <c r="C197" s="323" t="s">
        <v>362</v>
      </c>
      <c r="D197" s="323"/>
      <c r="E197" s="323"/>
      <c r="F197" s="233">
        <f>SUM(Y12,Y29,Y46:Y51,Y64,Y65,Y127,Y137,Y144,Y145:Y146,Y148,Y149,Y159:Y163)</f>
        <v>454.72</v>
      </c>
      <c r="G197" s="188"/>
      <c r="H197" s="80"/>
      <c r="I197" s="80"/>
      <c r="J197" s="210"/>
      <c r="K197" s="80"/>
      <c r="L197" s="80"/>
      <c r="M197" s="133"/>
      <c r="N197" s="133"/>
      <c r="O197" s="133"/>
      <c r="P197" s="133"/>
      <c r="Q197" s="80"/>
      <c r="R197" s="80"/>
      <c r="S197" s="80"/>
      <c r="T197" s="83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3"/>
      <c r="AL197" s="83"/>
      <c r="AM197" s="83"/>
      <c r="AN197" s="83"/>
    </row>
    <row r="198" spans="2:40" ht="15.75" customHeight="1">
      <c r="B198" s="83"/>
      <c r="C198" s="80"/>
      <c r="D198" s="80"/>
      <c r="E198" s="80"/>
      <c r="F198" s="214">
        <f>SUM(F194:F197)</f>
        <v>2030.53</v>
      </c>
      <c r="G198" s="80"/>
      <c r="H198" s="80"/>
      <c r="I198" s="80"/>
      <c r="J198" s="210"/>
      <c r="K198" s="80"/>
      <c r="L198" s="80"/>
      <c r="M198" s="133"/>
      <c r="N198" s="133"/>
      <c r="O198" s="133"/>
      <c r="P198" s="133"/>
      <c r="Q198" s="80"/>
      <c r="R198" s="80"/>
      <c r="S198" s="80"/>
      <c r="T198" s="83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  <c r="AI198" s="85"/>
      <c r="AJ198" s="85"/>
      <c r="AK198" s="83"/>
      <c r="AL198" s="83"/>
      <c r="AM198" s="83"/>
      <c r="AN198" s="83"/>
    </row>
    <row r="199" spans="2:40" ht="15.75" customHeight="1">
      <c r="B199" s="83"/>
      <c r="C199" s="80"/>
      <c r="D199" s="80"/>
      <c r="E199" s="80"/>
      <c r="F199" s="188"/>
      <c r="G199" s="80"/>
      <c r="H199" s="80"/>
      <c r="I199" s="80"/>
      <c r="J199" s="210"/>
      <c r="K199" s="80"/>
      <c r="L199" s="80"/>
      <c r="M199" s="133"/>
      <c r="N199" s="133"/>
      <c r="O199" s="133"/>
      <c r="P199" s="133"/>
      <c r="Q199" s="80"/>
      <c r="R199" s="80"/>
      <c r="S199" s="80"/>
      <c r="T199" s="83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3"/>
      <c r="AL199" s="83"/>
      <c r="AM199" s="83"/>
      <c r="AN199" s="83"/>
    </row>
    <row r="200" spans="2:40" ht="15.75" customHeight="1">
      <c r="B200" s="83"/>
      <c r="C200" s="80"/>
      <c r="D200" s="80"/>
      <c r="E200" s="80"/>
      <c r="F200" s="188"/>
      <c r="G200" s="80"/>
      <c r="H200" s="80"/>
      <c r="I200" s="80"/>
      <c r="J200" s="210"/>
      <c r="K200" s="80"/>
      <c r="L200" s="80"/>
      <c r="M200" s="133"/>
      <c r="N200" s="133"/>
      <c r="O200" s="133"/>
      <c r="P200" s="133"/>
      <c r="Q200" s="80"/>
      <c r="R200" s="80"/>
      <c r="S200" s="80"/>
      <c r="T200" s="83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3"/>
      <c r="AL200" s="83"/>
      <c r="AM200" s="83"/>
      <c r="AN200" s="83"/>
    </row>
    <row r="201" spans="2:40" ht="15.75" customHeight="1">
      <c r="B201" s="83"/>
      <c r="C201" s="80"/>
      <c r="D201" s="80"/>
      <c r="E201" s="80"/>
      <c r="F201" s="188"/>
      <c r="G201" s="80"/>
      <c r="H201" s="80"/>
      <c r="I201" s="80"/>
      <c r="J201" s="210"/>
      <c r="K201" s="80"/>
      <c r="L201" s="80"/>
      <c r="M201" s="133"/>
      <c r="N201" s="133"/>
      <c r="O201" s="133"/>
      <c r="P201" s="133"/>
      <c r="Q201" s="80"/>
      <c r="R201" s="80"/>
      <c r="S201" s="80"/>
      <c r="T201" s="83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3"/>
      <c r="AL201" s="83"/>
      <c r="AM201" s="83"/>
      <c r="AN201" s="83"/>
    </row>
    <row r="202" spans="2:40" ht="15.75" customHeight="1">
      <c r="B202" s="83"/>
      <c r="C202" s="80"/>
      <c r="D202" s="80"/>
      <c r="E202" s="80"/>
      <c r="F202" s="188"/>
      <c r="G202" s="80"/>
      <c r="H202" s="80"/>
      <c r="I202" s="80"/>
      <c r="J202" s="210"/>
      <c r="K202" s="80"/>
      <c r="L202" s="80"/>
      <c r="M202" s="133"/>
      <c r="N202" s="133"/>
      <c r="O202" s="133"/>
      <c r="P202" s="133"/>
      <c r="Q202" s="80"/>
      <c r="R202" s="80"/>
      <c r="S202" s="80"/>
      <c r="T202" s="83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3"/>
      <c r="AL202" s="83"/>
      <c r="AM202" s="83"/>
      <c r="AN202" s="83"/>
    </row>
    <row r="203" spans="2:40" ht="15.75" customHeight="1">
      <c r="B203" s="83"/>
      <c r="C203" s="80"/>
      <c r="D203" s="80"/>
      <c r="E203" s="80"/>
      <c r="F203" s="188"/>
      <c r="G203" s="80"/>
      <c r="H203" s="80"/>
      <c r="I203" s="80"/>
      <c r="J203" s="210"/>
      <c r="K203" s="80"/>
      <c r="L203" s="80"/>
      <c r="M203" s="133"/>
      <c r="N203" s="133"/>
      <c r="O203" s="133"/>
      <c r="P203" s="133"/>
      <c r="Q203" s="80"/>
      <c r="R203" s="80"/>
      <c r="S203" s="80"/>
      <c r="T203" s="83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3"/>
      <c r="AL203" s="83"/>
      <c r="AM203" s="83"/>
      <c r="AN203" s="83"/>
    </row>
    <row r="204" spans="2:40" ht="15.75" customHeight="1">
      <c r="B204" s="83"/>
      <c r="C204" s="80"/>
      <c r="D204" s="80"/>
      <c r="E204" s="80"/>
      <c r="F204" s="188"/>
      <c r="G204" s="80"/>
      <c r="H204" s="80"/>
      <c r="I204" s="80"/>
      <c r="J204" s="210"/>
      <c r="K204" s="80"/>
      <c r="L204" s="80"/>
      <c r="M204" s="133"/>
      <c r="N204" s="133"/>
      <c r="O204" s="133"/>
      <c r="P204" s="133"/>
      <c r="Q204" s="80"/>
      <c r="R204" s="80"/>
      <c r="S204" s="80"/>
      <c r="T204" s="83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3"/>
      <c r="AL204" s="83"/>
      <c r="AM204" s="83"/>
      <c r="AN204" s="83"/>
    </row>
    <row r="205" spans="2:40" ht="15.75" customHeight="1">
      <c r="B205" s="83"/>
      <c r="C205" s="80"/>
      <c r="D205" s="80"/>
      <c r="E205" s="80"/>
      <c r="F205" s="188"/>
      <c r="G205" s="80"/>
      <c r="H205" s="80"/>
      <c r="I205" s="80"/>
      <c r="J205" s="210"/>
      <c r="K205" s="80"/>
      <c r="L205" s="80"/>
      <c r="M205" s="133"/>
      <c r="N205" s="133"/>
      <c r="O205" s="133"/>
      <c r="P205" s="133"/>
      <c r="Q205" s="80"/>
      <c r="R205" s="80"/>
      <c r="S205" s="80"/>
      <c r="T205" s="83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3"/>
      <c r="AL205" s="83"/>
      <c r="AM205" s="83"/>
      <c r="AN205" s="83"/>
    </row>
    <row r="206" spans="2:40" ht="15.75" customHeight="1">
      <c r="B206" s="83"/>
      <c r="C206" s="80"/>
      <c r="D206" s="133"/>
      <c r="E206" s="80"/>
      <c r="F206" s="188"/>
      <c r="G206" s="80"/>
      <c r="H206" s="80"/>
      <c r="I206" s="80"/>
      <c r="J206" s="210"/>
      <c r="K206" s="80"/>
      <c r="L206" s="80"/>
      <c r="M206" s="133"/>
      <c r="N206" s="133"/>
      <c r="O206" s="133"/>
      <c r="P206" s="133"/>
      <c r="Q206" s="80"/>
      <c r="R206" s="80"/>
      <c r="S206" s="80"/>
      <c r="T206" s="83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3"/>
      <c r="AL206" s="83"/>
      <c r="AM206" s="83"/>
      <c r="AN206" s="83"/>
    </row>
    <row r="207" spans="2:40" ht="15.75" customHeight="1">
      <c r="B207" s="83"/>
      <c r="C207" s="80"/>
      <c r="D207" s="80"/>
      <c r="E207" s="80"/>
      <c r="F207" s="188"/>
      <c r="G207" s="80"/>
      <c r="H207" s="80"/>
      <c r="I207" s="80"/>
      <c r="J207" s="210"/>
      <c r="K207" s="80"/>
      <c r="L207" s="80"/>
      <c r="M207" s="133"/>
      <c r="N207" s="133"/>
      <c r="O207" s="133"/>
      <c r="P207" s="133"/>
      <c r="Q207" s="80"/>
      <c r="R207" s="80"/>
      <c r="S207" s="80"/>
      <c r="T207" s="83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3"/>
      <c r="AL207" s="83"/>
      <c r="AM207" s="83"/>
      <c r="AN207" s="83"/>
    </row>
    <row r="208" spans="2:40" ht="15.75" customHeight="1">
      <c r="B208" s="83"/>
      <c r="C208" s="80"/>
      <c r="D208" s="80"/>
      <c r="E208" s="80"/>
      <c r="F208" s="188"/>
      <c r="G208" s="80"/>
      <c r="H208" s="80"/>
      <c r="I208" s="80"/>
      <c r="J208" s="210"/>
      <c r="K208" s="80"/>
      <c r="L208" s="80"/>
      <c r="M208" s="133"/>
      <c r="N208" s="133"/>
      <c r="O208" s="133"/>
      <c r="P208" s="133"/>
      <c r="Q208" s="80"/>
      <c r="R208" s="80"/>
      <c r="S208" s="80"/>
      <c r="T208" s="83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3"/>
      <c r="AL208" s="83"/>
      <c r="AM208" s="83"/>
      <c r="AN208" s="83"/>
    </row>
    <row r="209" spans="2:40" ht="15.75" customHeight="1">
      <c r="B209" s="83"/>
      <c r="C209" s="80"/>
      <c r="D209" s="80"/>
      <c r="E209" s="80"/>
      <c r="F209" s="188"/>
      <c r="G209" s="80"/>
      <c r="H209" s="80"/>
      <c r="I209" s="80"/>
      <c r="J209" s="210"/>
      <c r="K209" s="80"/>
      <c r="L209" s="80"/>
      <c r="M209" s="133"/>
      <c r="N209" s="133"/>
      <c r="O209" s="133"/>
      <c r="P209" s="133"/>
      <c r="Q209" s="80"/>
      <c r="R209" s="80"/>
      <c r="S209" s="80"/>
      <c r="T209" s="83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3"/>
      <c r="AL209" s="83"/>
      <c r="AM209" s="83"/>
      <c r="AN209" s="83"/>
    </row>
    <row r="210" spans="2:40" ht="15.75" customHeight="1">
      <c r="B210" s="83"/>
      <c r="C210" s="80"/>
      <c r="D210" s="80"/>
      <c r="E210" s="80"/>
      <c r="F210" s="188"/>
      <c r="G210" s="80"/>
      <c r="H210" s="80"/>
      <c r="I210" s="80"/>
      <c r="J210" s="210"/>
      <c r="K210" s="80"/>
      <c r="L210" s="80"/>
      <c r="M210" s="133"/>
      <c r="N210" s="133"/>
      <c r="O210" s="133"/>
      <c r="P210" s="133"/>
      <c r="Q210" s="80"/>
      <c r="R210" s="80"/>
      <c r="S210" s="80"/>
      <c r="T210" s="83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3"/>
      <c r="AL210" s="83"/>
      <c r="AM210" s="83"/>
      <c r="AN210" s="83"/>
    </row>
    <row r="211" spans="2:40" ht="15.75" customHeight="1">
      <c r="B211" s="83"/>
      <c r="C211" s="80"/>
      <c r="D211" s="80"/>
      <c r="E211" s="80"/>
      <c r="F211" s="188"/>
      <c r="G211" s="80"/>
      <c r="H211" s="80"/>
      <c r="I211" s="80"/>
      <c r="J211" s="210"/>
      <c r="K211" s="80"/>
      <c r="L211" s="80"/>
      <c r="M211" s="133"/>
      <c r="N211" s="133"/>
      <c r="O211" s="133"/>
      <c r="P211" s="133"/>
      <c r="Q211" s="80"/>
      <c r="R211" s="80"/>
      <c r="S211" s="80"/>
      <c r="T211" s="83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3"/>
      <c r="AL211" s="83"/>
      <c r="AM211" s="83"/>
      <c r="AN211" s="83"/>
    </row>
    <row r="212" spans="2:40" ht="15.75" customHeight="1">
      <c r="B212" s="83"/>
      <c r="C212" s="80"/>
      <c r="D212" s="80"/>
      <c r="E212" s="80"/>
      <c r="F212" s="188"/>
      <c r="G212" s="80"/>
      <c r="H212" s="80"/>
      <c r="I212" s="80"/>
      <c r="J212" s="210"/>
      <c r="K212" s="80"/>
      <c r="L212" s="80"/>
      <c r="M212" s="133"/>
      <c r="N212" s="133"/>
      <c r="O212" s="133"/>
      <c r="P212" s="133"/>
      <c r="Q212" s="80"/>
      <c r="R212" s="80"/>
      <c r="S212" s="80"/>
      <c r="T212" s="83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3"/>
      <c r="AL212" s="83"/>
      <c r="AM212" s="83"/>
      <c r="AN212" s="83"/>
    </row>
    <row r="213" spans="2:40" ht="15.75" customHeight="1">
      <c r="B213" s="83"/>
      <c r="C213" s="80"/>
      <c r="D213" s="80"/>
      <c r="E213" s="80"/>
      <c r="F213" s="188"/>
      <c r="G213" s="80"/>
      <c r="H213" s="80"/>
      <c r="I213" s="80"/>
      <c r="J213" s="210"/>
      <c r="K213" s="80"/>
      <c r="L213" s="80"/>
      <c r="M213" s="133"/>
      <c r="N213" s="133"/>
      <c r="O213" s="133"/>
      <c r="P213" s="133"/>
      <c r="Q213" s="80"/>
      <c r="R213" s="80"/>
      <c r="S213" s="80"/>
      <c r="T213" s="83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3"/>
      <c r="AL213" s="83"/>
      <c r="AM213" s="83"/>
      <c r="AN213" s="83"/>
    </row>
    <row r="214" spans="2:40" ht="15.75" customHeight="1">
      <c r="B214" s="83"/>
      <c r="C214" s="80"/>
      <c r="D214" s="80"/>
      <c r="E214" s="80"/>
      <c r="F214" s="188"/>
      <c r="G214" s="80"/>
      <c r="H214" s="80"/>
      <c r="I214" s="80"/>
      <c r="J214" s="210"/>
      <c r="K214" s="80"/>
      <c r="L214" s="80"/>
      <c r="M214" s="133"/>
      <c r="N214" s="133"/>
      <c r="O214" s="133"/>
      <c r="P214" s="133"/>
      <c r="Q214" s="80"/>
      <c r="R214" s="80"/>
      <c r="S214" s="80"/>
      <c r="T214" s="83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3"/>
      <c r="AL214" s="83"/>
      <c r="AM214" s="83"/>
      <c r="AN214" s="83"/>
    </row>
    <row r="215" spans="2:40" ht="15.75" customHeight="1">
      <c r="B215" s="83"/>
      <c r="C215" s="80"/>
      <c r="D215" s="80"/>
      <c r="E215" s="80"/>
      <c r="F215" s="188"/>
      <c r="G215" s="80"/>
      <c r="H215" s="80"/>
      <c r="I215" s="80"/>
      <c r="J215" s="210"/>
      <c r="K215" s="80"/>
      <c r="L215" s="80"/>
      <c r="M215" s="133"/>
      <c r="N215" s="133"/>
      <c r="O215" s="133"/>
      <c r="P215" s="133"/>
      <c r="Q215" s="80"/>
      <c r="R215" s="80"/>
      <c r="S215" s="80"/>
      <c r="T215" s="83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3"/>
      <c r="AL215" s="83"/>
      <c r="AM215" s="83"/>
      <c r="AN215" s="83"/>
    </row>
    <row r="216" spans="2:40" ht="15.75" customHeight="1">
      <c r="B216" s="83"/>
      <c r="C216" s="80"/>
      <c r="D216" s="80"/>
      <c r="E216" s="80"/>
      <c r="F216" s="188"/>
      <c r="G216" s="80"/>
      <c r="H216" s="80"/>
      <c r="I216" s="80"/>
      <c r="J216" s="210"/>
      <c r="K216" s="80"/>
      <c r="L216" s="80"/>
      <c r="M216" s="133"/>
      <c r="N216" s="133"/>
      <c r="O216" s="133"/>
      <c r="P216" s="133"/>
      <c r="Q216" s="80"/>
      <c r="R216" s="80"/>
      <c r="S216" s="80"/>
      <c r="T216" s="83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3"/>
      <c r="AL216" s="83"/>
      <c r="AM216" s="83"/>
      <c r="AN216" s="83"/>
    </row>
    <row r="217" spans="2:40" ht="15.75" customHeight="1">
      <c r="B217" s="83"/>
      <c r="C217" s="80"/>
      <c r="D217" s="80"/>
      <c r="E217" s="80"/>
      <c r="F217" s="188"/>
      <c r="G217" s="80"/>
      <c r="H217" s="80"/>
      <c r="I217" s="80"/>
      <c r="J217" s="210"/>
      <c r="K217" s="80"/>
      <c r="L217" s="80"/>
      <c r="M217" s="133"/>
      <c r="N217" s="133"/>
      <c r="O217" s="133"/>
      <c r="P217" s="133"/>
      <c r="Q217" s="80"/>
      <c r="R217" s="80"/>
      <c r="S217" s="80"/>
      <c r="T217" s="83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3"/>
      <c r="AL217" s="83"/>
      <c r="AM217" s="83"/>
      <c r="AN217" s="83"/>
    </row>
    <row r="218" spans="2:40" ht="15.75" customHeight="1">
      <c r="B218" s="83"/>
      <c r="C218" s="80"/>
      <c r="D218" s="80"/>
      <c r="E218" s="80"/>
      <c r="F218" s="188"/>
      <c r="G218" s="80"/>
      <c r="H218" s="80"/>
      <c r="I218" s="80"/>
      <c r="J218" s="210"/>
      <c r="K218" s="80"/>
      <c r="L218" s="80"/>
      <c r="M218" s="133"/>
      <c r="N218" s="133"/>
      <c r="O218" s="133"/>
      <c r="P218" s="133"/>
      <c r="Q218" s="80"/>
      <c r="R218" s="80"/>
      <c r="S218" s="80"/>
      <c r="T218" s="83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3"/>
      <c r="AL218" s="83"/>
      <c r="AM218" s="83"/>
      <c r="AN218" s="83"/>
    </row>
    <row r="219" spans="2:40" ht="15.75" customHeight="1">
      <c r="B219" s="83"/>
      <c r="C219" s="80"/>
      <c r="D219" s="133"/>
      <c r="E219" s="80"/>
      <c r="F219" s="188"/>
      <c r="G219" s="80"/>
      <c r="H219" s="80"/>
      <c r="I219" s="80"/>
      <c r="J219" s="210"/>
      <c r="K219" s="80"/>
      <c r="L219" s="80"/>
      <c r="M219" s="133"/>
      <c r="N219" s="133"/>
      <c r="O219" s="133"/>
      <c r="P219" s="133"/>
      <c r="Q219" s="80"/>
      <c r="R219" s="80"/>
      <c r="S219" s="80"/>
      <c r="T219" s="83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3"/>
      <c r="AL219" s="83"/>
      <c r="AM219" s="83"/>
      <c r="AN219" s="83"/>
    </row>
    <row r="220" spans="2:40" ht="15.75" customHeight="1">
      <c r="B220" s="83"/>
      <c r="C220" s="80"/>
      <c r="D220" s="188"/>
      <c r="E220" s="188"/>
      <c r="F220" s="188"/>
      <c r="G220" s="80"/>
      <c r="H220" s="80"/>
      <c r="I220" s="80"/>
      <c r="J220" s="210"/>
      <c r="K220" s="80"/>
      <c r="L220" s="80"/>
      <c r="M220" s="133"/>
      <c r="N220" s="133"/>
      <c r="O220" s="133"/>
      <c r="P220" s="133"/>
      <c r="Q220" s="80"/>
      <c r="R220" s="80"/>
      <c r="S220" s="80"/>
      <c r="T220" s="83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3"/>
      <c r="AL220" s="83"/>
      <c r="AM220" s="83"/>
      <c r="AN220" s="83"/>
    </row>
    <row r="221" spans="2:40" ht="15.75" customHeight="1">
      <c r="B221" s="83"/>
      <c r="C221" s="80"/>
      <c r="D221" s="80"/>
      <c r="E221" s="80"/>
      <c r="F221" s="188"/>
      <c r="G221" s="80"/>
      <c r="H221" s="80"/>
      <c r="I221" s="80"/>
      <c r="J221" s="187"/>
      <c r="K221" s="80"/>
      <c r="L221" s="80"/>
      <c r="M221" s="80"/>
      <c r="N221" s="80"/>
      <c r="O221" s="80"/>
      <c r="P221" s="80"/>
      <c r="Q221" s="80"/>
      <c r="R221" s="80"/>
      <c r="S221" s="80"/>
      <c r="T221" s="83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3"/>
      <c r="AL221" s="83"/>
      <c r="AM221" s="83"/>
      <c r="AN221" s="83"/>
    </row>
    <row r="222" spans="2:40" ht="15.75" customHeight="1">
      <c r="B222" s="83"/>
      <c r="C222" s="80"/>
      <c r="D222" s="80"/>
      <c r="E222" s="80"/>
      <c r="F222" s="188"/>
      <c r="G222" s="80"/>
      <c r="H222" s="80"/>
      <c r="I222" s="80"/>
      <c r="J222" s="187"/>
      <c r="K222" s="80"/>
      <c r="L222" s="80"/>
      <c r="M222" s="80"/>
      <c r="N222" s="80"/>
      <c r="O222" s="80"/>
      <c r="P222" s="80"/>
      <c r="Q222" s="80"/>
      <c r="R222" s="80"/>
      <c r="S222" s="80"/>
      <c r="T222" s="83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3"/>
      <c r="AL222" s="83"/>
      <c r="AM222" s="83"/>
      <c r="AN222" s="83"/>
    </row>
    <row r="223" spans="2:40" ht="15.75" customHeight="1">
      <c r="B223" s="83"/>
      <c r="C223" s="80"/>
      <c r="D223" s="80"/>
      <c r="E223" s="80"/>
      <c r="F223" s="188"/>
      <c r="G223" s="80"/>
      <c r="H223" s="80"/>
      <c r="I223" s="80"/>
      <c r="J223" s="187"/>
      <c r="K223" s="80"/>
      <c r="L223" s="80"/>
      <c r="M223" s="80"/>
      <c r="N223" s="80"/>
      <c r="O223" s="80"/>
      <c r="P223" s="80"/>
      <c r="Q223" s="80"/>
      <c r="R223" s="80"/>
      <c r="S223" s="80"/>
      <c r="T223" s="83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3"/>
      <c r="AL223" s="83"/>
      <c r="AM223" s="83"/>
      <c r="AN223" s="83"/>
    </row>
    <row r="224" spans="2:40" ht="78" customHeight="1">
      <c r="B224" s="83"/>
      <c r="C224" s="80"/>
      <c r="D224" s="80"/>
      <c r="E224" s="80"/>
      <c r="F224" s="188"/>
      <c r="G224" s="234"/>
      <c r="H224" s="234"/>
      <c r="I224" s="80"/>
      <c r="J224" s="187"/>
      <c r="K224" s="80"/>
      <c r="L224" s="80"/>
      <c r="M224" s="80"/>
      <c r="N224" s="80"/>
      <c r="O224" s="80"/>
      <c r="P224" s="80"/>
      <c r="Q224" s="80"/>
      <c r="R224" s="80"/>
      <c r="S224" s="80"/>
      <c r="T224" s="83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3"/>
      <c r="AL224" s="83"/>
      <c r="AM224" s="83"/>
      <c r="AN224" s="83"/>
    </row>
    <row r="225" spans="2:40" ht="70.5" customHeight="1">
      <c r="B225" s="83"/>
      <c r="C225" s="80"/>
      <c r="D225" s="80"/>
      <c r="E225" s="80"/>
      <c r="F225" s="188"/>
      <c r="G225" s="234"/>
      <c r="H225" s="234"/>
      <c r="I225" s="80"/>
      <c r="J225" s="187"/>
      <c r="K225" s="80"/>
      <c r="L225" s="80"/>
      <c r="M225" s="80"/>
      <c r="N225" s="80"/>
      <c r="O225" s="80"/>
      <c r="P225" s="80"/>
      <c r="Q225" s="80"/>
      <c r="R225" s="80"/>
      <c r="S225" s="80"/>
      <c r="T225" s="83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3"/>
      <c r="AL225" s="83"/>
      <c r="AM225" s="83"/>
      <c r="AN225" s="83"/>
    </row>
    <row r="226" spans="2:40" ht="48.75" customHeight="1">
      <c r="B226" s="83"/>
      <c r="C226" s="80"/>
      <c r="D226" s="80"/>
      <c r="E226" s="80"/>
      <c r="F226" s="188"/>
      <c r="G226" s="85"/>
      <c r="H226" s="85"/>
      <c r="I226" s="80"/>
      <c r="J226" s="187"/>
      <c r="K226" s="80"/>
      <c r="L226" s="80"/>
      <c r="M226" s="80"/>
      <c r="N226" s="80"/>
      <c r="O226" s="80"/>
      <c r="P226" s="80"/>
      <c r="Q226" s="80"/>
      <c r="R226" s="80"/>
      <c r="S226" s="80"/>
      <c r="T226" s="83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3"/>
      <c r="AL226" s="83"/>
      <c r="AM226" s="83"/>
      <c r="AN226" s="83"/>
    </row>
    <row r="227" spans="2:40" ht="60" customHeight="1">
      <c r="B227" s="83"/>
      <c r="C227" s="80"/>
      <c r="D227" s="80"/>
      <c r="E227" s="80"/>
      <c r="F227" s="188"/>
      <c r="G227" s="85"/>
      <c r="H227" s="85"/>
      <c r="I227" s="80"/>
      <c r="J227" s="187"/>
      <c r="K227" s="80"/>
      <c r="L227" s="80"/>
      <c r="M227" s="80"/>
      <c r="N227" s="80"/>
      <c r="O227" s="80"/>
      <c r="P227" s="80"/>
      <c r="Q227" s="80"/>
      <c r="R227" s="80"/>
      <c r="S227" s="80"/>
      <c r="T227" s="83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3"/>
      <c r="AL227" s="83"/>
      <c r="AM227" s="83"/>
      <c r="AN227" s="83"/>
    </row>
    <row r="228" spans="2:40" ht="15.75" customHeight="1">
      <c r="B228" s="83"/>
      <c r="C228" s="80"/>
      <c r="D228" s="80"/>
      <c r="E228" s="80"/>
      <c r="F228" s="188"/>
      <c r="G228" s="80"/>
      <c r="H228" s="80"/>
      <c r="I228" s="80"/>
      <c r="J228" s="187"/>
      <c r="K228" s="80"/>
      <c r="L228" s="80"/>
      <c r="M228" s="80"/>
      <c r="N228" s="80"/>
      <c r="O228" s="80"/>
      <c r="P228" s="80"/>
      <c r="Q228" s="80"/>
      <c r="R228" s="80"/>
      <c r="S228" s="80"/>
      <c r="T228" s="83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3"/>
      <c r="AL228" s="83"/>
      <c r="AM228" s="83"/>
      <c r="AN228" s="83"/>
    </row>
    <row r="229" spans="2:40" ht="15.75" customHeight="1">
      <c r="B229" s="83"/>
      <c r="C229" s="80"/>
      <c r="D229" s="80"/>
      <c r="E229" s="80"/>
      <c r="F229" s="188"/>
      <c r="G229" s="80"/>
      <c r="H229" s="80"/>
      <c r="I229" s="80"/>
      <c r="J229" s="187"/>
      <c r="K229" s="80"/>
      <c r="L229" s="80"/>
      <c r="M229" s="80"/>
      <c r="N229" s="80"/>
      <c r="O229" s="80"/>
      <c r="P229" s="80"/>
      <c r="Q229" s="80"/>
      <c r="R229" s="80"/>
      <c r="S229" s="80"/>
      <c r="T229" s="83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3"/>
      <c r="AL229" s="83"/>
      <c r="AM229" s="83"/>
      <c r="AN229" s="83"/>
    </row>
    <row r="230" spans="2:40" ht="15.75" customHeight="1">
      <c r="B230" s="227"/>
      <c r="C230" s="80"/>
      <c r="D230" s="80"/>
      <c r="E230" s="80"/>
      <c r="F230" s="188"/>
      <c r="G230" s="80"/>
      <c r="H230" s="80"/>
      <c r="I230" s="80"/>
      <c r="J230" s="187"/>
      <c r="K230" s="80"/>
      <c r="L230" s="80"/>
      <c r="M230" s="80"/>
      <c r="N230" s="80"/>
      <c r="O230" s="80"/>
      <c r="P230" s="80"/>
      <c r="Q230" s="80"/>
      <c r="R230" s="80"/>
      <c r="S230" s="80"/>
      <c r="T230" s="83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3"/>
      <c r="AL230" s="83"/>
      <c r="AM230" s="83"/>
      <c r="AN230" s="83"/>
    </row>
    <row r="231" spans="2:40" ht="15.75" customHeight="1">
      <c r="B231" s="83"/>
      <c r="C231" s="80"/>
      <c r="D231" s="80"/>
      <c r="E231" s="80"/>
      <c r="F231" s="188"/>
      <c r="G231" s="80"/>
      <c r="H231" s="80"/>
      <c r="I231" s="80"/>
      <c r="J231" s="187"/>
      <c r="K231" s="80"/>
      <c r="L231" s="80"/>
      <c r="M231" s="80"/>
      <c r="N231" s="80"/>
      <c r="O231" s="80"/>
      <c r="P231" s="80"/>
      <c r="Q231" s="80"/>
      <c r="R231" s="80"/>
      <c r="S231" s="80"/>
      <c r="T231" s="83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3"/>
      <c r="AL231" s="83"/>
      <c r="AM231" s="83"/>
      <c r="AN231" s="83"/>
    </row>
    <row r="232" spans="2:40" ht="15.75" customHeight="1">
      <c r="B232" s="83"/>
      <c r="C232" s="80"/>
      <c r="D232" s="80"/>
      <c r="E232" s="80"/>
      <c r="F232" s="188"/>
      <c r="G232" s="80"/>
      <c r="H232" s="80"/>
      <c r="I232" s="80"/>
      <c r="J232" s="187"/>
      <c r="K232" s="80"/>
      <c r="L232" s="80"/>
      <c r="M232" s="80"/>
      <c r="N232" s="80"/>
      <c r="O232" s="80"/>
      <c r="P232" s="80"/>
      <c r="Q232" s="80"/>
      <c r="R232" s="80"/>
      <c r="S232" s="80"/>
      <c r="T232" s="83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3"/>
      <c r="AL232" s="83"/>
      <c r="AM232" s="83"/>
      <c r="AN232" s="83"/>
    </row>
    <row r="233" spans="2:40" ht="22.5" customHeight="1">
      <c r="B233" s="83"/>
      <c r="C233" s="80"/>
      <c r="D233" s="80"/>
      <c r="E233" s="80"/>
      <c r="F233" s="188"/>
      <c r="G233" s="80"/>
      <c r="H233" s="80"/>
      <c r="I233" s="80"/>
      <c r="J233" s="187"/>
      <c r="K233" s="80"/>
      <c r="L233" s="80"/>
      <c r="M233" s="80"/>
      <c r="N233" s="80"/>
      <c r="O233" s="80"/>
      <c r="P233" s="80"/>
      <c r="Q233" s="80"/>
      <c r="R233" s="80"/>
      <c r="S233" s="80"/>
      <c r="T233" s="83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3"/>
      <c r="AL233" s="83"/>
      <c r="AM233" s="83"/>
      <c r="AN233" s="83"/>
    </row>
    <row r="234" spans="2:40" ht="15.75" customHeight="1">
      <c r="B234" s="83"/>
      <c r="C234" s="80"/>
      <c r="D234" s="80"/>
      <c r="E234" s="80"/>
      <c r="F234" s="188"/>
      <c r="G234" s="80"/>
      <c r="H234" s="80"/>
      <c r="I234" s="80"/>
      <c r="J234" s="187"/>
      <c r="K234" s="80"/>
      <c r="L234" s="80"/>
      <c r="M234" s="80"/>
      <c r="N234" s="80"/>
      <c r="O234" s="80"/>
      <c r="P234" s="80"/>
      <c r="Q234" s="80"/>
      <c r="R234" s="80"/>
      <c r="S234" s="80"/>
      <c r="T234" s="83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3"/>
      <c r="AL234" s="83"/>
      <c r="AM234" s="83"/>
      <c r="AN234" s="83"/>
    </row>
    <row r="235" spans="2:40" ht="15.75" customHeight="1">
      <c r="B235" s="83"/>
      <c r="C235" s="80"/>
      <c r="D235" s="80"/>
      <c r="E235" s="80"/>
      <c r="F235" s="188"/>
      <c r="G235" s="80"/>
      <c r="H235" s="80"/>
      <c r="I235" s="80"/>
      <c r="J235" s="187"/>
      <c r="K235" s="80"/>
      <c r="L235" s="80"/>
      <c r="M235" s="80"/>
      <c r="N235" s="80"/>
      <c r="O235" s="80"/>
      <c r="P235" s="80"/>
      <c r="Q235" s="80"/>
      <c r="R235" s="80"/>
      <c r="S235" s="80"/>
      <c r="T235" s="83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3"/>
      <c r="AL235" s="83"/>
      <c r="AM235" s="83"/>
      <c r="AN235" s="83"/>
    </row>
    <row r="236" spans="2:40" ht="15.75" customHeight="1">
      <c r="B236" s="83"/>
      <c r="C236" s="80"/>
      <c r="D236" s="80"/>
      <c r="E236" s="80"/>
      <c r="F236" s="188"/>
      <c r="G236" s="80"/>
      <c r="H236" s="80"/>
      <c r="I236" s="80"/>
      <c r="J236" s="187"/>
      <c r="K236" s="80"/>
      <c r="L236" s="80"/>
      <c r="M236" s="80"/>
      <c r="N236" s="80"/>
      <c r="O236" s="80"/>
      <c r="P236" s="80"/>
      <c r="Q236" s="80"/>
      <c r="R236" s="80"/>
      <c r="S236" s="80"/>
      <c r="T236" s="83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3"/>
      <c r="AL236" s="83"/>
      <c r="AM236" s="83"/>
      <c r="AN236" s="83"/>
    </row>
    <row r="237" spans="2:40" ht="15.75" customHeight="1">
      <c r="B237" s="83"/>
      <c r="C237" s="80"/>
      <c r="D237" s="80"/>
      <c r="E237" s="80"/>
      <c r="F237" s="188"/>
      <c r="G237" s="80"/>
      <c r="H237" s="80"/>
      <c r="I237" s="80"/>
      <c r="J237" s="187"/>
      <c r="K237" s="80"/>
      <c r="L237" s="80"/>
      <c r="M237" s="80"/>
      <c r="N237" s="80"/>
      <c r="O237" s="80"/>
      <c r="P237" s="80"/>
      <c r="Q237" s="80"/>
      <c r="R237" s="80"/>
      <c r="S237" s="80"/>
      <c r="T237" s="83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3"/>
      <c r="AL237" s="83"/>
      <c r="AM237" s="83"/>
      <c r="AN237" s="83"/>
    </row>
    <row r="238" spans="2:40" ht="15.75" customHeight="1">
      <c r="B238" s="83"/>
      <c r="C238" s="80"/>
      <c r="D238" s="80"/>
      <c r="E238" s="80"/>
      <c r="F238" s="188"/>
      <c r="G238" s="80"/>
      <c r="H238" s="80"/>
      <c r="I238" s="80"/>
      <c r="J238" s="187"/>
      <c r="K238" s="80"/>
      <c r="L238" s="80"/>
      <c r="M238" s="80"/>
      <c r="N238" s="80"/>
      <c r="O238" s="80"/>
      <c r="P238" s="80"/>
      <c r="Q238" s="80"/>
      <c r="R238" s="80"/>
      <c r="S238" s="80"/>
      <c r="T238" s="83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3"/>
      <c r="AL238" s="83"/>
      <c r="AM238" s="83"/>
      <c r="AN238" s="83"/>
    </row>
    <row r="239" spans="2:40" ht="15.75" customHeight="1">
      <c r="B239" s="83"/>
      <c r="C239" s="80"/>
      <c r="D239" s="80"/>
      <c r="E239" s="80"/>
      <c r="F239" s="188"/>
      <c r="G239" s="80"/>
      <c r="H239" s="80"/>
      <c r="I239" s="80"/>
      <c r="J239" s="187"/>
      <c r="K239" s="80"/>
      <c r="L239" s="80"/>
      <c r="M239" s="80"/>
      <c r="N239" s="80"/>
      <c r="O239" s="80"/>
      <c r="P239" s="80"/>
      <c r="Q239" s="80"/>
      <c r="R239" s="80"/>
      <c r="S239" s="80"/>
      <c r="T239" s="83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3"/>
      <c r="AL239" s="83"/>
      <c r="AM239" s="83"/>
      <c r="AN239" s="83"/>
    </row>
    <row r="240" spans="2:40" ht="15.75" customHeight="1">
      <c r="B240" s="83"/>
      <c r="C240" s="80"/>
      <c r="D240" s="80"/>
      <c r="E240" s="80"/>
      <c r="F240" s="188"/>
      <c r="G240" s="80"/>
      <c r="H240" s="80"/>
      <c r="I240" s="80"/>
      <c r="J240" s="187"/>
      <c r="K240" s="80"/>
      <c r="L240" s="80"/>
      <c r="M240" s="80"/>
      <c r="N240" s="80"/>
      <c r="O240" s="80"/>
      <c r="P240" s="80"/>
      <c r="Q240" s="80"/>
      <c r="R240" s="80"/>
      <c r="S240" s="80"/>
      <c r="T240" s="83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3"/>
      <c r="AL240" s="83"/>
      <c r="AM240" s="83"/>
      <c r="AN240" s="83"/>
    </row>
    <row r="241" spans="2:40" ht="15.75" customHeight="1">
      <c r="B241" s="83"/>
      <c r="C241" s="80"/>
      <c r="D241" s="80"/>
      <c r="E241" s="80"/>
      <c r="F241" s="188"/>
      <c r="G241" s="80"/>
      <c r="H241" s="80"/>
      <c r="I241" s="80"/>
      <c r="J241" s="187"/>
      <c r="K241" s="80"/>
      <c r="L241" s="80"/>
      <c r="M241" s="80"/>
      <c r="N241" s="80"/>
      <c r="O241" s="80"/>
      <c r="P241" s="80"/>
      <c r="Q241" s="80"/>
      <c r="R241" s="80"/>
      <c r="S241" s="80"/>
      <c r="T241" s="83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3"/>
      <c r="AL241" s="83"/>
      <c r="AM241" s="83"/>
      <c r="AN241" s="83"/>
    </row>
    <row r="242" spans="2:40" ht="15.75" customHeight="1">
      <c r="B242" s="83"/>
      <c r="C242" s="80"/>
      <c r="D242" s="80"/>
      <c r="E242" s="80"/>
      <c r="F242" s="188"/>
      <c r="G242" s="80"/>
      <c r="H242" s="80"/>
      <c r="I242" s="80"/>
      <c r="J242" s="187"/>
      <c r="K242" s="80"/>
      <c r="L242" s="80"/>
      <c r="M242" s="80"/>
      <c r="N242" s="80"/>
      <c r="O242" s="80"/>
      <c r="P242" s="80"/>
      <c r="Q242" s="80"/>
      <c r="R242" s="80"/>
      <c r="S242" s="80"/>
      <c r="T242" s="83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3"/>
      <c r="AL242" s="83"/>
      <c r="AM242" s="83"/>
      <c r="AN242" s="83"/>
    </row>
    <row r="243" spans="2:40" ht="15.75" customHeight="1">
      <c r="B243" s="83"/>
      <c r="C243" s="80"/>
      <c r="D243" s="80"/>
      <c r="E243" s="80"/>
      <c r="F243" s="188"/>
      <c r="G243" s="80"/>
      <c r="H243" s="80"/>
      <c r="I243" s="80"/>
      <c r="J243" s="187"/>
      <c r="K243" s="80"/>
      <c r="L243" s="80"/>
      <c r="M243" s="80"/>
      <c r="N243" s="80"/>
      <c r="O243" s="80"/>
      <c r="P243" s="80"/>
      <c r="Q243" s="80"/>
      <c r="R243" s="80"/>
      <c r="S243" s="80"/>
      <c r="T243" s="83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3"/>
      <c r="AL243" s="83"/>
      <c r="AM243" s="83"/>
      <c r="AN243" s="83"/>
    </row>
    <row r="244" spans="2:40" ht="15.75" customHeight="1">
      <c r="B244" s="83"/>
      <c r="C244" s="80"/>
      <c r="D244" s="80"/>
      <c r="E244" s="80"/>
      <c r="F244" s="188"/>
      <c r="G244" s="80"/>
      <c r="H244" s="80"/>
      <c r="I244" s="80"/>
      <c r="J244" s="187"/>
      <c r="K244" s="80"/>
      <c r="L244" s="80"/>
      <c r="M244" s="80"/>
      <c r="N244" s="80"/>
      <c r="O244" s="80"/>
      <c r="P244" s="80"/>
      <c r="Q244" s="80"/>
      <c r="R244" s="80"/>
      <c r="S244" s="80"/>
      <c r="T244" s="83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3"/>
      <c r="AL244" s="83"/>
      <c r="AM244" s="83"/>
      <c r="AN244" s="83"/>
    </row>
    <row r="245" spans="2:40" ht="15.75" customHeight="1">
      <c r="B245" s="83"/>
      <c r="C245" s="80"/>
      <c r="D245" s="80"/>
      <c r="E245" s="80"/>
      <c r="F245" s="188"/>
      <c r="G245" s="80"/>
      <c r="H245" s="80"/>
      <c r="I245" s="80"/>
      <c r="J245" s="187"/>
      <c r="K245" s="80"/>
      <c r="L245" s="80"/>
      <c r="M245" s="80"/>
      <c r="N245" s="80"/>
      <c r="O245" s="80"/>
      <c r="P245" s="80"/>
      <c r="Q245" s="80"/>
      <c r="R245" s="80"/>
      <c r="S245" s="80"/>
      <c r="T245" s="83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3"/>
      <c r="AL245" s="83"/>
      <c r="AM245" s="83"/>
      <c r="AN245" s="83"/>
    </row>
    <row r="246" spans="2:40" ht="15.75" customHeight="1">
      <c r="B246" s="83"/>
      <c r="C246" s="80"/>
      <c r="D246" s="80"/>
      <c r="E246" s="80"/>
      <c r="F246" s="188"/>
      <c r="G246" s="80"/>
      <c r="H246" s="80"/>
      <c r="I246" s="80"/>
      <c r="J246" s="187"/>
      <c r="K246" s="80"/>
      <c r="L246" s="80"/>
      <c r="M246" s="80"/>
      <c r="N246" s="80"/>
      <c r="O246" s="80"/>
      <c r="P246" s="80"/>
      <c r="Q246" s="80"/>
      <c r="R246" s="80"/>
      <c r="S246" s="80"/>
      <c r="T246" s="83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3"/>
      <c r="AL246" s="83"/>
      <c r="AM246" s="83"/>
      <c r="AN246" s="83"/>
    </row>
    <row r="247" spans="2:40" ht="15.75" customHeight="1">
      <c r="B247" s="83"/>
      <c r="C247" s="80"/>
      <c r="D247" s="80"/>
      <c r="E247" s="80"/>
      <c r="F247" s="188"/>
      <c r="G247" s="80"/>
      <c r="H247" s="80"/>
      <c r="I247" s="80"/>
      <c r="J247" s="187"/>
      <c r="K247" s="80"/>
      <c r="L247" s="80"/>
      <c r="M247" s="80"/>
      <c r="N247" s="80"/>
      <c r="O247" s="80"/>
      <c r="P247" s="80"/>
      <c r="Q247" s="80"/>
      <c r="R247" s="80"/>
      <c r="S247" s="80"/>
      <c r="T247" s="83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3"/>
      <c r="AL247" s="83"/>
      <c r="AM247" s="83"/>
      <c r="AN247" s="83"/>
    </row>
    <row r="248" spans="2:40" ht="15.75" customHeight="1">
      <c r="B248" s="83"/>
      <c r="C248" s="80"/>
      <c r="D248" s="80"/>
      <c r="E248" s="80"/>
      <c r="F248" s="188"/>
      <c r="G248" s="80"/>
      <c r="H248" s="80"/>
      <c r="I248" s="80"/>
      <c r="J248" s="187"/>
      <c r="K248" s="80"/>
      <c r="L248" s="80"/>
      <c r="M248" s="80"/>
      <c r="N248" s="80"/>
      <c r="O248" s="80"/>
      <c r="P248" s="80"/>
      <c r="Q248" s="80"/>
      <c r="R248" s="80"/>
      <c r="S248" s="80"/>
      <c r="T248" s="83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3"/>
      <c r="AL248" s="83"/>
      <c r="AM248" s="83"/>
      <c r="AN248" s="83"/>
    </row>
    <row r="249" spans="2:40" ht="15.75" customHeight="1">
      <c r="B249" s="83"/>
      <c r="C249" s="80"/>
      <c r="D249" s="80"/>
      <c r="E249" s="80"/>
      <c r="F249" s="188"/>
      <c r="G249" s="80"/>
      <c r="H249" s="80"/>
      <c r="I249" s="80"/>
      <c r="J249" s="187"/>
      <c r="K249" s="80"/>
      <c r="L249" s="80"/>
      <c r="M249" s="80"/>
      <c r="N249" s="80"/>
      <c r="O249" s="80"/>
      <c r="P249" s="80"/>
      <c r="Q249" s="80"/>
      <c r="R249" s="80"/>
      <c r="S249" s="80"/>
      <c r="T249" s="83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3"/>
      <c r="AL249" s="83"/>
      <c r="AM249" s="83"/>
      <c r="AN249" s="83"/>
    </row>
    <row r="250" spans="2:40" ht="15.75" customHeight="1">
      <c r="B250" s="83"/>
      <c r="C250" s="80"/>
      <c r="D250" s="80"/>
      <c r="E250" s="80"/>
      <c r="F250" s="188"/>
      <c r="G250" s="80"/>
      <c r="H250" s="80"/>
      <c r="I250" s="80"/>
      <c r="J250" s="187"/>
      <c r="K250" s="80"/>
      <c r="L250" s="80"/>
      <c r="M250" s="80"/>
      <c r="N250" s="80"/>
      <c r="O250" s="80"/>
      <c r="P250" s="80"/>
      <c r="Q250" s="80"/>
      <c r="R250" s="80"/>
      <c r="S250" s="80"/>
      <c r="T250" s="83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3"/>
      <c r="AL250" s="83"/>
      <c r="AM250" s="83"/>
      <c r="AN250" s="83"/>
    </row>
    <row r="251" spans="2:40" ht="15.75" customHeight="1">
      <c r="B251" s="83"/>
      <c r="C251" s="80"/>
      <c r="D251" s="80"/>
      <c r="E251" s="80"/>
      <c r="F251" s="188"/>
      <c r="G251" s="80"/>
      <c r="H251" s="80"/>
      <c r="I251" s="80"/>
      <c r="J251" s="187"/>
      <c r="K251" s="80"/>
      <c r="L251" s="80"/>
      <c r="M251" s="80"/>
      <c r="N251" s="80"/>
      <c r="O251" s="80"/>
      <c r="P251" s="80"/>
      <c r="Q251" s="80"/>
      <c r="R251" s="80"/>
      <c r="S251" s="80"/>
      <c r="T251" s="83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3"/>
      <c r="AL251" s="83"/>
      <c r="AM251" s="83"/>
      <c r="AN251" s="83"/>
    </row>
    <row r="252" spans="2:40" ht="15.75" customHeight="1">
      <c r="B252" s="83"/>
      <c r="C252" s="80"/>
      <c r="D252" s="80"/>
      <c r="E252" s="80"/>
      <c r="F252" s="188"/>
      <c r="G252" s="80"/>
      <c r="H252" s="80"/>
      <c r="I252" s="80"/>
      <c r="J252" s="187"/>
      <c r="K252" s="80"/>
      <c r="L252" s="80"/>
      <c r="M252" s="80"/>
      <c r="N252" s="80"/>
      <c r="O252" s="80"/>
      <c r="P252" s="80"/>
      <c r="Q252" s="80"/>
      <c r="R252" s="80"/>
      <c r="S252" s="80"/>
      <c r="T252" s="83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3"/>
      <c r="AL252" s="83"/>
      <c r="AM252" s="83"/>
      <c r="AN252" s="83"/>
    </row>
    <row r="253" spans="2:40" ht="15.75" customHeight="1">
      <c r="B253" s="83"/>
      <c r="C253" s="80"/>
      <c r="D253" s="80"/>
      <c r="E253" s="80"/>
      <c r="F253" s="188"/>
      <c r="G253" s="80"/>
      <c r="H253" s="80"/>
      <c r="I253" s="80"/>
      <c r="J253" s="187"/>
      <c r="K253" s="80"/>
      <c r="L253" s="80"/>
      <c r="M253" s="80"/>
      <c r="N253" s="80"/>
      <c r="O253" s="80"/>
      <c r="P253" s="80"/>
      <c r="Q253" s="80"/>
      <c r="R253" s="80"/>
      <c r="S253" s="80"/>
      <c r="T253" s="83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3"/>
      <c r="AL253" s="83"/>
      <c r="AM253" s="83"/>
      <c r="AN253" s="83"/>
    </row>
    <row r="254" spans="2:40" ht="15.75" customHeight="1">
      <c r="B254" s="83"/>
      <c r="C254" s="80"/>
      <c r="D254" s="80"/>
      <c r="E254" s="80"/>
      <c r="F254" s="188"/>
      <c r="G254" s="80"/>
      <c r="H254" s="80"/>
      <c r="I254" s="80"/>
      <c r="J254" s="187"/>
      <c r="K254" s="80"/>
      <c r="L254" s="80"/>
      <c r="M254" s="80"/>
      <c r="N254" s="80"/>
      <c r="O254" s="80"/>
      <c r="P254" s="80"/>
      <c r="Q254" s="80"/>
      <c r="R254" s="80"/>
      <c r="S254" s="80"/>
      <c r="T254" s="83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3"/>
      <c r="AL254" s="83"/>
      <c r="AM254" s="83"/>
      <c r="AN254" s="83"/>
    </row>
    <row r="255" spans="2:40" ht="15.75" customHeight="1">
      <c r="B255" s="83"/>
      <c r="C255" s="80"/>
      <c r="D255" s="80"/>
      <c r="E255" s="80"/>
      <c r="F255" s="188"/>
      <c r="G255" s="80"/>
      <c r="H255" s="80"/>
      <c r="I255" s="80"/>
      <c r="J255" s="187"/>
      <c r="K255" s="80"/>
      <c r="L255" s="80"/>
      <c r="M255" s="80"/>
      <c r="N255" s="80"/>
      <c r="O255" s="80"/>
      <c r="P255" s="80"/>
      <c r="Q255" s="80"/>
      <c r="R255" s="80"/>
      <c r="S255" s="80"/>
      <c r="T255" s="83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3"/>
      <c r="AL255" s="83"/>
      <c r="AM255" s="83"/>
      <c r="AN255" s="83"/>
    </row>
    <row r="256" spans="2:40" ht="15.75" customHeight="1">
      <c r="B256" s="83"/>
      <c r="C256" s="80"/>
      <c r="D256" s="80"/>
      <c r="E256" s="80"/>
      <c r="F256" s="188"/>
      <c r="G256" s="80"/>
      <c r="H256" s="80"/>
      <c r="I256" s="80"/>
      <c r="J256" s="187"/>
      <c r="K256" s="80"/>
      <c r="L256" s="80"/>
      <c r="M256" s="80"/>
      <c r="N256" s="80"/>
      <c r="O256" s="80"/>
      <c r="P256" s="80"/>
      <c r="Q256" s="80"/>
      <c r="R256" s="80"/>
      <c r="S256" s="80"/>
      <c r="T256" s="83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3"/>
      <c r="AL256" s="83"/>
      <c r="AM256" s="83"/>
      <c r="AN256" s="83"/>
    </row>
    <row r="257" spans="2:40" ht="15.75" customHeight="1">
      <c r="B257" s="83"/>
      <c r="C257" s="80"/>
      <c r="D257" s="80"/>
      <c r="E257" s="80"/>
      <c r="F257" s="188"/>
      <c r="G257" s="80"/>
      <c r="H257" s="80"/>
      <c r="I257" s="80"/>
      <c r="J257" s="187"/>
      <c r="K257" s="80"/>
      <c r="L257" s="80"/>
      <c r="M257" s="80"/>
      <c r="N257" s="80"/>
      <c r="O257" s="80"/>
      <c r="P257" s="80"/>
      <c r="Q257" s="80"/>
      <c r="R257" s="80"/>
      <c r="S257" s="80"/>
      <c r="T257" s="83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  <c r="AI257" s="85"/>
      <c r="AJ257" s="85"/>
      <c r="AK257" s="83"/>
      <c r="AL257" s="83"/>
      <c r="AM257" s="83"/>
      <c r="AN257" s="83"/>
    </row>
    <row r="258" spans="2:40" ht="15.75" customHeight="1">
      <c r="B258" s="83"/>
      <c r="C258" s="80"/>
      <c r="D258" s="80"/>
      <c r="E258" s="80"/>
      <c r="F258" s="188"/>
      <c r="G258" s="80"/>
      <c r="H258" s="80"/>
      <c r="I258" s="80"/>
      <c r="J258" s="187"/>
      <c r="K258" s="80"/>
      <c r="L258" s="80"/>
      <c r="M258" s="80"/>
      <c r="N258" s="80"/>
      <c r="O258" s="80"/>
      <c r="P258" s="80"/>
      <c r="Q258" s="80"/>
      <c r="R258" s="80"/>
      <c r="S258" s="80"/>
      <c r="T258" s="83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3"/>
      <c r="AL258" s="83"/>
      <c r="AM258" s="83"/>
      <c r="AN258" s="83"/>
    </row>
    <row r="259" spans="2:40" ht="15.75" customHeight="1">
      <c r="B259" s="83"/>
      <c r="C259" s="80"/>
      <c r="D259" s="80"/>
      <c r="E259" s="80"/>
      <c r="F259" s="188"/>
      <c r="G259" s="80"/>
      <c r="H259" s="80"/>
      <c r="I259" s="80"/>
      <c r="J259" s="187"/>
      <c r="K259" s="80"/>
      <c r="L259" s="80"/>
      <c r="M259" s="80"/>
      <c r="N259" s="80"/>
      <c r="O259" s="80"/>
      <c r="P259" s="80"/>
      <c r="Q259" s="80"/>
      <c r="R259" s="80"/>
      <c r="S259" s="80"/>
      <c r="T259" s="83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  <c r="AI259" s="85"/>
      <c r="AJ259" s="85"/>
      <c r="AK259" s="83"/>
      <c r="AL259" s="83"/>
      <c r="AM259" s="83"/>
      <c r="AN259" s="83"/>
    </row>
    <row r="260" spans="2:40" ht="15.75" customHeight="1">
      <c r="B260" s="83"/>
      <c r="C260" s="80"/>
      <c r="D260" s="80"/>
      <c r="E260" s="80"/>
      <c r="F260" s="188"/>
      <c r="G260" s="80"/>
      <c r="H260" s="80"/>
      <c r="I260" s="80"/>
      <c r="J260" s="187"/>
      <c r="K260" s="80"/>
      <c r="L260" s="80"/>
      <c r="M260" s="80"/>
      <c r="N260" s="80"/>
      <c r="O260" s="80"/>
      <c r="P260" s="80"/>
      <c r="Q260" s="80"/>
      <c r="R260" s="80"/>
      <c r="S260" s="80"/>
      <c r="T260" s="83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3"/>
      <c r="AL260" s="83"/>
      <c r="AM260" s="83"/>
      <c r="AN260" s="83"/>
    </row>
    <row r="261" spans="2:40" ht="15.75" customHeight="1">
      <c r="B261" s="83"/>
      <c r="C261" s="80"/>
      <c r="D261" s="80"/>
      <c r="E261" s="80"/>
      <c r="F261" s="188"/>
      <c r="G261" s="80"/>
      <c r="H261" s="80"/>
      <c r="I261" s="80"/>
      <c r="J261" s="187"/>
      <c r="K261" s="80"/>
      <c r="L261" s="80"/>
      <c r="M261" s="80"/>
      <c r="N261" s="80"/>
      <c r="O261" s="80"/>
      <c r="P261" s="80"/>
      <c r="Q261" s="80"/>
      <c r="R261" s="80"/>
      <c r="S261" s="80"/>
      <c r="T261" s="83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3"/>
      <c r="AL261" s="83"/>
      <c r="AM261" s="83"/>
      <c r="AN261" s="83"/>
    </row>
    <row r="262" spans="2:40" ht="15.75" customHeight="1">
      <c r="B262" s="83"/>
      <c r="C262" s="80"/>
      <c r="D262" s="80"/>
      <c r="E262" s="80"/>
      <c r="F262" s="188"/>
      <c r="G262" s="80"/>
      <c r="H262" s="80"/>
      <c r="I262" s="80"/>
      <c r="J262" s="187"/>
      <c r="K262" s="80"/>
      <c r="L262" s="80"/>
      <c r="M262" s="80"/>
      <c r="N262" s="80"/>
      <c r="O262" s="80"/>
      <c r="P262" s="80"/>
      <c r="Q262" s="80"/>
      <c r="R262" s="80"/>
      <c r="S262" s="80"/>
      <c r="T262" s="83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3"/>
      <c r="AL262" s="83"/>
      <c r="AM262" s="83"/>
      <c r="AN262" s="83"/>
    </row>
    <row r="263" spans="2:40" ht="15.75" customHeight="1">
      <c r="B263" s="83"/>
      <c r="C263" s="80"/>
      <c r="D263" s="80"/>
      <c r="E263" s="80"/>
      <c r="F263" s="188"/>
      <c r="G263" s="80"/>
      <c r="H263" s="80"/>
      <c r="I263" s="80"/>
      <c r="J263" s="187"/>
      <c r="K263" s="80"/>
      <c r="L263" s="80"/>
      <c r="M263" s="80"/>
      <c r="N263" s="80"/>
      <c r="O263" s="80"/>
      <c r="P263" s="80"/>
      <c r="Q263" s="80"/>
      <c r="R263" s="80"/>
      <c r="S263" s="80"/>
      <c r="T263" s="83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3"/>
      <c r="AL263" s="83"/>
      <c r="AM263" s="83"/>
      <c r="AN263" s="83"/>
    </row>
    <row r="264" spans="2:40" ht="15.75" customHeight="1">
      <c r="B264" s="83"/>
      <c r="C264" s="80"/>
      <c r="D264" s="80"/>
      <c r="E264" s="80"/>
      <c r="F264" s="188"/>
      <c r="G264" s="80"/>
      <c r="H264" s="80"/>
      <c r="I264" s="80"/>
      <c r="J264" s="187"/>
      <c r="K264" s="80"/>
      <c r="L264" s="80"/>
      <c r="M264" s="80"/>
      <c r="N264" s="80"/>
      <c r="O264" s="80"/>
      <c r="P264" s="80"/>
      <c r="Q264" s="80"/>
      <c r="R264" s="80"/>
      <c r="S264" s="80"/>
      <c r="T264" s="83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3"/>
      <c r="AL264" s="83"/>
      <c r="AM264" s="83"/>
      <c r="AN264" s="83"/>
    </row>
    <row r="265" spans="2:40" ht="15.75" customHeight="1">
      <c r="B265" s="83"/>
      <c r="C265" s="80"/>
      <c r="D265" s="80"/>
      <c r="E265" s="80"/>
      <c r="F265" s="188"/>
      <c r="G265" s="80"/>
      <c r="H265" s="80"/>
      <c r="I265" s="80"/>
      <c r="J265" s="187"/>
      <c r="K265" s="80"/>
      <c r="L265" s="80"/>
      <c r="M265" s="80"/>
      <c r="N265" s="80"/>
      <c r="O265" s="80"/>
      <c r="P265" s="80"/>
      <c r="Q265" s="80"/>
      <c r="R265" s="80"/>
      <c r="S265" s="80"/>
      <c r="T265" s="83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3"/>
      <c r="AL265" s="83"/>
      <c r="AM265" s="83"/>
      <c r="AN265" s="83"/>
    </row>
    <row r="266" spans="2:40" ht="15.75" customHeight="1">
      <c r="B266" s="83"/>
      <c r="C266" s="80"/>
      <c r="D266" s="80"/>
      <c r="E266" s="80"/>
      <c r="F266" s="188"/>
      <c r="G266" s="80"/>
      <c r="H266" s="80"/>
      <c r="I266" s="80"/>
      <c r="J266" s="187"/>
      <c r="K266" s="80"/>
      <c r="L266" s="80"/>
      <c r="M266" s="80"/>
      <c r="N266" s="80"/>
      <c r="O266" s="80"/>
      <c r="P266" s="80"/>
      <c r="Q266" s="80"/>
      <c r="R266" s="80"/>
      <c r="S266" s="80"/>
      <c r="T266" s="83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3"/>
      <c r="AL266" s="83"/>
      <c r="AM266" s="83"/>
      <c r="AN266" s="83"/>
    </row>
    <row r="267" spans="2:40" ht="15.75" customHeight="1">
      <c r="B267" s="83"/>
      <c r="C267" s="80"/>
      <c r="D267" s="80"/>
      <c r="E267" s="80"/>
      <c r="F267" s="188"/>
      <c r="G267" s="80"/>
      <c r="H267" s="80"/>
      <c r="I267" s="80"/>
      <c r="J267" s="187"/>
      <c r="K267" s="80"/>
      <c r="L267" s="80"/>
      <c r="M267" s="80"/>
      <c r="N267" s="80"/>
      <c r="O267" s="80"/>
      <c r="P267" s="80"/>
      <c r="Q267" s="80"/>
      <c r="R267" s="80"/>
      <c r="S267" s="80"/>
      <c r="T267" s="83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3"/>
      <c r="AL267" s="83"/>
      <c r="AM267" s="83"/>
      <c r="AN267" s="83"/>
    </row>
    <row r="268" spans="2:40" ht="15.75" customHeight="1">
      <c r="B268" s="83"/>
      <c r="C268" s="80"/>
      <c r="D268" s="80"/>
      <c r="E268" s="80"/>
      <c r="F268" s="188"/>
      <c r="G268" s="80"/>
      <c r="H268" s="80"/>
      <c r="I268" s="80"/>
      <c r="J268" s="187"/>
      <c r="K268" s="80"/>
      <c r="L268" s="80"/>
      <c r="M268" s="80"/>
      <c r="N268" s="80"/>
      <c r="O268" s="80"/>
      <c r="P268" s="80"/>
      <c r="Q268" s="80"/>
      <c r="R268" s="80"/>
      <c r="S268" s="80"/>
      <c r="T268" s="83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3"/>
      <c r="AL268" s="83"/>
      <c r="AM268" s="83"/>
      <c r="AN268" s="83"/>
    </row>
    <row r="269" spans="2:40" ht="15.75" customHeight="1">
      <c r="B269" s="83"/>
      <c r="C269" s="80"/>
      <c r="D269" s="80"/>
      <c r="E269" s="80"/>
      <c r="F269" s="188"/>
      <c r="G269" s="80"/>
      <c r="H269" s="80"/>
      <c r="I269" s="80"/>
      <c r="J269" s="187"/>
      <c r="K269" s="80"/>
      <c r="L269" s="80"/>
      <c r="M269" s="80"/>
      <c r="N269" s="80"/>
      <c r="O269" s="80"/>
      <c r="P269" s="80"/>
      <c r="Q269" s="80"/>
      <c r="R269" s="80"/>
      <c r="S269" s="80"/>
      <c r="T269" s="83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3"/>
      <c r="AL269" s="83"/>
      <c r="AM269" s="83"/>
      <c r="AN269" s="83"/>
    </row>
    <row r="270" spans="2:40" ht="15.75" customHeight="1">
      <c r="B270" s="83"/>
      <c r="C270" s="80"/>
      <c r="D270" s="80"/>
      <c r="E270" s="80"/>
      <c r="F270" s="188"/>
      <c r="G270" s="80"/>
      <c r="H270" s="80"/>
      <c r="I270" s="80"/>
      <c r="J270" s="187"/>
      <c r="K270" s="80"/>
      <c r="L270" s="80"/>
      <c r="M270" s="80"/>
      <c r="N270" s="80"/>
      <c r="O270" s="80"/>
      <c r="P270" s="80"/>
      <c r="Q270" s="80"/>
      <c r="R270" s="80"/>
      <c r="S270" s="80"/>
      <c r="T270" s="83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3"/>
      <c r="AL270" s="83"/>
      <c r="AM270" s="83"/>
      <c r="AN270" s="83"/>
    </row>
    <row r="271" spans="2:40" ht="15.75" customHeight="1">
      <c r="B271" s="83"/>
      <c r="C271" s="80"/>
      <c r="D271" s="80"/>
      <c r="E271" s="80"/>
      <c r="F271" s="188"/>
      <c r="G271" s="80"/>
      <c r="H271" s="80"/>
      <c r="I271" s="80"/>
      <c r="J271" s="187"/>
      <c r="K271" s="80"/>
      <c r="L271" s="80"/>
      <c r="M271" s="80"/>
      <c r="N271" s="80"/>
      <c r="O271" s="80"/>
      <c r="P271" s="80"/>
      <c r="Q271" s="80"/>
      <c r="R271" s="80"/>
      <c r="S271" s="80"/>
      <c r="T271" s="83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3"/>
      <c r="AL271" s="83"/>
      <c r="AM271" s="83"/>
      <c r="AN271" s="83"/>
    </row>
    <row r="272" spans="2:40" ht="15.75" customHeight="1">
      <c r="B272" s="83"/>
      <c r="C272" s="80"/>
      <c r="D272" s="80"/>
      <c r="E272" s="80"/>
      <c r="F272" s="188"/>
      <c r="G272" s="80"/>
      <c r="H272" s="80"/>
      <c r="I272" s="80"/>
      <c r="J272" s="187"/>
      <c r="K272" s="80"/>
      <c r="L272" s="80"/>
      <c r="M272" s="80"/>
      <c r="N272" s="80"/>
      <c r="O272" s="80"/>
      <c r="P272" s="80"/>
      <c r="Q272" s="80"/>
      <c r="R272" s="80"/>
      <c r="S272" s="80"/>
      <c r="T272" s="83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3"/>
      <c r="AL272" s="83"/>
      <c r="AM272" s="83"/>
      <c r="AN272" s="83"/>
    </row>
    <row r="273" spans="2:40" ht="15.75" customHeight="1">
      <c r="B273" s="83"/>
      <c r="C273" s="80"/>
      <c r="D273" s="80"/>
      <c r="E273" s="80"/>
      <c r="F273" s="188"/>
      <c r="G273" s="80"/>
      <c r="H273" s="80"/>
      <c r="I273" s="80"/>
      <c r="J273" s="187"/>
      <c r="K273" s="80"/>
      <c r="L273" s="80"/>
      <c r="M273" s="80"/>
      <c r="N273" s="80"/>
      <c r="O273" s="80"/>
      <c r="P273" s="80"/>
      <c r="Q273" s="80"/>
      <c r="R273" s="80"/>
      <c r="S273" s="80"/>
      <c r="T273" s="83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3"/>
      <c r="AL273" s="83"/>
      <c r="AM273" s="83"/>
      <c r="AN273" s="83"/>
    </row>
    <row r="274" spans="2:40" ht="15.75" customHeight="1">
      <c r="B274" s="83"/>
      <c r="C274" s="80"/>
      <c r="D274" s="80"/>
      <c r="E274" s="80"/>
      <c r="F274" s="188"/>
      <c r="G274" s="80"/>
      <c r="H274" s="80"/>
      <c r="I274" s="80"/>
      <c r="J274" s="187"/>
      <c r="K274" s="80"/>
      <c r="L274" s="80"/>
      <c r="M274" s="80"/>
      <c r="N274" s="80"/>
      <c r="O274" s="80"/>
      <c r="P274" s="80"/>
      <c r="Q274" s="80"/>
      <c r="R274" s="80"/>
      <c r="S274" s="80"/>
      <c r="T274" s="83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3"/>
      <c r="AL274" s="83"/>
      <c r="AM274" s="83"/>
      <c r="AN274" s="83"/>
    </row>
    <row r="275" spans="2:40" ht="15.75" customHeight="1">
      <c r="B275" s="83"/>
      <c r="C275" s="80"/>
      <c r="D275" s="80"/>
      <c r="E275" s="80"/>
      <c r="F275" s="188"/>
      <c r="G275" s="80"/>
      <c r="H275" s="80"/>
      <c r="I275" s="80"/>
      <c r="J275" s="187"/>
      <c r="K275" s="80"/>
      <c r="L275" s="80"/>
      <c r="M275" s="80"/>
      <c r="N275" s="80"/>
      <c r="O275" s="80"/>
      <c r="P275" s="80"/>
      <c r="Q275" s="80"/>
      <c r="R275" s="80"/>
      <c r="S275" s="80"/>
      <c r="T275" s="83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3"/>
      <c r="AL275" s="83"/>
      <c r="AM275" s="83"/>
      <c r="AN275" s="83"/>
    </row>
    <row r="276" spans="2:40" ht="15.75" customHeight="1">
      <c r="B276" s="83"/>
      <c r="C276" s="80"/>
      <c r="D276" s="80"/>
      <c r="E276" s="80"/>
      <c r="F276" s="188"/>
      <c r="G276" s="80"/>
      <c r="H276" s="80"/>
      <c r="I276" s="80"/>
      <c r="J276" s="187"/>
      <c r="K276" s="80"/>
      <c r="L276" s="80"/>
      <c r="M276" s="80"/>
      <c r="N276" s="80"/>
      <c r="O276" s="80"/>
      <c r="P276" s="80"/>
      <c r="Q276" s="80"/>
      <c r="R276" s="80"/>
      <c r="S276" s="80"/>
      <c r="T276" s="83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3"/>
      <c r="AL276" s="83"/>
      <c r="AM276" s="83"/>
      <c r="AN276" s="83"/>
    </row>
    <row r="277" spans="2:40" ht="15.75" customHeight="1">
      <c r="B277" s="83"/>
      <c r="C277" s="80"/>
      <c r="D277" s="80"/>
      <c r="E277" s="80"/>
      <c r="F277" s="188"/>
      <c r="G277" s="80"/>
      <c r="H277" s="80"/>
      <c r="I277" s="80"/>
      <c r="J277" s="187"/>
      <c r="K277" s="80"/>
      <c r="L277" s="80"/>
      <c r="M277" s="80"/>
      <c r="N277" s="80"/>
      <c r="O277" s="80"/>
      <c r="P277" s="80"/>
      <c r="Q277" s="80"/>
      <c r="R277" s="80"/>
      <c r="S277" s="80"/>
      <c r="T277" s="83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3"/>
      <c r="AL277" s="83"/>
      <c r="AM277" s="83"/>
      <c r="AN277" s="83"/>
    </row>
    <row r="278" spans="2:40" ht="15.75" customHeight="1">
      <c r="B278" s="83"/>
      <c r="C278" s="80"/>
      <c r="D278" s="80"/>
      <c r="E278" s="80"/>
      <c r="F278" s="188"/>
      <c r="G278" s="80"/>
      <c r="H278" s="80"/>
      <c r="I278" s="80"/>
      <c r="J278" s="187"/>
      <c r="K278" s="80"/>
      <c r="L278" s="80"/>
      <c r="M278" s="80"/>
      <c r="N278" s="80"/>
      <c r="O278" s="80"/>
      <c r="P278" s="80"/>
      <c r="Q278" s="80"/>
      <c r="R278" s="80"/>
      <c r="S278" s="80"/>
      <c r="T278" s="83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3"/>
      <c r="AL278" s="83"/>
      <c r="AM278" s="83"/>
      <c r="AN278" s="83"/>
    </row>
    <row r="279" spans="2:40" ht="15.75" customHeight="1">
      <c r="B279" s="83"/>
      <c r="C279" s="80"/>
      <c r="D279" s="80"/>
      <c r="E279" s="80"/>
      <c r="F279" s="188"/>
      <c r="G279" s="80"/>
      <c r="H279" s="80"/>
      <c r="I279" s="80"/>
      <c r="J279" s="187"/>
      <c r="K279" s="80"/>
      <c r="L279" s="80"/>
      <c r="M279" s="80"/>
      <c r="N279" s="80"/>
      <c r="O279" s="80"/>
      <c r="P279" s="80"/>
      <c r="Q279" s="80"/>
      <c r="R279" s="80"/>
      <c r="S279" s="80"/>
      <c r="T279" s="83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3"/>
      <c r="AL279" s="83"/>
      <c r="AM279" s="83"/>
      <c r="AN279" s="83"/>
    </row>
    <row r="280" spans="2:40" ht="15.75" customHeight="1">
      <c r="B280" s="83"/>
      <c r="C280" s="80"/>
      <c r="D280" s="80"/>
      <c r="E280" s="80"/>
      <c r="F280" s="188"/>
      <c r="G280" s="80"/>
      <c r="H280" s="80"/>
      <c r="I280" s="80"/>
      <c r="J280" s="187"/>
      <c r="K280" s="80"/>
      <c r="L280" s="80"/>
      <c r="M280" s="80"/>
      <c r="N280" s="80"/>
      <c r="O280" s="80"/>
      <c r="P280" s="80"/>
      <c r="Q280" s="80"/>
      <c r="R280" s="80"/>
      <c r="S280" s="80"/>
      <c r="T280" s="83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3"/>
      <c r="AL280" s="83"/>
      <c r="AM280" s="83"/>
      <c r="AN280" s="83"/>
    </row>
    <row r="281" spans="2:40" ht="15.75" customHeight="1">
      <c r="B281" s="83"/>
      <c r="C281" s="80"/>
      <c r="D281" s="80"/>
      <c r="E281" s="80"/>
      <c r="F281" s="188"/>
      <c r="G281" s="80"/>
      <c r="H281" s="80"/>
      <c r="I281" s="80"/>
      <c r="J281" s="187"/>
      <c r="K281" s="80"/>
      <c r="L281" s="80"/>
      <c r="M281" s="80"/>
      <c r="N281" s="80"/>
      <c r="O281" s="80"/>
      <c r="P281" s="80"/>
      <c r="Q281" s="80"/>
      <c r="R281" s="80"/>
      <c r="S281" s="80"/>
      <c r="T281" s="83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  <c r="AI281" s="85"/>
      <c r="AJ281" s="85"/>
      <c r="AK281" s="83"/>
      <c r="AL281" s="83"/>
      <c r="AM281" s="83"/>
      <c r="AN281" s="83"/>
    </row>
    <row r="282" spans="2:40" ht="15.75" customHeight="1">
      <c r="B282" s="83"/>
      <c r="C282" s="80"/>
      <c r="D282" s="80"/>
      <c r="E282" s="80"/>
      <c r="F282" s="188"/>
      <c r="G282" s="80"/>
      <c r="H282" s="80"/>
      <c r="I282" s="80"/>
      <c r="J282" s="187"/>
      <c r="K282" s="80"/>
      <c r="L282" s="80"/>
      <c r="M282" s="80"/>
      <c r="N282" s="80"/>
      <c r="O282" s="80"/>
      <c r="P282" s="80"/>
      <c r="Q282" s="80"/>
      <c r="R282" s="80"/>
      <c r="S282" s="80"/>
      <c r="T282" s="83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3"/>
      <c r="AL282" s="83"/>
      <c r="AM282" s="83"/>
      <c r="AN282" s="83"/>
    </row>
    <row r="283" spans="2:40" ht="15.75" customHeight="1">
      <c r="B283" s="83"/>
      <c r="C283" s="80"/>
      <c r="D283" s="80"/>
      <c r="E283" s="80"/>
      <c r="F283" s="188"/>
      <c r="G283" s="80"/>
      <c r="H283" s="80"/>
      <c r="I283" s="80"/>
      <c r="J283" s="187"/>
      <c r="K283" s="80"/>
      <c r="L283" s="80"/>
      <c r="M283" s="80"/>
      <c r="N283" s="80"/>
      <c r="O283" s="80"/>
      <c r="P283" s="80"/>
      <c r="Q283" s="80"/>
      <c r="R283" s="80"/>
      <c r="S283" s="80"/>
      <c r="T283" s="83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  <c r="AI283" s="85"/>
      <c r="AJ283" s="85"/>
      <c r="AK283" s="83"/>
      <c r="AL283" s="83"/>
      <c r="AM283" s="83"/>
      <c r="AN283" s="83"/>
    </row>
    <row r="284" spans="2:40" ht="15.75" customHeight="1">
      <c r="B284" s="83"/>
      <c r="C284" s="80"/>
      <c r="D284" s="80"/>
      <c r="E284" s="80"/>
      <c r="F284" s="188"/>
      <c r="G284" s="80"/>
      <c r="H284" s="80"/>
      <c r="I284" s="80"/>
      <c r="J284" s="187"/>
      <c r="K284" s="80"/>
      <c r="L284" s="80"/>
      <c r="M284" s="80"/>
      <c r="N284" s="80"/>
      <c r="O284" s="80"/>
      <c r="P284" s="80"/>
      <c r="Q284" s="80"/>
      <c r="R284" s="80"/>
      <c r="S284" s="80"/>
      <c r="T284" s="83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3"/>
      <c r="AL284" s="83"/>
      <c r="AM284" s="83"/>
      <c r="AN284" s="83"/>
    </row>
    <row r="285" spans="2:40" ht="15.75" customHeight="1">
      <c r="B285" s="83"/>
      <c r="C285" s="80"/>
      <c r="D285" s="80"/>
      <c r="E285" s="80"/>
      <c r="F285" s="188"/>
      <c r="G285" s="80"/>
      <c r="H285" s="80"/>
      <c r="I285" s="80"/>
      <c r="J285" s="187"/>
      <c r="K285" s="80"/>
      <c r="L285" s="80"/>
      <c r="M285" s="80"/>
      <c r="N285" s="80"/>
      <c r="O285" s="80"/>
      <c r="P285" s="80"/>
      <c r="Q285" s="80"/>
      <c r="R285" s="80"/>
      <c r="S285" s="80"/>
      <c r="T285" s="83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3"/>
      <c r="AL285" s="83"/>
      <c r="AM285" s="83"/>
      <c r="AN285" s="83"/>
    </row>
    <row r="286" spans="2:40" ht="15.75" customHeight="1">
      <c r="B286" s="83"/>
      <c r="C286" s="80"/>
      <c r="D286" s="80"/>
      <c r="E286" s="80"/>
      <c r="F286" s="188"/>
      <c r="G286" s="80"/>
      <c r="H286" s="80"/>
      <c r="I286" s="80"/>
      <c r="J286" s="187"/>
      <c r="K286" s="80"/>
      <c r="L286" s="80"/>
      <c r="M286" s="80"/>
      <c r="N286" s="80"/>
      <c r="O286" s="80"/>
      <c r="P286" s="80"/>
      <c r="Q286" s="80"/>
      <c r="R286" s="80"/>
      <c r="S286" s="80"/>
      <c r="T286" s="83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3"/>
      <c r="AL286" s="83"/>
      <c r="AM286" s="83"/>
      <c r="AN286" s="83"/>
    </row>
    <row r="287" spans="2:40" ht="15.75" customHeight="1">
      <c r="B287" s="83"/>
      <c r="C287" s="80"/>
      <c r="D287" s="80"/>
      <c r="E287" s="80"/>
      <c r="F287" s="188"/>
      <c r="G287" s="80"/>
      <c r="H287" s="80"/>
      <c r="I287" s="80"/>
      <c r="J287" s="187"/>
      <c r="K287" s="80"/>
      <c r="L287" s="80"/>
      <c r="M287" s="80"/>
      <c r="N287" s="80"/>
      <c r="O287" s="80"/>
      <c r="P287" s="80"/>
      <c r="Q287" s="80"/>
      <c r="R287" s="80"/>
      <c r="S287" s="80"/>
      <c r="T287" s="83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3"/>
      <c r="AL287" s="83"/>
      <c r="AM287" s="83"/>
      <c r="AN287" s="83"/>
    </row>
    <row r="288" spans="2:40" ht="15.75" customHeight="1">
      <c r="B288" s="83"/>
      <c r="C288" s="80"/>
      <c r="D288" s="80"/>
      <c r="E288" s="80"/>
      <c r="F288" s="188"/>
      <c r="G288" s="80"/>
      <c r="H288" s="80"/>
      <c r="I288" s="80"/>
      <c r="J288" s="187"/>
      <c r="K288" s="80"/>
      <c r="L288" s="80"/>
      <c r="M288" s="80"/>
      <c r="N288" s="80"/>
      <c r="O288" s="80"/>
      <c r="P288" s="80"/>
      <c r="Q288" s="80"/>
      <c r="R288" s="80"/>
      <c r="S288" s="80"/>
      <c r="T288" s="83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3"/>
      <c r="AL288" s="83"/>
      <c r="AM288" s="83"/>
      <c r="AN288" s="83"/>
    </row>
    <row r="289" spans="2:40" ht="15.75" customHeight="1">
      <c r="B289" s="83"/>
      <c r="C289" s="80"/>
      <c r="D289" s="80"/>
      <c r="E289" s="80"/>
      <c r="F289" s="188"/>
      <c r="G289" s="80"/>
      <c r="H289" s="80"/>
      <c r="I289" s="80"/>
      <c r="J289" s="187"/>
      <c r="K289" s="80"/>
      <c r="L289" s="80"/>
      <c r="M289" s="80"/>
      <c r="N289" s="80"/>
      <c r="O289" s="80"/>
      <c r="P289" s="80"/>
      <c r="Q289" s="80"/>
      <c r="R289" s="80"/>
      <c r="S289" s="80"/>
      <c r="T289" s="83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3"/>
      <c r="AL289" s="83"/>
      <c r="AM289" s="83"/>
      <c r="AN289" s="83"/>
    </row>
    <row r="290" spans="2:40" ht="15.75" customHeight="1">
      <c r="B290" s="83"/>
      <c r="C290" s="80"/>
      <c r="D290" s="80"/>
      <c r="E290" s="80"/>
      <c r="F290" s="188"/>
      <c r="G290" s="80"/>
      <c r="H290" s="80"/>
      <c r="I290" s="80"/>
      <c r="J290" s="187"/>
      <c r="K290" s="80"/>
      <c r="L290" s="80"/>
      <c r="M290" s="80"/>
      <c r="N290" s="80"/>
      <c r="O290" s="80"/>
      <c r="P290" s="80"/>
      <c r="Q290" s="80"/>
      <c r="R290" s="80"/>
      <c r="S290" s="80"/>
      <c r="T290" s="83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3"/>
      <c r="AL290" s="83"/>
      <c r="AM290" s="83"/>
      <c r="AN290" s="83"/>
    </row>
    <row r="291" spans="2:40" ht="15.75" customHeight="1">
      <c r="B291" s="83"/>
      <c r="C291" s="80"/>
      <c r="D291" s="80"/>
      <c r="E291" s="80"/>
      <c r="F291" s="188"/>
      <c r="G291" s="80"/>
      <c r="H291" s="80"/>
      <c r="I291" s="80"/>
      <c r="J291" s="187"/>
      <c r="K291" s="80"/>
      <c r="L291" s="80"/>
      <c r="M291" s="80"/>
      <c r="N291" s="80"/>
      <c r="O291" s="80"/>
      <c r="P291" s="80"/>
      <c r="Q291" s="80"/>
      <c r="R291" s="80"/>
      <c r="S291" s="80"/>
      <c r="T291" s="83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3"/>
      <c r="AL291" s="83"/>
      <c r="AM291" s="83"/>
      <c r="AN291" s="83"/>
    </row>
    <row r="292" spans="2:40" ht="15.75" customHeight="1">
      <c r="B292" s="83"/>
      <c r="C292" s="80"/>
      <c r="D292" s="80"/>
      <c r="E292" s="80"/>
      <c r="F292" s="188"/>
      <c r="G292" s="80"/>
      <c r="H292" s="80"/>
      <c r="I292" s="80"/>
      <c r="J292" s="187"/>
      <c r="K292" s="80"/>
      <c r="L292" s="80"/>
      <c r="M292" s="80"/>
      <c r="N292" s="80"/>
      <c r="O292" s="80"/>
      <c r="P292" s="80"/>
      <c r="Q292" s="80"/>
      <c r="R292" s="80"/>
      <c r="S292" s="80"/>
      <c r="T292" s="83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3"/>
      <c r="AL292" s="83"/>
      <c r="AM292" s="83"/>
      <c r="AN292" s="83"/>
    </row>
    <row r="293" spans="2:40" ht="15.75" customHeight="1">
      <c r="B293" s="83"/>
      <c r="C293" s="80"/>
      <c r="D293" s="80"/>
      <c r="E293" s="80"/>
      <c r="F293" s="188"/>
      <c r="G293" s="80"/>
      <c r="H293" s="80"/>
      <c r="I293" s="80"/>
      <c r="J293" s="187"/>
      <c r="K293" s="80"/>
      <c r="L293" s="80"/>
      <c r="M293" s="80"/>
      <c r="N293" s="80"/>
      <c r="O293" s="80"/>
      <c r="P293" s="80"/>
      <c r="Q293" s="80"/>
      <c r="R293" s="80"/>
      <c r="S293" s="80"/>
      <c r="T293" s="83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3"/>
      <c r="AL293" s="83"/>
      <c r="AM293" s="83"/>
      <c r="AN293" s="83"/>
    </row>
    <row r="294" spans="2:40" ht="15.75" customHeight="1">
      <c r="B294" s="83"/>
      <c r="C294" s="80"/>
      <c r="D294" s="80"/>
      <c r="E294" s="80"/>
      <c r="F294" s="188"/>
      <c r="G294" s="80"/>
      <c r="H294" s="80"/>
      <c r="I294" s="80"/>
      <c r="J294" s="187"/>
      <c r="K294" s="80"/>
      <c r="L294" s="80"/>
      <c r="M294" s="80"/>
      <c r="N294" s="80"/>
      <c r="O294" s="80"/>
      <c r="P294" s="80"/>
      <c r="Q294" s="80"/>
      <c r="R294" s="80"/>
      <c r="S294" s="80"/>
      <c r="T294" s="83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3"/>
      <c r="AL294" s="83"/>
      <c r="AM294" s="83"/>
      <c r="AN294" s="83"/>
    </row>
    <row r="295" spans="2:40" ht="15.75" customHeight="1">
      <c r="B295" s="83"/>
      <c r="C295" s="80"/>
      <c r="D295" s="80"/>
      <c r="E295" s="80"/>
      <c r="F295" s="188"/>
      <c r="G295" s="80"/>
      <c r="H295" s="80"/>
      <c r="I295" s="80"/>
      <c r="J295" s="187"/>
      <c r="K295" s="80"/>
      <c r="L295" s="80"/>
      <c r="M295" s="80"/>
      <c r="N295" s="80"/>
      <c r="O295" s="80"/>
      <c r="P295" s="80"/>
      <c r="Q295" s="80"/>
      <c r="R295" s="80"/>
      <c r="S295" s="80"/>
      <c r="T295" s="83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3"/>
      <c r="AL295" s="83"/>
      <c r="AM295" s="83"/>
      <c r="AN295" s="83"/>
    </row>
    <row r="296" spans="2:40" ht="15.75" customHeight="1">
      <c r="B296" s="83"/>
      <c r="C296" s="80"/>
      <c r="D296" s="80"/>
      <c r="E296" s="80"/>
      <c r="F296" s="188"/>
      <c r="G296" s="80"/>
      <c r="H296" s="80"/>
      <c r="I296" s="80"/>
      <c r="J296" s="187"/>
      <c r="K296" s="80"/>
      <c r="L296" s="80"/>
      <c r="M296" s="80"/>
      <c r="N296" s="80"/>
      <c r="O296" s="80"/>
      <c r="P296" s="80"/>
      <c r="Q296" s="80"/>
      <c r="R296" s="80"/>
      <c r="S296" s="80"/>
      <c r="T296" s="83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3"/>
      <c r="AL296" s="83"/>
      <c r="AM296" s="83"/>
      <c r="AN296" s="83"/>
    </row>
    <row r="297" spans="2:40" ht="15.75" customHeight="1">
      <c r="B297" s="83"/>
      <c r="C297" s="80"/>
      <c r="D297" s="80"/>
      <c r="E297" s="80"/>
      <c r="F297" s="188"/>
      <c r="G297" s="80"/>
      <c r="H297" s="80"/>
      <c r="I297" s="80"/>
      <c r="J297" s="187"/>
      <c r="K297" s="80"/>
      <c r="L297" s="80"/>
      <c r="M297" s="80"/>
      <c r="N297" s="80"/>
      <c r="O297" s="80"/>
      <c r="P297" s="80"/>
      <c r="Q297" s="80"/>
      <c r="R297" s="80"/>
      <c r="S297" s="80"/>
      <c r="T297" s="83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3"/>
      <c r="AL297" s="83"/>
      <c r="AM297" s="83"/>
      <c r="AN297" s="83"/>
    </row>
    <row r="298" spans="2:40" ht="15.75" customHeight="1">
      <c r="B298" s="83"/>
      <c r="C298" s="80"/>
      <c r="D298" s="80"/>
      <c r="E298" s="80"/>
      <c r="F298" s="188"/>
      <c r="G298" s="80"/>
      <c r="H298" s="80"/>
      <c r="I298" s="80"/>
      <c r="J298" s="187"/>
      <c r="K298" s="80"/>
      <c r="L298" s="80"/>
      <c r="M298" s="80"/>
      <c r="N298" s="80"/>
      <c r="O298" s="80"/>
      <c r="P298" s="80"/>
      <c r="Q298" s="80"/>
      <c r="R298" s="80"/>
      <c r="S298" s="80"/>
      <c r="T298" s="83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3"/>
      <c r="AL298" s="83"/>
      <c r="AM298" s="83"/>
      <c r="AN298" s="83"/>
    </row>
    <row r="299" spans="2:40" ht="15.75" customHeight="1">
      <c r="B299" s="83"/>
      <c r="C299" s="80"/>
      <c r="D299" s="80"/>
      <c r="E299" s="80"/>
      <c r="F299" s="188"/>
      <c r="G299" s="80"/>
      <c r="H299" s="80"/>
      <c r="I299" s="80"/>
      <c r="J299" s="187"/>
      <c r="K299" s="80"/>
      <c r="L299" s="80"/>
      <c r="M299" s="80"/>
      <c r="N299" s="80"/>
      <c r="O299" s="80"/>
      <c r="P299" s="80"/>
      <c r="Q299" s="80"/>
      <c r="R299" s="80"/>
      <c r="S299" s="80"/>
      <c r="T299" s="83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3"/>
      <c r="AL299" s="83"/>
      <c r="AM299" s="83"/>
      <c r="AN299" s="83"/>
    </row>
    <row r="300" spans="2:40" ht="15.75" customHeight="1">
      <c r="B300" s="83"/>
      <c r="C300" s="80"/>
      <c r="D300" s="80"/>
      <c r="E300" s="80"/>
      <c r="F300" s="188"/>
      <c r="G300" s="80"/>
      <c r="H300" s="80"/>
      <c r="I300" s="80"/>
      <c r="J300" s="187"/>
      <c r="K300" s="80"/>
      <c r="L300" s="80"/>
      <c r="M300" s="80"/>
      <c r="N300" s="80"/>
      <c r="O300" s="80"/>
      <c r="P300" s="80"/>
      <c r="Q300" s="80"/>
      <c r="R300" s="80"/>
      <c r="S300" s="80"/>
      <c r="T300" s="83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3"/>
      <c r="AL300" s="83"/>
      <c r="AM300" s="83"/>
      <c r="AN300" s="83"/>
    </row>
    <row r="301" spans="2:40" ht="15.75" customHeight="1">
      <c r="B301" s="83"/>
      <c r="C301" s="80"/>
      <c r="D301" s="80"/>
      <c r="E301" s="80"/>
      <c r="F301" s="188"/>
      <c r="G301" s="80"/>
      <c r="H301" s="80"/>
      <c r="I301" s="80"/>
      <c r="J301" s="187"/>
      <c r="K301" s="80"/>
      <c r="L301" s="80"/>
      <c r="M301" s="80"/>
      <c r="N301" s="80"/>
      <c r="O301" s="80"/>
      <c r="P301" s="80"/>
      <c r="Q301" s="80"/>
      <c r="R301" s="80"/>
      <c r="S301" s="80"/>
      <c r="T301" s="83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3"/>
      <c r="AL301" s="83"/>
      <c r="AM301" s="83"/>
      <c r="AN301" s="83"/>
    </row>
    <row r="302" spans="2:40" ht="15.75" customHeight="1">
      <c r="B302" s="83"/>
      <c r="C302" s="80"/>
      <c r="D302" s="80"/>
      <c r="E302" s="80"/>
      <c r="F302" s="188"/>
      <c r="G302" s="80"/>
      <c r="H302" s="80"/>
      <c r="I302" s="80"/>
      <c r="J302" s="187"/>
      <c r="K302" s="80"/>
      <c r="L302" s="80"/>
      <c r="M302" s="80"/>
      <c r="N302" s="80"/>
      <c r="O302" s="80"/>
      <c r="P302" s="80"/>
      <c r="Q302" s="80"/>
      <c r="R302" s="80"/>
      <c r="S302" s="80"/>
      <c r="T302" s="83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3"/>
      <c r="AL302" s="83"/>
      <c r="AM302" s="83"/>
      <c r="AN302" s="83"/>
    </row>
    <row r="303" spans="2:40" ht="15.75" customHeight="1">
      <c r="B303" s="83"/>
      <c r="C303" s="80"/>
      <c r="D303" s="80"/>
      <c r="E303" s="80"/>
      <c r="F303" s="188"/>
      <c r="G303" s="80"/>
      <c r="H303" s="80"/>
      <c r="I303" s="80"/>
      <c r="J303" s="187"/>
      <c r="K303" s="80"/>
      <c r="L303" s="80"/>
      <c r="M303" s="80"/>
      <c r="N303" s="80"/>
      <c r="O303" s="80"/>
      <c r="P303" s="80"/>
      <c r="Q303" s="80"/>
      <c r="R303" s="80"/>
      <c r="S303" s="80"/>
      <c r="T303" s="83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3"/>
      <c r="AL303" s="83"/>
      <c r="AM303" s="83"/>
      <c r="AN303" s="83"/>
    </row>
    <row r="304" spans="2:40" ht="15.75" customHeight="1">
      <c r="B304" s="83"/>
      <c r="C304" s="80"/>
      <c r="D304" s="80"/>
      <c r="E304" s="80"/>
      <c r="F304" s="188"/>
      <c r="G304" s="80"/>
      <c r="H304" s="80"/>
      <c r="I304" s="80"/>
      <c r="J304" s="187"/>
      <c r="K304" s="80"/>
      <c r="L304" s="80"/>
      <c r="M304" s="80"/>
      <c r="N304" s="80"/>
      <c r="O304" s="80"/>
      <c r="P304" s="80"/>
      <c r="Q304" s="80"/>
      <c r="R304" s="80"/>
      <c r="S304" s="80"/>
      <c r="T304" s="83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3"/>
      <c r="AL304" s="83"/>
      <c r="AM304" s="83"/>
      <c r="AN304" s="83"/>
    </row>
    <row r="305" spans="2:40" ht="15.75" customHeight="1">
      <c r="B305" s="83"/>
      <c r="C305" s="80"/>
      <c r="D305" s="80"/>
      <c r="E305" s="80"/>
      <c r="F305" s="188"/>
      <c r="G305" s="80"/>
      <c r="H305" s="80"/>
      <c r="I305" s="80"/>
      <c r="J305" s="187"/>
      <c r="K305" s="80"/>
      <c r="L305" s="80"/>
      <c r="M305" s="80"/>
      <c r="N305" s="80"/>
      <c r="O305" s="80"/>
      <c r="P305" s="80"/>
      <c r="Q305" s="80"/>
      <c r="R305" s="80"/>
      <c r="S305" s="80"/>
      <c r="T305" s="83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3"/>
      <c r="AL305" s="83"/>
      <c r="AM305" s="83"/>
      <c r="AN305" s="83"/>
    </row>
    <row r="306" spans="2:40" ht="15.75" customHeight="1">
      <c r="B306" s="83"/>
      <c r="C306" s="80"/>
      <c r="D306" s="80"/>
      <c r="E306" s="80"/>
      <c r="F306" s="188"/>
      <c r="G306" s="80"/>
      <c r="H306" s="80"/>
      <c r="I306" s="80"/>
      <c r="J306" s="187"/>
      <c r="K306" s="80"/>
      <c r="L306" s="80"/>
      <c r="M306" s="80"/>
      <c r="N306" s="80"/>
      <c r="O306" s="80"/>
      <c r="P306" s="80"/>
      <c r="Q306" s="80"/>
      <c r="R306" s="80"/>
      <c r="S306" s="80"/>
      <c r="T306" s="83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3"/>
      <c r="AL306" s="83"/>
      <c r="AM306" s="83"/>
      <c r="AN306" s="83"/>
    </row>
    <row r="307" spans="2:40" ht="15.75" customHeight="1">
      <c r="B307" s="83"/>
      <c r="C307" s="80"/>
      <c r="D307" s="80"/>
      <c r="E307" s="80"/>
      <c r="F307" s="188"/>
      <c r="G307" s="80"/>
      <c r="H307" s="80"/>
      <c r="I307" s="80"/>
      <c r="J307" s="187"/>
      <c r="K307" s="80"/>
      <c r="L307" s="80"/>
      <c r="M307" s="80"/>
      <c r="N307" s="80"/>
      <c r="O307" s="80"/>
      <c r="P307" s="80"/>
      <c r="Q307" s="80"/>
      <c r="R307" s="80"/>
      <c r="S307" s="80"/>
      <c r="T307" s="83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3"/>
      <c r="AL307" s="83"/>
      <c r="AM307" s="83"/>
      <c r="AN307" s="83"/>
    </row>
    <row r="308" spans="2:40" ht="15.75" customHeight="1">
      <c r="B308" s="83"/>
      <c r="C308" s="80"/>
      <c r="D308" s="80"/>
      <c r="E308" s="80"/>
      <c r="F308" s="188"/>
      <c r="G308" s="80"/>
      <c r="H308" s="80"/>
      <c r="I308" s="80"/>
      <c r="J308" s="187"/>
      <c r="K308" s="80"/>
      <c r="L308" s="80"/>
      <c r="M308" s="80"/>
      <c r="N308" s="80"/>
      <c r="O308" s="80"/>
      <c r="P308" s="80"/>
      <c r="Q308" s="80"/>
      <c r="R308" s="80"/>
      <c r="S308" s="80"/>
      <c r="T308" s="83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3"/>
      <c r="AL308" s="83"/>
      <c r="AM308" s="83"/>
      <c r="AN308" s="83"/>
    </row>
    <row r="309" spans="2:40" ht="15.75" customHeight="1">
      <c r="B309" s="83"/>
      <c r="C309" s="80"/>
      <c r="D309" s="80"/>
      <c r="E309" s="80"/>
      <c r="F309" s="188"/>
      <c r="G309" s="80"/>
      <c r="H309" s="80"/>
      <c r="I309" s="80"/>
      <c r="J309" s="187"/>
      <c r="K309" s="80"/>
      <c r="L309" s="80"/>
      <c r="M309" s="80"/>
      <c r="N309" s="80"/>
      <c r="O309" s="80"/>
      <c r="P309" s="80"/>
      <c r="Q309" s="80"/>
      <c r="R309" s="80"/>
      <c r="S309" s="80"/>
      <c r="T309" s="83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3"/>
      <c r="AL309" s="83"/>
      <c r="AM309" s="83"/>
      <c r="AN309" s="83"/>
    </row>
    <row r="310" spans="2:40" ht="15.75" customHeight="1">
      <c r="B310" s="83"/>
      <c r="C310" s="80"/>
      <c r="D310" s="80"/>
      <c r="E310" s="80"/>
      <c r="F310" s="188"/>
      <c r="G310" s="80"/>
      <c r="H310" s="80"/>
      <c r="I310" s="80"/>
      <c r="J310" s="187"/>
      <c r="K310" s="80"/>
      <c r="L310" s="80"/>
      <c r="M310" s="80"/>
      <c r="N310" s="80"/>
      <c r="O310" s="80"/>
      <c r="P310" s="80"/>
      <c r="Q310" s="80"/>
      <c r="R310" s="80"/>
      <c r="S310" s="80"/>
      <c r="T310" s="83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3"/>
      <c r="AL310" s="83"/>
      <c r="AM310" s="83"/>
      <c r="AN310" s="83"/>
    </row>
    <row r="311" spans="2:40" ht="15.75" customHeight="1">
      <c r="B311" s="83"/>
      <c r="C311" s="80"/>
      <c r="D311" s="80"/>
      <c r="E311" s="80"/>
      <c r="F311" s="188"/>
      <c r="G311" s="80"/>
      <c r="H311" s="80"/>
      <c r="I311" s="80"/>
      <c r="J311" s="187"/>
      <c r="K311" s="80"/>
      <c r="L311" s="80"/>
      <c r="M311" s="80"/>
      <c r="N311" s="80"/>
      <c r="O311" s="80"/>
      <c r="P311" s="80"/>
      <c r="Q311" s="80"/>
      <c r="R311" s="80"/>
      <c r="S311" s="80"/>
      <c r="T311" s="83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3"/>
      <c r="AL311" s="83"/>
      <c r="AM311" s="83"/>
      <c r="AN311" s="83"/>
    </row>
    <row r="312" spans="2:40" ht="15.75" customHeight="1">
      <c r="B312" s="83"/>
      <c r="C312" s="80"/>
      <c r="D312" s="80"/>
      <c r="E312" s="80"/>
      <c r="F312" s="188"/>
      <c r="G312" s="80"/>
      <c r="H312" s="80"/>
      <c r="I312" s="80"/>
      <c r="J312" s="187"/>
      <c r="K312" s="80"/>
      <c r="L312" s="80"/>
      <c r="M312" s="80"/>
      <c r="N312" s="80"/>
      <c r="O312" s="80"/>
      <c r="P312" s="80"/>
      <c r="Q312" s="80"/>
      <c r="R312" s="80"/>
      <c r="S312" s="80"/>
      <c r="T312" s="83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3"/>
      <c r="AL312" s="83"/>
      <c r="AM312" s="83"/>
      <c r="AN312" s="83"/>
    </row>
    <row r="313" spans="2:40" ht="15.75" customHeight="1">
      <c r="B313" s="83"/>
      <c r="C313" s="80"/>
      <c r="D313" s="80"/>
      <c r="E313" s="80"/>
      <c r="F313" s="188"/>
      <c r="G313" s="80"/>
      <c r="H313" s="80"/>
      <c r="I313" s="80"/>
      <c r="J313" s="187"/>
      <c r="K313" s="80"/>
      <c r="L313" s="80"/>
      <c r="M313" s="80"/>
      <c r="N313" s="80"/>
      <c r="O313" s="80"/>
      <c r="P313" s="80"/>
      <c r="Q313" s="80"/>
      <c r="R313" s="80"/>
      <c r="S313" s="80"/>
      <c r="T313" s="83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3"/>
      <c r="AL313" s="83"/>
      <c r="AM313" s="83"/>
      <c r="AN313" s="83"/>
    </row>
    <row r="314" spans="2:40" ht="15.75" customHeight="1">
      <c r="B314" s="83"/>
      <c r="C314" s="80"/>
      <c r="D314" s="80"/>
      <c r="E314" s="80"/>
      <c r="F314" s="188"/>
      <c r="G314" s="80"/>
      <c r="H314" s="80"/>
      <c r="I314" s="80"/>
      <c r="J314" s="187"/>
      <c r="K314" s="80"/>
      <c r="L314" s="80"/>
      <c r="M314" s="80"/>
      <c r="N314" s="80"/>
      <c r="O314" s="80"/>
      <c r="P314" s="80"/>
      <c r="Q314" s="80"/>
      <c r="R314" s="80"/>
      <c r="S314" s="80"/>
      <c r="T314" s="83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3"/>
      <c r="AL314" s="83"/>
      <c r="AM314" s="83"/>
      <c r="AN314" s="83"/>
    </row>
    <row r="315" spans="2:40" ht="15.75" customHeight="1">
      <c r="B315" s="83"/>
      <c r="C315" s="80"/>
      <c r="D315" s="80"/>
      <c r="E315" s="80"/>
      <c r="F315" s="188"/>
      <c r="G315" s="80"/>
      <c r="H315" s="80"/>
      <c r="I315" s="80"/>
      <c r="J315" s="187"/>
      <c r="K315" s="80"/>
      <c r="L315" s="80"/>
      <c r="M315" s="80"/>
      <c r="N315" s="80"/>
      <c r="O315" s="80"/>
      <c r="P315" s="80"/>
      <c r="Q315" s="80"/>
      <c r="R315" s="80"/>
      <c r="S315" s="80"/>
      <c r="T315" s="83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3"/>
      <c r="AL315" s="83"/>
      <c r="AM315" s="83"/>
      <c r="AN315" s="83"/>
    </row>
    <row r="316" spans="2:40" ht="15.75" customHeight="1">
      <c r="B316" s="83"/>
      <c r="C316" s="80"/>
      <c r="D316" s="80"/>
      <c r="E316" s="80"/>
      <c r="F316" s="188"/>
      <c r="G316" s="80"/>
      <c r="H316" s="80"/>
      <c r="I316" s="80"/>
      <c r="J316" s="187"/>
      <c r="K316" s="80"/>
      <c r="L316" s="80"/>
      <c r="M316" s="80"/>
      <c r="N316" s="80"/>
      <c r="O316" s="80"/>
      <c r="P316" s="80"/>
      <c r="Q316" s="80"/>
      <c r="R316" s="80"/>
      <c r="S316" s="80"/>
      <c r="T316" s="83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3"/>
      <c r="AL316" s="83"/>
      <c r="AM316" s="83"/>
      <c r="AN316" s="83"/>
    </row>
    <row r="317" spans="2:40" ht="15.75" customHeight="1">
      <c r="B317" s="83"/>
      <c r="C317" s="80"/>
      <c r="D317" s="80"/>
      <c r="E317" s="80"/>
      <c r="F317" s="188"/>
      <c r="G317" s="80"/>
      <c r="H317" s="80"/>
      <c r="I317" s="80"/>
      <c r="J317" s="187"/>
      <c r="K317" s="80"/>
      <c r="L317" s="80"/>
      <c r="M317" s="80"/>
      <c r="N317" s="80"/>
      <c r="O317" s="80"/>
      <c r="P317" s="80"/>
      <c r="Q317" s="80"/>
      <c r="R317" s="80"/>
      <c r="S317" s="80"/>
      <c r="T317" s="83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3"/>
      <c r="AL317" s="83"/>
      <c r="AM317" s="83"/>
      <c r="AN317" s="83"/>
    </row>
    <row r="318" spans="2:40" ht="15.75" customHeight="1">
      <c r="B318" s="83"/>
      <c r="C318" s="80"/>
      <c r="D318" s="80"/>
      <c r="E318" s="80"/>
      <c r="F318" s="188"/>
      <c r="G318" s="80"/>
      <c r="H318" s="80"/>
      <c r="I318" s="80"/>
      <c r="J318" s="187"/>
      <c r="K318" s="80"/>
      <c r="L318" s="80"/>
      <c r="M318" s="80"/>
      <c r="N318" s="80"/>
      <c r="O318" s="80"/>
      <c r="P318" s="80"/>
      <c r="Q318" s="80"/>
      <c r="R318" s="80"/>
      <c r="S318" s="80"/>
      <c r="T318" s="83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3"/>
      <c r="AL318" s="83"/>
      <c r="AM318" s="83"/>
      <c r="AN318" s="83"/>
    </row>
    <row r="319" spans="2:40" ht="15.75" customHeight="1">
      <c r="B319" s="83"/>
      <c r="C319" s="80"/>
      <c r="D319" s="80"/>
      <c r="E319" s="80"/>
      <c r="F319" s="188"/>
      <c r="G319" s="80"/>
      <c r="H319" s="80"/>
      <c r="I319" s="80"/>
      <c r="J319" s="187"/>
      <c r="K319" s="80"/>
      <c r="L319" s="80"/>
      <c r="M319" s="80"/>
      <c r="N319" s="80"/>
      <c r="O319" s="80"/>
      <c r="P319" s="80"/>
      <c r="Q319" s="80"/>
      <c r="R319" s="80"/>
      <c r="S319" s="80"/>
      <c r="T319" s="83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3"/>
      <c r="AL319" s="83"/>
      <c r="AM319" s="83"/>
      <c r="AN319" s="83"/>
    </row>
    <row r="320" spans="2:40" ht="15.75" customHeight="1">
      <c r="B320" s="83"/>
      <c r="C320" s="80"/>
      <c r="D320" s="80"/>
      <c r="E320" s="80"/>
      <c r="F320" s="188"/>
      <c r="G320" s="80"/>
      <c r="H320" s="80"/>
      <c r="I320" s="80"/>
      <c r="J320" s="187"/>
      <c r="K320" s="80"/>
      <c r="L320" s="80"/>
      <c r="M320" s="80"/>
      <c r="N320" s="80"/>
      <c r="O320" s="80"/>
      <c r="P320" s="80"/>
      <c r="Q320" s="80"/>
      <c r="R320" s="80"/>
      <c r="S320" s="80"/>
      <c r="T320" s="83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3"/>
      <c r="AL320" s="83"/>
      <c r="AM320" s="83"/>
      <c r="AN320" s="83"/>
    </row>
    <row r="321" spans="2:40" ht="15.75" customHeight="1">
      <c r="B321" s="83"/>
      <c r="C321" s="80"/>
      <c r="D321" s="80"/>
      <c r="E321" s="80"/>
      <c r="F321" s="188"/>
      <c r="G321" s="80"/>
      <c r="H321" s="80"/>
      <c r="I321" s="80"/>
      <c r="J321" s="187"/>
      <c r="K321" s="80"/>
      <c r="L321" s="80"/>
      <c r="M321" s="80"/>
      <c r="N321" s="80"/>
      <c r="O321" s="80"/>
      <c r="P321" s="80"/>
      <c r="Q321" s="80"/>
      <c r="R321" s="80"/>
      <c r="S321" s="80"/>
      <c r="T321" s="83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3"/>
      <c r="AL321" s="83"/>
      <c r="AM321" s="83"/>
      <c r="AN321" s="83"/>
    </row>
    <row r="322" spans="2:40" ht="15.75" customHeight="1">
      <c r="B322" s="83"/>
      <c r="C322" s="80"/>
      <c r="D322" s="80"/>
      <c r="E322" s="80"/>
      <c r="F322" s="188"/>
      <c r="G322" s="80"/>
      <c r="H322" s="80"/>
      <c r="I322" s="80"/>
      <c r="J322" s="187"/>
      <c r="K322" s="80"/>
      <c r="L322" s="80"/>
      <c r="M322" s="80"/>
      <c r="N322" s="80"/>
      <c r="O322" s="80"/>
      <c r="P322" s="80"/>
      <c r="Q322" s="80"/>
      <c r="R322" s="80"/>
      <c r="S322" s="80"/>
      <c r="T322" s="83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3"/>
      <c r="AL322" s="83"/>
      <c r="AM322" s="83"/>
      <c r="AN322" s="83"/>
    </row>
    <row r="323" spans="2:40" ht="15.75" customHeight="1">
      <c r="B323" s="83"/>
      <c r="C323" s="80"/>
      <c r="D323" s="80"/>
      <c r="E323" s="80"/>
      <c r="F323" s="188"/>
      <c r="G323" s="80"/>
      <c r="H323" s="80"/>
      <c r="I323" s="80"/>
      <c r="J323" s="187"/>
      <c r="K323" s="80"/>
      <c r="L323" s="80"/>
      <c r="M323" s="80"/>
      <c r="N323" s="80"/>
      <c r="O323" s="80"/>
      <c r="P323" s="80"/>
      <c r="Q323" s="80"/>
      <c r="R323" s="80"/>
      <c r="S323" s="80"/>
      <c r="T323" s="83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3"/>
      <c r="AL323" s="83"/>
      <c r="AM323" s="83"/>
      <c r="AN323" s="83"/>
    </row>
    <row r="324" spans="2:40" ht="15.75" customHeight="1">
      <c r="B324" s="83"/>
      <c r="C324" s="80"/>
      <c r="D324" s="80"/>
      <c r="E324" s="80"/>
      <c r="F324" s="188"/>
      <c r="G324" s="80"/>
      <c r="H324" s="80"/>
      <c r="I324" s="80"/>
      <c r="J324" s="187"/>
      <c r="K324" s="80"/>
      <c r="L324" s="80"/>
      <c r="M324" s="80"/>
      <c r="N324" s="80"/>
      <c r="O324" s="80"/>
      <c r="P324" s="80"/>
      <c r="Q324" s="80"/>
      <c r="R324" s="80"/>
      <c r="S324" s="80"/>
      <c r="T324" s="83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3"/>
      <c r="AL324" s="83"/>
      <c r="AM324" s="83"/>
      <c r="AN324" s="83"/>
    </row>
    <row r="325" spans="2:40" ht="15.75" customHeight="1">
      <c r="B325" s="83"/>
      <c r="C325" s="80"/>
      <c r="D325" s="80"/>
      <c r="E325" s="80"/>
      <c r="F325" s="188"/>
      <c r="G325" s="80"/>
      <c r="H325" s="80"/>
      <c r="I325" s="80"/>
      <c r="J325" s="187"/>
      <c r="K325" s="80"/>
      <c r="L325" s="80"/>
      <c r="M325" s="80"/>
      <c r="N325" s="80"/>
      <c r="O325" s="80"/>
      <c r="P325" s="80"/>
      <c r="Q325" s="80"/>
      <c r="R325" s="80"/>
      <c r="S325" s="80"/>
      <c r="T325" s="83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3"/>
      <c r="AL325" s="83"/>
      <c r="AM325" s="83"/>
      <c r="AN325" s="83"/>
    </row>
    <row r="326" spans="2:40" ht="15.75" customHeight="1">
      <c r="B326" s="83"/>
      <c r="C326" s="80"/>
      <c r="D326" s="80"/>
      <c r="E326" s="80"/>
      <c r="F326" s="188"/>
      <c r="G326" s="80"/>
      <c r="H326" s="80"/>
      <c r="I326" s="80"/>
      <c r="J326" s="187"/>
      <c r="K326" s="80"/>
      <c r="L326" s="80"/>
      <c r="M326" s="80"/>
      <c r="N326" s="80"/>
      <c r="O326" s="80"/>
      <c r="P326" s="80"/>
      <c r="Q326" s="80"/>
      <c r="R326" s="80"/>
      <c r="S326" s="80"/>
      <c r="T326" s="83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3"/>
      <c r="AL326" s="83"/>
      <c r="AM326" s="83"/>
      <c r="AN326" s="83"/>
    </row>
    <row r="327" spans="2:40" ht="15.75" customHeight="1">
      <c r="B327" s="83"/>
      <c r="C327" s="80"/>
      <c r="D327" s="80"/>
      <c r="E327" s="80"/>
      <c r="F327" s="188"/>
      <c r="G327" s="80"/>
      <c r="H327" s="80"/>
      <c r="I327" s="80"/>
      <c r="J327" s="187"/>
      <c r="K327" s="80"/>
      <c r="L327" s="80"/>
      <c r="M327" s="80"/>
      <c r="N327" s="80"/>
      <c r="O327" s="80"/>
      <c r="P327" s="80"/>
      <c r="Q327" s="80"/>
      <c r="R327" s="80"/>
      <c r="S327" s="80"/>
      <c r="T327" s="83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3"/>
      <c r="AL327" s="83"/>
      <c r="AM327" s="83"/>
      <c r="AN327" s="83"/>
    </row>
    <row r="328" spans="2:40" ht="15.75" customHeight="1">
      <c r="B328" s="83"/>
      <c r="C328" s="80"/>
      <c r="D328" s="80"/>
      <c r="E328" s="80"/>
      <c r="F328" s="188"/>
      <c r="G328" s="80"/>
      <c r="H328" s="80"/>
      <c r="I328" s="80"/>
      <c r="J328" s="187"/>
      <c r="K328" s="80"/>
      <c r="L328" s="80"/>
      <c r="M328" s="80"/>
      <c r="N328" s="80"/>
      <c r="O328" s="80"/>
      <c r="P328" s="80"/>
      <c r="Q328" s="80"/>
      <c r="R328" s="80"/>
      <c r="S328" s="80"/>
      <c r="T328" s="83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3"/>
      <c r="AL328" s="83"/>
      <c r="AM328" s="83"/>
      <c r="AN328" s="83"/>
    </row>
    <row r="329" spans="2:40" ht="15.75" customHeight="1">
      <c r="B329" s="83"/>
      <c r="C329" s="80"/>
      <c r="D329" s="80"/>
      <c r="E329" s="80"/>
      <c r="F329" s="188"/>
      <c r="G329" s="80"/>
      <c r="H329" s="80"/>
      <c r="I329" s="80"/>
      <c r="J329" s="187"/>
      <c r="K329" s="80"/>
      <c r="L329" s="80"/>
      <c r="M329" s="80"/>
      <c r="N329" s="80"/>
      <c r="O329" s="80"/>
      <c r="P329" s="80"/>
      <c r="Q329" s="80"/>
      <c r="R329" s="80"/>
      <c r="S329" s="80"/>
      <c r="T329" s="83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3"/>
      <c r="AL329" s="83"/>
      <c r="AM329" s="83"/>
      <c r="AN329" s="83"/>
    </row>
    <row r="330" spans="2:40" ht="15.75" customHeight="1">
      <c r="B330" s="83"/>
      <c r="C330" s="80"/>
      <c r="D330" s="80"/>
      <c r="E330" s="80"/>
      <c r="F330" s="188"/>
      <c r="G330" s="80"/>
      <c r="H330" s="80"/>
      <c r="I330" s="80"/>
      <c r="J330" s="187"/>
      <c r="K330" s="80"/>
      <c r="L330" s="80"/>
      <c r="M330" s="80"/>
      <c r="N330" s="80"/>
      <c r="O330" s="80"/>
      <c r="P330" s="80"/>
      <c r="Q330" s="80"/>
      <c r="R330" s="80"/>
      <c r="S330" s="80"/>
      <c r="T330" s="83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3"/>
      <c r="AL330" s="83"/>
      <c r="AM330" s="83"/>
      <c r="AN330" s="83"/>
    </row>
    <row r="331" spans="2:40" ht="15.75" customHeight="1">
      <c r="B331" s="83"/>
      <c r="C331" s="80"/>
      <c r="D331" s="80"/>
      <c r="E331" s="80"/>
      <c r="F331" s="188"/>
      <c r="G331" s="80"/>
      <c r="H331" s="80"/>
      <c r="I331" s="80"/>
      <c r="J331" s="187"/>
      <c r="K331" s="80"/>
      <c r="L331" s="80"/>
      <c r="M331" s="80"/>
      <c r="N331" s="80"/>
      <c r="O331" s="80"/>
      <c r="P331" s="80"/>
      <c r="Q331" s="80"/>
      <c r="R331" s="80"/>
      <c r="S331" s="80"/>
      <c r="T331" s="83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3"/>
      <c r="AL331" s="83"/>
      <c r="AM331" s="83"/>
      <c r="AN331" s="83"/>
    </row>
    <row r="332" spans="2:40" ht="15.75" customHeight="1">
      <c r="B332" s="83"/>
      <c r="C332" s="80"/>
      <c r="D332" s="80"/>
      <c r="E332" s="80"/>
      <c r="F332" s="188"/>
      <c r="G332" s="80"/>
      <c r="H332" s="80"/>
      <c r="I332" s="80"/>
      <c r="J332" s="187"/>
      <c r="K332" s="80"/>
      <c r="L332" s="80"/>
      <c r="M332" s="80"/>
      <c r="N332" s="80"/>
      <c r="O332" s="80"/>
      <c r="P332" s="80"/>
      <c r="Q332" s="80"/>
      <c r="R332" s="80"/>
      <c r="S332" s="80"/>
      <c r="T332" s="83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3"/>
      <c r="AL332" s="83"/>
      <c r="AM332" s="83"/>
      <c r="AN332" s="83"/>
    </row>
    <row r="333" spans="2:40" ht="15.75" customHeight="1">
      <c r="B333" s="83"/>
      <c r="C333" s="80"/>
      <c r="D333" s="80"/>
      <c r="E333" s="80"/>
      <c r="F333" s="188"/>
      <c r="G333" s="80"/>
      <c r="H333" s="80"/>
      <c r="I333" s="80"/>
      <c r="J333" s="187"/>
      <c r="K333" s="80"/>
      <c r="L333" s="80"/>
      <c r="M333" s="80"/>
      <c r="N333" s="80"/>
      <c r="O333" s="80"/>
      <c r="P333" s="80"/>
      <c r="Q333" s="80"/>
      <c r="R333" s="80"/>
      <c r="S333" s="80"/>
      <c r="T333" s="83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3"/>
      <c r="AL333" s="83"/>
      <c r="AM333" s="83"/>
      <c r="AN333" s="83"/>
    </row>
    <row r="334" spans="2:40" ht="15.75" customHeight="1">
      <c r="B334" s="83"/>
      <c r="C334" s="80"/>
      <c r="D334" s="80"/>
      <c r="E334" s="80"/>
      <c r="F334" s="188"/>
      <c r="G334" s="80"/>
      <c r="H334" s="80"/>
      <c r="I334" s="80"/>
      <c r="J334" s="187"/>
      <c r="K334" s="80"/>
      <c r="L334" s="80"/>
      <c r="M334" s="80"/>
      <c r="N334" s="80"/>
      <c r="O334" s="80"/>
      <c r="P334" s="80"/>
      <c r="Q334" s="80"/>
      <c r="R334" s="80"/>
      <c r="S334" s="80"/>
      <c r="T334" s="83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3"/>
      <c r="AL334" s="83"/>
      <c r="AM334" s="83"/>
      <c r="AN334" s="83"/>
    </row>
    <row r="335" spans="2:40" ht="15.75" customHeight="1">
      <c r="B335" s="83"/>
      <c r="C335" s="80"/>
      <c r="D335" s="80"/>
      <c r="E335" s="80"/>
      <c r="F335" s="188"/>
      <c r="G335" s="80"/>
      <c r="H335" s="80"/>
      <c r="I335" s="80"/>
      <c r="J335" s="187"/>
      <c r="K335" s="80"/>
      <c r="L335" s="80"/>
      <c r="M335" s="80"/>
      <c r="N335" s="80"/>
      <c r="O335" s="80"/>
      <c r="P335" s="80"/>
      <c r="Q335" s="80"/>
      <c r="R335" s="80"/>
      <c r="S335" s="80"/>
      <c r="T335" s="83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3"/>
      <c r="AL335" s="83"/>
      <c r="AM335" s="83"/>
      <c r="AN335" s="83"/>
    </row>
    <row r="336" spans="2:40" ht="15.75" customHeight="1">
      <c r="B336" s="83"/>
      <c r="C336" s="80"/>
      <c r="D336" s="80"/>
      <c r="E336" s="80"/>
      <c r="F336" s="188"/>
      <c r="G336" s="80"/>
      <c r="H336" s="80"/>
      <c r="I336" s="80"/>
      <c r="J336" s="187"/>
      <c r="K336" s="80"/>
      <c r="L336" s="80"/>
      <c r="M336" s="80"/>
      <c r="N336" s="80"/>
      <c r="O336" s="80"/>
      <c r="P336" s="80"/>
      <c r="Q336" s="80"/>
      <c r="R336" s="80"/>
      <c r="S336" s="80"/>
      <c r="T336" s="83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3"/>
      <c r="AL336" s="83"/>
      <c r="AM336" s="83"/>
      <c r="AN336" s="83"/>
    </row>
    <row r="337" spans="2:40" ht="15.75" customHeight="1">
      <c r="B337" s="83"/>
      <c r="C337" s="80"/>
      <c r="D337" s="80"/>
      <c r="E337" s="80"/>
      <c r="F337" s="188"/>
      <c r="G337" s="80"/>
      <c r="H337" s="80"/>
      <c r="I337" s="80"/>
      <c r="J337" s="187"/>
      <c r="K337" s="80"/>
      <c r="L337" s="80"/>
      <c r="M337" s="80"/>
      <c r="N337" s="80"/>
      <c r="O337" s="80"/>
      <c r="P337" s="80"/>
      <c r="Q337" s="80"/>
      <c r="R337" s="80"/>
      <c r="S337" s="80"/>
      <c r="T337" s="83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3"/>
      <c r="AL337" s="83"/>
      <c r="AM337" s="83"/>
      <c r="AN337" s="83"/>
    </row>
    <row r="338" spans="2:40" ht="15.75" customHeight="1">
      <c r="B338" s="83"/>
      <c r="C338" s="80"/>
      <c r="D338" s="80"/>
      <c r="E338" s="80"/>
      <c r="F338" s="188"/>
      <c r="G338" s="80"/>
      <c r="H338" s="80"/>
      <c r="I338" s="80"/>
      <c r="J338" s="187"/>
      <c r="K338" s="80"/>
      <c r="L338" s="80"/>
      <c r="M338" s="80"/>
      <c r="N338" s="80"/>
      <c r="O338" s="80"/>
      <c r="P338" s="80"/>
      <c r="Q338" s="80"/>
      <c r="R338" s="80"/>
      <c r="S338" s="80"/>
      <c r="T338" s="83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3"/>
      <c r="AL338" s="83"/>
      <c r="AM338" s="83"/>
      <c r="AN338" s="83"/>
    </row>
    <row r="339" spans="2:40" ht="15.75" customHeight="1">
      <c r="B339" s="83"/>
      <c r="C339" s="80"/>
      <c r="D339" s="80"/>
      <c r="E339" s="80"/>
      <c r="F339" s="188"/>
      <c r="G339" s="80"/>
      <c r="H339" s="80"/>
      <c r="I339" s="80"/>
      <c r="J339" s="187"/>
      <c r="K339" s="80"/>
      <c r="L339" s="80"/>
      <c r="M339" s="80"/>
      <c r="N339" s="80"/>
      <c r="O339" s="80"/>
      <c r="P339" s="80"/>
      <c r="Q339" s="80"/>
      <c r="R339" s="80"/>
      <c r="S339" s="80"/>
      <c r="T339" s="83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3"/>
      <c r="AL339" s="83"/>
      <c r="AM339" s="83"/>
      <c r="AN339" s="83"/>
    </row>
    <row r="340" spans="2:40" ht="15.75" customHeight="1">
      <c r="B340" s="83"/>
      <c r="C340" s="80"/>
      <c r="D340" s="80"/>
      <c r="E340" s="80"/>
      <c r="F340" s="188"/>
      <c r="G340" s="80"/>
      <c r="H340" s="80"/>
      <c r="I340" s="80"/>
      <c r="J340" s="187"/>
      <c r="K340" s="80"/>
      <c r="L340" s="80"/>
      <c r="M340" s="80"/>
      <c r="N340" s="80"/>
      <c r="O340" s="80"/>
      <c r="P340" s="80"/>
      <c r="Q340" s="80"/>
      <c r="R340" s="80"/>
      <c r="S340" s="80"/>
      <c r="T340" s="83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3"/>
      <c r="AL340" s="83"/>
      <c r="AM340" s="83"/>
      <c r="AN340" s="83"/>
    </row>
    <row r="341" spans="2:40" ht="15.75" customHeight="1">
      <c r="B341" s="83"/>
      <c r="C341" s="80"/>
      <c r="D341" s="80"/>
      <c r="E341" s="80"/>
      <c r="F341" s="188"/>
      <c r="G341" s="80"/>
      <c r="H341" s="80"/>
      <c r="I341" s="80"/>
      <c r="J341" s="187"/>
      <c r="K341" s="80"/>
      <c r="L341" s="80"/>
      <c r="M341" s="80"/>
      <c r="N341" s="80"/>
      <c r="O341" s="80"/>
      <c r="P341" s="80"/>
      <c r="Q341" s="80"/>
      <c r="R341" s="80"/>
      <c r="S341" s="80"/>
      <c r="T341" s="83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3"/>
      <c r="AL341" s="83"/>
      <c r="AM341" s="83"/>
      <c r="AN341" s="83"/>
    </row>
    <row r="342" spans="2:40" ht="15.75" customHeight="1">
      <c r="B342" s="83"/>
      <c r="C342" s="80"/>
      <c r="D342" s="80"/>
      <c r="E342" s="80"/>
      <c r="F342" s="188"/>
      <c r="G342" s="80"/>
      <c r="H342" s="80"/>
      <c r="I342" s="80"/>
      <c r="J342" s="187"/>
      <c r="K342" s="80"/>
      <c r="L342" s="80"/>
      <c r="M342" s="80"/>
      <c r="N342" s="80"/>
      <c r="O342" s="80"/>
      <c r="P342" s="80"/>
      <c r="Q342" s="80"/>
      <c r="R342" s="80"/>
      <c r="S342" s="80"/>
      <c r="T342" s="83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3"/>
      <c r="AL342" s="83"/>
      <c r="AM342" s="83"/>
      <c r="AN342" s="83"/>
    </row>
    <row r="343" spans="2:40" ht="15.75" customHeight="1">
      <c r="B343" s="83"/>
      <c r="C343" s="80"/>
      <c r="D343" s="80"/>
      <c r="E343" s="80"/>
      <c r="F343" s="188"/>
      <c r="G343" s="80"/>
      <c r="H343" s="80"/>
      <c r="I343" s="80"/>
      <c r="J343" s="187"/>
      <c r="K343" s="80"/>
      <c r="L343" s="80"/>
      <c r="M343" s="80"/>
      <c r="N343" s="80"/>
      <c r="O343" s="80"/>
      <c r="P343" s="80"/>
      <c r="Q343" s="80"/>
      <c r="R343" s="80"/>
      <c r="S343" s="80"/>
      <c r="T343" s="83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3"/>
      <c r="AL343" s="83"/>
      <c r="AM343" s="83"/>
      <c r="AN343" s="83"/>
    </row>
    <row r="344" spans="2:40" ht="15.75" customHeight="1">
      <c r="B344" s="83"/>
      <c r="C344" s="80"/>
      <c r="D344" s="80"/>
      <c r="E344" s="80"/>
      <c r="F344" s="188"/>
      <c r="G344" s="80"/>
      <c r="H344" s="80"/>
      <c r="I344" s="80"/>
      <c r="J344" s="187"/>
      <c r="K344" s="80"/>
      <c r="L344" s="80"/>
      <c r="M344" s="80"/>
      <c r="N344" s="80"/>
      <c r="O344" s="80"/>
      <c r="P344" s="80"/>
      <c r="Q344" s="80"/>
      <c r="R344" s="80"/>
      <c r="S344" s="80"/>
      <c r="T344" s="83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3"/>
      <c r="AL344" s="83"/>
      <c r="AM344" s="83"/>
      <c r="AN344" s="83"/>
    </row>
    <row r="345" spans="2:40" ht="15.75" customHeight="1">
      <c r="B345" s="83"/>
      <c r="C345" s="80"/>
      <c r="D345" s="80"/>
      <c r="E345" s="80"/>
      <c r="F345" s="188"/>
      <c r="G345" s="80"/>
      <c r="H345" s="80"/>
      <c r="I345" s="80"/>
      <c r="J345" s="187"/>
      <c r="K345" s="80"/>
      <c r="L345" s="80"/>
      <c r="M345" s="80"/>
      <c r="N345" s="80"/>
      <c r="O345" s="80"/>
      <c r="P345" s="80"/>
      <c r="Q345" s="80"/>
      <c r="R345" s="80"/>
      <c r="S345" s="80"/>
      <c r="T345" s="83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3"/>
      <c r="AL345" s="83"/>
      <c r="AM345" s="83"/>
      <c r="AN345" s="83"/>
    </row>
    <row r="346" spans="2:40" ht="15.75" customHeight="1">
      <c r="B346" s="83"/>
      <c r="C346" s="80"/>
      <c r="D346" s="80"/>
      <c r="E346" s="80"/>
      <c r="F346" s="188"/>
      <c r="G346" s="80"/>
      <c r="H346" s="80"/>
      <c r="I346" s="80"/>
      <c r="J346" s="187"/>
      <c r="K346" s="80"/>
      <c r="L346" s="80"/>
      <c r="M346" s="80"/>
      <c r="N346" s="80"/>
      <c r="O346" s="80"/>
      <c r="P346" s="80"/>
      <c r="Q346" s="80"/>
      <c r="R346" s="80"/>
      <c r="S346" s="80"/>
      <c r="T346" s="83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3"/>
      <c r="AL346" s="83"/>
      <c r="AM346" s="83"/>
      <c r="AN346" s="83"/>
    </row>
    <row r="347" spans="2:40" ht="15.75" customHeight="1">
      <c r="B347" s="83"/>
      <c r="C347" s="80"/>
      <c r="D347" s="80"/>
      <c r="E347" s="80"/>
      <c r="F347" s="188"/>
      <c r="G347" s="80"/>
      <c r="H347" s="80"/>
      <c r="I347" s="80"/>
      <c r="J347" s="187"/>
      <c r="K347" s="80"/>
      <c r="L347" s="80"/>
      <c r="M347" s="80"/>
      <c r="N347" s="80"/>
      <c r="O347" s="80"/>
      <c r="P347" s="80"/>
      <c r="Q347" s="80"/>
      <c r="R347" s="80"/>
      <c r="S347" s="80"/>
      <c r="T347" s="83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3"/>
      <c r="AL347" s="83"/>
      <c r="AM347" s="83"/>
      <c r="AN347" s="83"/>
    </row>
    <row r="348" spans="2:40" ht="15.75" customHeight="1">
      <c r="B348" s="83"/>
      <c r="C348" s="80"/>
      <c r="D348" s="80"/>
      <c r="E348" s="80"/>
      <c r="F348" s="188"/>
      <c r="G348" s="80"/>
      <c r="H348" s="80"/>
      <c r="I348" s="80"/>
      <c r="J348" s="187"/>
      <c r="K348" s="80"/>
      <c r="L348" s="80"/>
      <c r="M348" s="80"/>
      <c r="N348" s="80"/>
      <c r="O348" s="80"/>
      <c r="P348" s="80"/>
      <c r="Q348" s="80"/>
      <c r="R348" s="80"/>
      <c r="S348" s="80"/>
      <c r="T348" s="83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3"/>
      <c r="AL348" s="83"/>
      <c r="AM348" s="83"/>
      <c r="AN348" s="83"/>
    </row>
    <row r="349" spans="2:40" ht="15.75" customHeight="1">
      <c r="B349" s="83"/>
      <c r="C349" s="80"/>
      <c r="D349" s="80"/>
      <c r="E349" s="80"/>
      <c r="F349" s="188"/>
      <c r="G349" s="80"/>
      <c r="H349" s="80"/>
      <c r="I349" s="80"/>
      <c r="J349" s="187"/>
      <c r="K349" s="80"/>
      <c r="L349" s="80"/>
      <c r="M349" s="80"/>
      <c r="N349" s="80"/>
      <c r="O349" s="80"/>
      <c r="P349" s="80"/>
      <c r="Q349" s="80"/>
      <c r="R349" s="80"/>
      <c r="S349" s="80"/>
      <c r="T349" s="83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3"/>
      <c r="AL349" s="83"/>
      <c r="AM349" s="83"/>
      <c r="AN349" s="83"/>
    </row>
    <row r="350" spans="2:40" ht="15.75" customHeight="1">
      <c r="B350" s="83"/>
      <c r="C350" s="80"/>
      <c r="D350" s="80"/>
      <c r="E350" s="80"/>
      <c r="F350" s="188"/>
      <c r="G350" s="80"/>
      <c r="H350" s="80"/>
      <c r="I350" s="80"/>
      <c r="J350" s="187"/>
      <c r="K350" s="80"/>
      <c r="L350" s="80"/>
      <c r="M350" s="80"/>
      <c r="N350" s="80"/>
      <c r="O350" s="80"/>
      <c r="P350" s="80"/>
      <c r="Q350" s="80"/>
      <c r="R350" s="80"/>
      <c r="S350" s="80"/>
      <c r="T350" s="83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3"/>
      <c r="AL350" s="83"/>
      <c r="AM350" s="83"/>
      <c r="AN350" s="83"/>
    </row>
    <row r="351" spans="2:40" ht="15.75" customHeight="1">
      <c r="B351" s="83"/>
      <c r="C351" s="80"/>
      <c r="D351" s="80"/>
      <c r="E351" s="80"/>
      <c r="F351" s="188"/>
      <c r="G351" s="80"/>
      <c r="H351" s="80"/>
      <c r="I351" s="80"/>
      <c r="J351" s="187"/>
      <c r="K351" s="80"/>
      <c r="L351" s="80"/>
      <c r="M351" s="80"/>
      <c r="N351" s="80"/>
      <c r="O351" s="80"/>
      <c r="P351" s="80"/>
      <c r="Q351" s="80"/>
      <c r="R351" s="80"/>
      <c r="S351" s="80"/>
      <c r="T351" s="83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3"/>
      <c r="AL351" s="83"/>
      <c r="AM351" s="83"/>
      <c r="AN351" s="83"/>
    </row>
    <row r="352" spans="2:40" ht="15.75" customHeight="1">
      <c r="B352" s="83"/>
      <c r="C352" s="80"/>
      <c r="D352" s="80"/>
      <c r="E352" s="80"/>
      <c r="F352" s="188"/>
      <c r="G352" s="80"/>
      <c r="H352" s="80"/>
      <c r="I352" s="80"/>
      <c r="J352" s="187"/>
      <c r="K352" s="80"/>
      <c r="L352" s="80"/>
      <c r="M352" s="80"/>
      <c r="N352" s="80"/>
      <c r="O352" s="80"/>
      <c r="P352" s="80"/>
      <c r="Q352" s="80"/>
      <c r="R352" s="80"/>
      <c r="S352" s="80"/>
      <c r="T352" s="83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3"/>
      <c r="AL352" s="83"/>
      <c r="AM352" s="83"/>
      <c r="AN352" s="83"/>
    </row>
    <row r="353" spans="2:40" ht="15.75" customHeight="1">
      <c r="B353" s="83"/>
      <c r="C353" s="80"/>
      <c r="D353" s="80"/>
      <c r="E353" s="80"/>
      <c r="F353" s="188"/>
      <c r="G353" s="80"/>
      <c r="H353" s="80"/>
      <c r="I353" s="80"/>
      <c r="J353" s="187"/>
      <c r="K353" s="80"/>
      <c r="L353" s="80"/>
      <c r="M353" s="80"/>
      <c r="N353" s="80"/>
      <c r="O353" s="80"/>
      <c r="P353" s="80"/>
      <c r="Q353" s="80"/>
      <c r="R353" s="80"/>
      <c r="S353" s="80"/>
      <c r="T353" s="83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3"/>
      <c r="AL353" s="83"/>
      <c r="AM353" s="83"/>
      <c r="AN353" s="83"/>
    </row>
    <row r="354" spans="2:40" ht="15.75" customHeight="1">
      <c r="B354" s="83"/>
      <c r="C354" s="80"/>
      <c r="D354" s="80"/>
      <c r="E354" s="80"/>
      <c r="F354" s="188"/>
      <c r="G354" s="80"/>
      <c r="H354" s="80"/>
      <c r="I354" s="80"/>
      <c r="J354" s="187"/>
      <c r="K354" s="80"/>
      <c r="L354" s="80"/>
      <c r="M354" s="80"/>
      <c r="N354" s="80"/>
      <c r="O354" s="80"/>
      <c r="P354" s="80"/>
      <c r="Q354" s="80"/>
      <c r="R354" s="80"/>
      <c r="S354" s="80"/>
      <c r="T354" s="83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3"/>
      <c r="AL354" s="83"/>
      <c r="AM354" s="83"/>
      <c r="AN354" s="83"/>
    </row>
    <row r="355" spans="2:40" ht="15.75" customHeight="1">
      <c r="B355" s="83"/>
      <c r="C355" s="80"/>
      <c r="D355" s="80"/>
      <c r="E355" s="80"/>
      <c r="F355" s="188"/>
      <c r="G355" s="80"/>
      <c r="H355" s="80"/>
      <c r="I355" s="80"/>
      <c r="J355" s="187"/>
      <c r="K355" s="80"/>
      <c r="L355" s="80"/>
      <c r="M355" s="80"/>
      <c r="N355" s="80"/>
      <c r="O355" s="80"/>
      <c r="P355" s="80"/>
      <c r="Q355" s="80"/>
      <c r="R355" s="80"/>
      <c r="S355" s="80"/>
      <c r="T355" s="83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3"/>
      <c r="AL355" s="83"/>
      <c r="AM355" s="83"/>
      <c r="AN355" s="83"/>
    </row>
    <row r="356" spans="2:40" ht="15.75" customHeight="1">
      <c r="B356" s="83"/>
      <c r="C356" s="80"/>
      <c r="D356" s="80"/>
      <c r="E356" s="80"/>
      <c r="F356" s="188"/>
      <c r="G356" s="80"/>
      <c r="H356" s="80"/>
      <c r="I356" s="80"/>
      <c r="J356" s="187"/>
      <c r="K356" s="80"/>
      <c r="L356" s="80"/>
      <c r="M356" s="80"/>
      <c r="N356" s="80"/>
      <c r="O356" s="80"/>
      <c r="P356" s="80"/>
      <c r="Q356" s="80"/>
      <c r="R356" s="80"/>
      <c r="S356" s="80"/>
      <c r="T356" s="83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3"/>
      <c r="AL356" s="83"/>
      <c r="AM356" s="83"/>
      <c r="AN356" s="83"/>
    </row>
    <row r="357" spans="2:40" ht="15.75" customHeight="1">
      <c r="B357" s="83"/>
      <c r="C357" s="80"/>
      <c r="D357" s="80"/>
      <c r="E357" s="80"/>
      <c r="F357" s="188"/>
      <c r="G357" s="80"/>
      <c r="H357" s="80"/>
      <c r="I357" s="80"/>
      <c r="J357" s="187"/>
      <c r="K357" s="80"/>
      <c r="L357" s="80"/>
      <c r="M357" s="80"/>
      <c r="N357" s="80"/>
      <c r="O357" s="80"/>
      <c r="P357" s="80"/>
      <c r="Q357" s="80"/>
      <c r="R357" s="80"/>
      <c r="S357" s="80"/>
      <c r="T357" s="83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3"/>
      <c r="AL357" s="83"/>
      <c r="AM357" s="83"/>
      <c r="AN357" s="83"/>
    </row>
    <row r="358" spans="2:40" ht="15.75" customHeight="1">
      <c r="B358" s="83"/>
      <c r="C358" s="80"/>
      <c r="D358" s="80"/>
      <c r="E358" s="80"/>
      <c r="F358" s="188"/>
      <c r="G358" s="80"/>
      <c r="H358" s="80"/>
      <c r="I358" s="80"/>
      <c r="J358" s="187"/>
      <c r="K358" s="80"/>
      <c r="L358" s="80"/>
      <c r="M358" s="80"/>
      <c r="N358" s="80"/>
      <c r="O358" s="80"/>
      <c r="P358" s="80"/>
      <c r="Q358" s="80"/>
      <c r="R358" s="80"/>
      <c r="S358" s="80"/>
      <c r="T358" s="83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3"/>
      <c r="AL358" s="83"/>
      <c r="AM358" s="83"/>
      <c r="AN358" s="83"/>
    </row>
    <row r="359" spans="2:40" ht="15.75" customHeight="1">
      <c r="B359" s="83"/>
      <c r="C359" s="80"/>
      <c r="D359" s="80"/>
      <c r="E359" s="80"/>
      <c r="F359" s="188"/>
      <c r="G359" s="80"/>
      <c r="H359" s="80"/>
      <c r="I359" s="80"/>
      <c r="J359" s="187"/>
      <c r="K359" s="80"/>
      <c r="L359" s="80"/>
      <c r="M359" s="80"/>
      <c r="N359" s="80"/>
      <c r="O359" s="80"/>
      <c r="P359" s="80"/>
      <c r="Q359" s="80"/>
      <c r="R359" s="80"/>
      <c r="S359" s="80"/>
      <c r="T359" s="83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3"/>
      <c r="AL359" s="83"/>
      <c r="AM359" s="83"/>
      <c r="AN359" s="83"/>
    </row>
    <row r="360" spans="2:40" ht="15.75" customHeight="1">
      <c r="B360" s="83"/>
      <c r="C360" s="80"/>
      <c r="D360" s="80"/>
      <c r="E360" s="80"/>
      <c r="F360" s="188"/>
      <c r="G360" s="80"/>
      <c r="H360" s="80"/>
      <c r="I360" s="80"/>
      <c r="J360" s="187"/>
      <c r="K360" s="80"/>
      <c r="L360" s="80"/>
      <c r="M360" s="80"/>
      <c r="N360" s="80"/>
      <c r="O360" s="80"/>
      <c r="P360" s="80"/>
      <c r="Q360" s="80"/>
      <c r="R360" s="80"/>
      <c r="S360" s="80"/>
      <c r="T360" s="83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3"/>
      <c r="AL360" s="83"/>
      <c r="AM360" s="83"/>
      <c r="AN360" s="83"/>
    </row>
    <row r="361" spans="2:40" ht="15.75" customHeight="1">
      <c r="B361" s="83"/>
      <c r="C361" s="80"/>
      <c r="D361" s="80"/>
      <c r="E361" s="80"/>
      <c r="F361" s="188"/>
      <c r="G361" s="80"/>
      <c r="H361" s="80"/>
      <c r="I361" s="80"/>
      <c r="J361" s="187"/>
      <c r="K361" s="80"/>
      <c r="L361" s="80"/>
      <c r="M361" s="80"/>
      <c r="N361" s="80"/>
      <c r="O361" s="80"/>
      <c r="P361" s="80"/>
      <c r="Q361" s="80"/>
      <c r="R361" s="80"/>
      <c r="S361" s="80"/>
      <c r="T361" s="83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3"/>
      <c r="AL361" s="83"/>
      <c r="AM361" s="83"/>
      <c r="AN361" s="83"/>
    </row>
    <row r="362" spans="2:40" ht="15.75" customHeight="1">
      <c r="B362" s="83"/>
      <c r="C362" s="80"/>
      <c r="D362" s="80"/>
      <c r="E362" s="80"/>
      <c r="F362" s="188"/>
      <c r="G362" s="80"/>
      <c r="H362" s="80"/>
      <c r="I362" s="80"/>
      <c r="J362" s="187"/>
      <c r="K362" s="80"/>
      <c r="L362" s="80"/>
      <c r="M362" s="80"/>
      <c r="N362" s="80"/>
      <c r="O362" s="80"/>
      <c r="P362" s="80"/>
      <c r="Q362" s="80"/>
      <c r="R362" s="80"/>
      <c r="S362" s="80"/>
      <c r="T362" s="83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3"/>
      <c r="AL362" s="83"/>
      <c r="AM362" s="83"/>
      <c r="AN362" s="83"/>
    </row>
    <row r="363" spans="2:40" ht="15.75" customHeight="1">
      <c r="B363" s="83"/>
      <c r="C363" s="80"/>
      <c r="D363" s="80"/>
      <c r="E363" s="80"/>
      <c r="F363" s="188"/>
      <c r="G363" s="80"/>
      <c r="H363" s="80"/>
      <c r="I363" s="80"/>
      <c r="J363" s="187"/>
      <c r="K363" s="80"/>
      <c r="L363" s="80"/>
      <c r="M363" s="80"/>
      <c r="N363" s="80"/>
      <c r="O363" s="80"/>
      <c r="P363" s="80"/>
      <c r="Q363" s="80"/>
      <c r="R363" s="80"/>
      <c r="S363" s="80"/>
      <c r="T363" s="83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3"/>
      <c r="AL363" s="83"/>
      <c r="AM363" s="83"/>
      <c r="AN363" s="83"/>
    </row>
    <row r="364" spans="2:40" ht="15.75" customHeight="1">
      <c r="B364" s="83"/>
      <c r="C364" s="80"/>
      <c r="D364" s="80"/>
      <c r="E364" s="80"/>
      <c r="F364" s="188"/>
      <c r="G364" s="80"/>
      <c r="H364" s="80"/>
      <c r="I364" s="80"/>
      <c r="J364" s="187"/>
      <c r="K364" s="80"/>
      <c r="L364" s="80"/>
      <c r="M364" s="80"/>
      <c r="N364" s="80"/>
      <c r="O364" s="80"/>
      <c r="P364" s="80"/>
      <c r="Q364" s="80"/>
      <c r="R364" s="80"/>
      <c r="S364" s="80"/>
      <c r="T364" s="83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3"/>
      <c r="AL364" s="83"/>
      <c r="AM364" s="83"/>
      <c r="AN364" s="83"/>
    </row>
    <row r="365" spans="2:40" ht="15.75" customHeight="1">
      <c r="B365" s="83"/>
      <c r="C365" s="80"/>
      <c r="D365" s="80"/>
      <c r="E365" s="80"/>
      <c r="F365" s="188"/>
      <c r="G365" s="80"/>
      <c r="H365" s="80"/>
      <c r="I365" s="80"/>
      <c r="J365" s="187"/>
      <c r="K365" s="80"/>
      <c r="L365" s="80"/>
      <c r="M365" s="80"/>
      <c r="N365" s="80"/>
      <c r="O365" s="80"/>
      <c r="P365" s="80"/>
      <c r="Q365" s="80"/>
      <c r="R365" s="80"/>
      <c r="S365" s="80"/>
      <c r="T365" s="83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3"/>
      <c r="AL365" s="83"/>
      <c r="AM365" s="83"/>
      <c r="AN365" s="83"/>
    </row>
    <row r="366" spans="2:40" ht="15.75" customHeight="1">
      <c r="B366" s="83"/>
      <c r="C366" s="80"/>
      <c r="D366" s="80"/>
      <c r="E366" s="80"/>
      <c r="F366" s="188"/>
      <c r="G366" s="80"/>
      <c r="H366" s="80"/>
      <c r="I366" s="80"/>
      <c r="J366" s="187"/>
      <c r="K366" s="80"/>
      <c r="L366" s="80"/>
      <c r="M366" s="80"/>
      <c r="N366" s="80"/>
      <c r="O366" s="80"/>
      <c r="P366" s="80"/>
      <c r="Q366" s="80"/>
      <c r="R366" s="80"/>
      <c r="S366" s="80"/>
      <c r="T366" s="83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3"/>
      <c r="AL366" s="83"/>
      <c r="AM366" s="83"/>
      <c r="AN366" s="83"/>
    </row>
    <row r="367" spans="2:40" ht="15.75" customHeight="1">
      <c r="B367" s="83"/>
      <c r="C367" s="80"/>
      <c r="D367" s="80"/>
      <c r="E367" s="80"/>
      <c r="F367" s="188"/>
      <c r="G367" s="80"/>
      <c r="H367" s="80"/>
      <c r="I367" s="80"/>
      <c r="J367" s="187"/>
      <c r="K367" s="80"/>
      <c r="L367" s="80"/>
      <c r="M367" s="80"/>
      <c r="N367" s="80"/>
      <c r="O367" s="80"/>
      <c r="P367" s="80"/>
      <c r="Q367" s="80"/>
      <c r="R367" s="80"/>
      <c r="S367" s="80"/>
      <c r="T367" s="83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3"/>
      <c r="AL367" s="83"/>
      <c r="AM367" s="83"/>
      <c r="AN367" s="83"/>
    </row>
    <row r="368" spans="2:40" ht="15.75" customHeight="1">
      <c r="B368" s="83"/>
      <c r="C368" s="80"/>
      <c r="D368" s="80"/>
      <c r="E368" s="80"/>
      <c r="F368" s="188"/>
      <c r="G368" s="80"/>
      <c r="H368" s="80"/>
      <c r="I368" s="80"/>
      <c r="J368" s="187"/>
      <c r="K368" s="80"/>
      <c r="L368" s="80"/>
      <c r="M368" s="80"/>
      <c r="N368" s="80"/>
      <c r="O368" s="80"/>
      <c r="P368" s="80"/>
      <c r="Q368" s="80"/>
      <c r="R368" s="80"/>
      <c r="S368" s="80"/>
      <c r="T368" s="83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3"/>
      <c r="AL368" s="83"/>
      <c r="AM368" s="83"/>
      <c r="AN368" s="83"/>
    </row>
    <row r="369" spans="2:40" ht="15.75" customHeight="1">
      <c r="B369" s="83"/>
      <c r="C369" s="80"/>
      <c r="D369" s="80"/>
      <c r="E369" s="80"/>
      <c r="F369" s="188"/>
      <c r="G369" s="80"/>
      <c r="H369" s="80"/>
      <c r="I369" s="80"/>
      <c r="J369" s="187"/>
      <c r="K369" s="80"/>
      <c r="L369" s="80"/>
      <c r="M369" s="80"/>
      <c r="N369" s="80"/>
      <c r="O369" s="80"/>
      <c r="P369" s="80"/>
      <c r="Q369" s="80"/>
      <c r="R369" s="80"/>
      <c r="S369" s="80"/>
      <c r="T369" s="83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3"/>
      <c r="AL369" s="83"/>
      <c r="AM369" s="83"/>
      <c r="AN369" s="83"/>
    </row>
    <row r="370" spans="2:40" ht="15.75" customHeight="1">
      <c r="B370" s="83"/>
      <c r="C370" s="80"/>
      <c r="D370" s="80"/>
      <c r="E370" s="80"/>
      <c r="F370" s="188"/>
      <c r="G370" s="80"/>
      <c r="H370" s="80"/>
      <c r="I370" s="80"/>
      <c r="J370" s="187"/>
      <c r="K370" s="80"/>
      <c r="L370" s="80"/>
      <c r="M370" s="80"/>
      <c r="N370" s="80"/>
      <c r="O370" s="80"/>
      <c r="P370" s="80"/>
      <c r="Q370" s="80"/>
      <c r="R370" s="80"/>
      <c r="S370" s="80"/>
      <c r="T370" s="83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3"/>
      <c r="AL370" s="83"/>
      <c r="AM370" s="83"/>
      <c r="AN370" s="83"/>
    </row>
    <row r="371" spans="2:40" ht="15.75" customHeight="1">
      <c r="B371" s="83"/>
      <c r="C371" s="80"/>
      <c r="D371" s="80"/>
      <c r="E371" s="80"/>
      <c r="F371" s="188"/>
      <c r="G371" s="80"/>
      <c r="H371" s="80"/>
      <c r="I371" s="80"/>
      <c r="J371" s="187"/>
      <c r="K371" s="80"/>
      <c r="L371" s="80"/>
      <c r="M371" s="80"/>
      <c r="N371" s="80"/>
      <c r="O371" s="80"/>
      <c r="P371" s="80"/>
      <c r="Q371" s="80"/>
      <c r="R371" s="80"/>
      <c r="S371" s="80"/>
      <c r="T371" s="83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3"/>
      <c r="AL371" s="83"/>
      <c r="AM371" s="83"/>
      <c r="AN371" s="83"/>
    </row>
    <row r="372" spans="2:40" ht="15.75" customHeight="1">
      <c r="B372" s="83"/>
      <c r="C372" s="80"/>
      <c r="D372" s="80"/>
      <c r="E372" s="80"/>
      <c r="F372" s="188"/>
      <c r="G372" s="80"/>
      <c r="H372" s="80"/>
      <c r="I372" s="80"/>
      <c r="J372" s="187"/>
      <c r="K372" s="80"/>
      <c r="L372" s="80"/>
      <c r="M372" s="80"/>
      <c r="N372" s="80"/>
      <c r="O372" s="80"/>
      <c r="P372" s="80"/>
      <c r="Q372" s="80"/>
      <c r="R372" s="80"/>
      <c r="S372" s="80"/>
      <c r="T372" s="83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3"/>
      <c r="AL372" s="83"/>
      <c r="AM372" s="83"/>
      <c r="AN372" s="83"/>
    </row>
    <row r="373" spans="2:40" ht="15.75" customHeight="1">
      <c r="B373" s="83"/>
      <c r="C373" s="80"/>
      <c r="D373" s="80"/>
      <c r="E373" s="80"/>
      <c r="F373" s="188"/>
      <c r="G373" s="80"/>
      <c r="H373" s="80"/>
      <c r="I373" s="80"/>
      <c r="J373" s="187"/>
      <c r="K373" s="80"/>
      <c r="L373" s="80"/>
      <c r="M373" s="80"/>
      <c r="N373" s="80"/>
      <c r="O373" s="80"/>
      <c r="P373" s="80"/>
      <c r="Q373" s="80"/>
      <c r="R373" s="80"/>
      <c r="S373" s="80"/>
      <c r="T373" s="83"/>
      <c r="U373" s="85"/>
      <c r="V373" s="85"/>
      <c r="W373" s="85"/>
      <c r="X373" s="85"/>
      <c r="Y373" s="85"/>
      <c r="Z373" s="85"/>
      <c r="AA373" s="85"/>
      <c r="AB373" s="85"/>
      <c r="AC373" s="85"/>
      <c r="AD373" s="85"/>
      <c r="AE373" s="85"/>
      <c r="AF373" s="85"/>
      <c r="AG373" s="85"/>
      <c r="AH373" s="85"/>
      <c r="AI373" s="85"/>
      <c r="AJ373" s="85"/>
      <c r="AK373" s="83"/>
      <c r="AL373" s="83"/>
      <c r="AM373" s="83"/>
      <c r="AN373" s="83"/>
    </row>
    <row r="374" spans="2:40" ht="15.75" customHeight="1">
      <c r="B374" s="83"/>
      <c r="C374" s="80"/>
      <c r="D374" s="80"/>
      <c r="E374" s="80"/>
      <c r="F374" s="188"/>
      <c r="G374" s="80"/>
      <c r="H374" s="80"/>
      <c r="I374" s="80"/>
      <c r="J374" s="187"/>
      <c r="K374" s="80"/>
      <c r="L374" s="80"/>
      <c r="M374" s="80"/>
      <c r="N374" s="80"/>
      <c r="O374" s="80"/>
      <c r="P374" s="80"/>
      <c r="Q374" s="80"/>
      <c r="R374" s="80"/>
      <c r="S374" s="80"/>
      <c r="T374" s="83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3"/>
      <c r="AL374" s="83"/>
      <c r="AM374" s="83"/>
      <c r="AN374" s="83"/>
    </row>
    <row r="375" spans="2:40" ht="15.75" customHeight="1">
      <c r="B375" s="83"/>
      <c r="C375" s="80"/>
      <c r="D375" s="80"/>
      <c r="E375" s="80"/>
      <c r="F375" s="188"/>
      <c r="G375" s="80"/>
      <c r="H375" s="80"/>
      <c r="I375" s="80"/>
      <c r="J375" s="187"/>
      <c r="K375" s="80"/>
      <c r="L375" s="80"/>
      <c r="M375" s="80"/>
      <c r="N375" s="80"/>
      <c r="O375" s="80"/>
      <c r="P375" s="80"/>
      <c r="Q375" s="80"/>
      <c r="R375" s="80"/>
      <c r="S375" s="80"/>
      <c r="T375" s="83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3"/>
      <c r="AL375" s="83"/>
      <c r="AM375" s="83"/>
      <c r="AN375" s="83"/>
    </row>
    <row r="376" spans="2:40" ht="15.75" customHeight="1">
      <c r="B376" s="83"/>
      <c r="C376" s="80"/>
      <c r="D376" s="80"/>
      <c r="E376" s="80"/>
      <c r="F376" s="188"/>
      <c r="G376" s="80"/>
      <c r="H376" s="80"/>
      <c r="I376" s="80"/>
      <c r="J376" s="187"/>
      <c r="K376" s="80"/>
      <c r="L376" s="80"/>
      <c r="M376" s="80"/>
      <c r="N376" s="80"/>
      <c r="O376" s="80"/>
      <c r="P376" s="80"/>
      <c r="Q376" s="80"/>
      <c r="R376" s="80"/>
      <c r="S376" s="80"/>
      <c r="T376" s="83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3"/>
      <c r="AL376" s="83"/>
      <c r="AM376" s="83"/>
      <c r="AN376" s="83"/>
    </row>
    <row r="377" spans="2:40" ht="15.75" customHeight="1">
      <c r="B377" s="83"/>
      <c r="C377" s="80"/>
      <c r="D377" s="80"/>
      <c r="E377" s="80"/>
      <c r="F377" s="188"/>
      <c r="G377" s="80"/>
      <c r="H377" s="80"/>
      <c r="I377" s="80"/>
      <c r="J377" s="187"/>
      <c r="K377" s="80"/>
      <c r="L377" s="80"/>
      <c r="M377" s="80"/>
      <c r="N377" s="80"/>
      <c r="O377" s="80"/>
      <c r="P377" s="80"/>
      <c r="Q377" s="80"/>
      <c r="R377" s="80"/>
      <c r="S377" s="80"/>
      <c r="T377" s="83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3"/>
      <c r="AL377" s="83"/>
      <c r="AM377" s="83"/>
      <c r="AN377" s="83"/>
    </row>
    <row r="378" spans="2:40" ht="15.75" customHeight="1">
      <c r="B378" s="83"/>
      <c r="C378" s="80"/>
      <c r="D378" s="80"/>
      <c r="E378" s="80"/>
      <c r="F378" s="188"/>
      <c r="G378" s="80"/>
      <c r="H378" s="80"/>
      <c r="I378" s="80"/>
      <c r="J378" s="187"/>
      <c r="K378" s="80"/>
      <c r="L378" s="80"/>
      <c r="M378" s="80"/>
      <c r="N378" s="80"/>
      <c r="O378" s="80"/>
      <c r="P378" s="80"/>
      <c r="Q378" s="80"/>
      <c r="R378" s="80"/>
      <c r="S378" s="80"/>
      <c r="T378" s="83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3"/>
      <c r="AL378" s="83"/>
      <c r="AM378" s="83"/>
      <c r="AN378" s="83"/>
    </row>
    <row r="379" spans="2:40" ht="15.75" customHeight="1">
      <c r="B379" s="83"/>
      <c r="C379" s="80"/>
      <c r="D379" s="80"/>
      <c r="E379" s="80"/>
      <c r="F379" s="188"/>
      <c r="G379" s="80"/>
      <c r="H379" s="80"/>
      <c r="I379" s="80"/>
      <c r="J379" s="187"/>
      <c r="K379" s="80"/>
      <c r="L379" s="80"/>
      <c r="M379" s="80"/>
      <c r="N379" s="80"/>
      <c r="O379" s="80"/>
      <c r="P379" s="80"/>
      <c r="Q379" s="80"/>
      <c r="R379" s="80"/>
      <c r="S379" s="80"/>
      <c r="T379" s="83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3"/>
      <c r="AL379" s="83"/>
      <c r="AM379" s="83"/>
      <c r="AN379" s="83"/>
    </row>
    <row r="380" spans="2:40" ht="15.75" customHeight="1">
      <c r="B380" s="83"/>
      <c r="C380" s="80"/>
      <c r="D380" s="80"/>
      <c r="E380" s="80"/>
      <c r="F380" s="188"/>
      <c r="G380" s="80"/>
      <c r="H380" s="80"/>
      <c r="I380" s="80"/>
      <c r="J380" s="187"/>
      <c r="K380" s="80"/>
      <c r="L380" s="80"/>
      <c r="M380" s="80"/>
      <c r="N380" s="80"/>
      <c r="O380" s="80"/>
      <c r="P380" s="80"/>
      <c r="Q380" s="80"/>
      <c r="R380" s="80"/>
      <c r="S380" s="80"/>
      <c r="T380" s="83"/>
      <c r="U380" s="85"/>
      <c r="V380" s="85"/>
      <c r="W380" s="85"/>
      <c r="X380" s="85"/>
      <c r="Y380" s="85"/>
      <c r="Z380" s="85"/>
      <c r="AA380" s="85"/>
      <c r="AB380" s="85"/>
      <c r="AC380" s="85"/>
      <c r="AD380" s="85"/>
      <c r="AE380" s="85"/>
      <c r="AF380" s="85"/>
      <c r="AG380" s="85"/>
      <c r="AH380" s="85"/>
      <c r="AI380" s="85"/>
      <c r="AJ380" s="85"/>
      <c r="AK380" s="83"/>
      <c r="AL380" s="83"/>
      <c r="AM380" s="83"/>
      <c r="AN380" s="83"/>
    </row>
    <row r="381" spans="2:40" ht="15.75" customHeight="1">
      <c r="B381" s="83"/>
      <c r="C381" s="80"/>
      <c r="D381" s="80"/>
      <c r="E381" s="80"/>
      <c r="F381" s="188"/>
      <c r="G381" s="80"/>
      <c r="H381" s="80"/>
      <c r="I381" s="80"/>
      <c r="J381" s="187"/>
      <c r="K381" s="80"/>
      <c r="L381" s="80"/>
      <c r="M381" s="80"/>
      <c r="N381" s="80"/>
      <c r="O381" s="80"/>
      <c r="P381" s="80"/>
      <c r="Q381" s="80"/>
      <c r="R381" s="80"/>
      <c r="S381" s="80"/>
      <c r="T381" s="83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3"/>
      <c r="AL381" s="83"/>
      <c r="AM381" s="83"/>
      <c r="AN381" s="83"/>
    </row>
    <row r="382" spans="2:40" ht="15.75" customHeight="1">
      <c r="B382" s="83"/>
      <c r="C382" s="80"/>
      <c r="D382" s="80"/>
      <c r="E382" s="80"/>
      <c r="F382" s="188"/>
      <c r="G382" s="80"/>
      <c r="H382" s="80"/>
      <c r="I382" s="80"/>
      <c r="J382" s="187"/>
      <c r="K382" s="80"/>
      <c r="L382" s="80"/>
      <c r="M382" s="80"/>
      <c r="N382" s="80"/>
      <c r="O382" s="80"/>
      <c r="P382" s="80"/>
      <c r="Q382" s="80"/>
      <c r="R382" s="80"/>
      <c r="S382" s="80"/>
      <c r="T382" s="83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3"/>
      <c r="AL382" s="83"/>
      <c r="AM382" s="83"/>
      <c r="AN382" s="83"/>
    </row>
    <row r="383" spans="2:40" ht="15.75" customHeight="1">
      <c r="B383" s="83"/>
      <c r="C383" s="80"/>
      <c r="D383" s="80"/>
      <c r="E383" s="80"/>
      <c r="F383" s="188"/>
      <c r="G383" s="80"/>
      <c r="H383" s="80"/>
      <c r="I383" s="80"/>
      <c r="J383" s="187"/>
      <c r="K383" s="80"/>
      <c r="L383" s="80"/>
      <c r="M383" s="80"/>
      <c r="N383" s="80"/>
      <c r="O383" s="80"/>
      <c r="P383" s="80"/>
      <c r="Q383" s="80"/>
      <c r="R383" s="80"/>
      <c r="S383" s="80"/>
      <c r="T383" s="83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3"/>
      <c r="AL383" s="83"/>
      <c r="AM383" s="83"/>
      <c r="AN383" s="83"/>
    </row>
    <row r="384" spans="2:40" ht="15.75" customHeight="1">
      <c r="B384" s="83"/>
      <c r="C384" s="80"/>
      <c r="D384" s="80"/>
      <c r="E384" s="80"/>
      <c r="F384" s="188"/>
      <c r="G384" s="80"/>
      <c r="H384" s="80"/>
      <c r="I384" s="80"/>
      <c r="J384" s="187"/>
      <c r="K384" s="80"/>
      <c r="L384" s="80"/>
      <c r="M384" s="80"/>
      <c r="N384" s="80"/>
      <c r="O384" s="80"/>
      <c r="P384" s="80"/>
      <c r="Q384" s="80"/>
      <c r="R384" s="80"/>
      <c r="S384" s="80"/>
      <c r="T384" s="83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3"/>
      <c r="AL384" s="83"/>
      <c r="AM384" s="83"/>
      <c r="AN384" s="83"/>
    </row>
    <row r="385" spans="2:40" ht="15.75" customHeight="1">
      <c r="B385" s="83"/>
      <c r="C385" s="80"/>
      <c r="D385" s="80"/>
      <c r="E385" s="80"/>
      <c r="F385" s="188"/>
      <c r="G385" s="80"/>
      <c r="H385" s="80"/>
      <c r="I385" s="80"/>
      <c r="J385" s="187"/>
      <c r="K385" s="80"/>
      <c r="L385" s="80"/>
      <c r="M385" s="80"/>
      <c r="N385" s="80"/>
      <c r="O385" s="80"/>
      <c r="P385" s="80"/>
      <c r="Q385" s="80"/>
      <c r="R385" s="80"/>
      <c r="S385" s="80"/>
      <c r="T385" s="83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3"/>
      <c r="AL385" s="83"/>
      <c r="AM385" s="83"/>
      <c r="AN385" s="83"/>
    </row>
    <row r="386" spans="2:40" ht="15.75" customHeight="1">
      <c r="B386" s="83"/>
      <c r="C386" s="80"/>
      <c r="D386" s="80"/>
      <c r="E386" s="80"/>
      <c r="F386" s="188"/>
      <c r="G386" s="80"/>
      <c r="H386" s="80"/>
      <c r="I386" s="80"/>
      <c r="J386" s="187"/>
      <c r="K386" s="80"/>
      <c r="L386" s="80"/>
      <c r="M386" s="80"/>
      <c r="N386" s="80"/>
      <c r="O386" s="80"/>
      <c r="P386" s="80"/>
      <c r="Q386" s="80"/>
      <c r="R386" s="80"/>
      <c r="S386" s="80"/>
      <c r="T386" s="83"/>
      <c r="U386" s="85"/>
      <c r="V386" s="85"/>
      <c r="W386" s="85"/>
      <c r="X386" s="85"/>
      <c r="Y386" s="85"/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3"/>
      <c r="AL386" s="83"/>
      <c r="AM386" s="83"/>
      <c r="AN386" s="83"/>
    </row>
    <row r="387" spans="2:40" ht="15.75" customHeight="1">
      <c r="B387" s="83"/>
      <c r="C387" s="80"/>
      <c r="D387" s="80"/>
      <c r="E387" s="80"/>
      <c r="F387" s="188"/>
      <c r="G387" s="80"/>
      <c r="H387" s="80"/>
      <c r="I387" s="80"/>
      <c r="J387" s="187"/>
      <c r="K387" s="80"/>
      <c r="L387" s="80"/>
      <c r="M387" s="80"/>
      <c r="N387" s="80"/>
      <c r="O387" s="80"/>
      <c r="P387" s="80"/>
      <c r="Q387" s="80"/>
      <c r="R387" s="80"/>
      <c r="S387" s="80"/>
      <c r="T387" s="83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85"/>
      <c r="AI387" s="85"/>
      <c r="AJ387" s="85"/>
      <c r="AK387" s="83"/>
      <c r="AL387" s="83"/>
      <c r="AM387" s="83"/>
      <c r="AN387" s="83"/>
    </row>
    <row r="388" spans="2:40" ht="15.75" customHeight="1">
      <c r="B388" s="83"/>
      <c r="C388" s="80"/>
      <c r="D388" s="80"/>
      <c r="E388" s="80"/>
      <c r="F388" s="188"/>
      <c r="G388" s="80"/>
      <c r="H388" s="80"/>
      <c r="I388" s="80"/>
      <c r="J388" s="187"/>
      <c r="K388" s="80"/>
      <c r="L388" s="80"/>
      <c r="M388" s="80"/>
      <c r="N388" s="80"/>
      <c r="O388" s="80"/>
      <c r="P388" s="80"/>
      <c r="Q388" s="80"/>
      <c r="R388" s="80"/>
      <c r="S388" s="80"/>
      <c r="T388" s="83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3"/>
      <c r="AL388" s="83"/>
      <c r="AM388" s="83"/>
      <c r="AN388" s="83"/>
    </row>
    <row r="389" spans="2:40" ht="15.75" customHeight="1">
      <c r="B389" s="83"/>
      <c r="C389" s="80"/>
      <c r="D389" s="80"/>
      <c r="E389" s="80"/>
      <c r="F389" s="188"/>
      <c r="G389" s="80"/>
      <c r="H389" s="80"/>
      <c r="I389" s="80"/>
      <c r="J389" s="187"/>
      <c r="K389" s="80"/>
      <c r="L389" s="80"/>
      <c r="M389" s="80"/>
      <c r="N389" s="80"/>
      <c r="O389" s="80"/>
      <c r="P389" s="80"/>
      <c r="Q389" s="80"/>
      <c r="R389" s="80"/>
      <c r="S389" s="80"/>
      <c r="T389" s="83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3"/>
      <c r="AL389" s="83"/>
      <c r="AM389" s="83"/>
      <c r="AN389" s="83"/>
    </row>
    <row r="390" spans="2:40" ht="15.75" customHeight="1">
      <c r="B390" s="83"/>
      <c r="C390" s="80"/>
      <c r="D390" s="80"/>
      <c r="E390" s="80"/>
      <c r="F390" s="188"/>
      <c r="G390" s="80"/>
      <c r="H390" s="80"/>
      <c r="I390" s="80"/>
      <c r="J390" s="187"/>
      <c r="K390" s="80"/>
      <c r="L390" s="80"/>
      <c r="M390" s="80"/>
      <c r="N390" s="80"/>
      <c r="O390" s="80"/>
      <c r="P390" s="80"/>
      <c r="Q390" s="80"/>
      <c r="R390" s="80"/>
      <c r="S390" s="80"/>
      <c r="T390" s="83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3"/>
      <c r="AL390" s="83"/>
      <c r="AM390" s="83"/>
      <c r="AN390" s="83"/>
    </row>
    <row r="391" spans="2:40" ht="15.75" customHeight="1">
      <c r="B391" s="83"/>
      <c r="C391" s="80"/>
      <c r="D391" s="80"/>
      <c r="E391" s="80"/>
      <c r="F391" s="188"/>
      <c r="G391" s="80"/>
      <c r="H391" s="80"/>
      <c r="I391" s="80"/>
      <c r="J391" s="187"/>
      <c r="K391" s="80"/>
      <c r="L391" s="80"/>
      <c r="M391" s="80"/>
      <c r="N391" s="80"/>
      <c r="O391" s="80"/>
      <c r="P391" s="80"/>
      <c r="Q391" s="80"/>
      <c r="R391" s="80"/>
      <c r="S391" s="80"/>
      <c r="T391" s="83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3"/>
      <c r="AL391" s="83"/>
      <c r="AM391" s="83"/>
      <c r="AN391" s="83"/>
    </row>
    <row r="392" spans="2:40" ht="15.75" customHeight="1">
      <c r="B392" s="83"/>
      <c r="C392" s="80"/>
      <c r="D392" s="80"/>
      <c r="E392" s="80"/>
      <c r="F392" s="188"/>
      <c r="G392" s="80"/>
      <c r="H392" s="80"/>
      <c r="I392" s="80"/>
      <c r="J392" s="187"/>
      <c r="K392" s="80"/>
      <c r="L392" s="80"/>
      <c r="M392" s="80"/>
      <c r="N392" s="80"/>
      <c r="O392" s="80"/>
      <c r="P392" s="80"/>
      <c r="Q392" s="80"/>
      <c r="R392" s="80"/>
      <c r="S392" s="80"/>
      <c r="T392" s="83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3"/>
      <c r="AL392" s="83"/>
      <c r="AM392" s="83"/>
      <c r="AN392" s="83"/>
    </row>
    <row r="393" spans="2:40" ht="15.75" customHeight="1">
      <c r="B393" s="83"/>
      <c r="C393" s="80"/>
      <c r="D393" s="80"/>
      <c r="E393" s="80"/>
      <c r="F393" s="188"/>
      <c r="G393" s="80"/>
      <c r="H393" s="80"/>
      <c r="I393" s="80"/>
      <c r="J393" s="187"/>
      <c r="K393" s="80"/>
      <c r="L393" s="80"/>
      <c r="M393" s="80"/>
      <c r="N393" s="80"/>
      <c r="O393" s="80"/>
      <c r="P393" s="80"/>
      <c r="Q393" s="80"/>
      <c r="R393" s="80"/>
      <c r="S393" s="80"/>
      <c r="T393" s="83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3"/>
      <c r="AL393" s="83"/>
      <c r="AM393" s="83"/>
      <c r="AN393" s="83"/>
    </row>
    <row r="394" spans="2:40" ht="15.75" customHeight="1">
      <c r="B394" s="83"/>
      <c r="C394" s="80"/>
      <c r="D394" s="80"/>
      <c r="E394" s="80"/>
      <c r="F394" s="188"/>
      <c r="G394" s="80"/>
      <c r="H394" s="80"/>
      <c r="I394" s="80"/>
      <c r="J394" s="187"/>
      <c r="K394" s="80"/>
      <c r="L394" s="80"/>
      <c r="M394" s="80"/>
      <c r="N394" s="80"/>
      <c r="O394" s="80"/>
      <c r="P394" s="80"/>
      <c r="Q394" s="80"/>
      <c r="R394" s="80"/>
      <c r="S394" s="80"/>
      <c r="T394" s="83"/>
      <c r="U394" s="85"/>
      <c r="V394" s="85"/>
      <c r="W394" s="85"/>
      <c r="X394" s="85"/>
      <c r="Y394" s="85"/>
      <c r="Z394" s="85"/>
      <c r="AA394" s="85"/>
      <c r="AB394" s="85"/>
      <c r="AC394" s="85"/>
      <c r="AD394" s="85"/>
      <c r="AE394" s="85"/>
      <c r="AF394" s="85"/>
      <c r="AG394" s="85"/>
      <c r="AH394" s="85"/>
      <c r="AI394" s="85"/>
      <c r="AJ394" s="85"/>
      <c r="AK394" s="83"/>
      <c r="AL394" s="83"/>
      <c r="AM394" s="83"/>
      <c r="AN394" s="83"/>
    </row>
    <row r="395" spans="2:40" ht="15.75" customHeight="1">
      <c r="B395" s="83"/>
      <c r="C395" s="80"/>
      <c r="D395" s="80"/>
      <c r="E395" s="80"/>
      <c r="F395" s="188"/>
      <c r="G395" s="80"/>
      <c r="H395" s="80"/>
      <c r="I395" s="80"/>
      <c r="J395" s="187"/>
      <c r="K395" s="80"/>
      <c r="L395" s="80"/>
      <c r="M395" s="80"/>
      <c r="N395" s="80"/>
      <c r="O395" s="80"/>
      <c r="P395" s="80"/>
      <c r="Q395" s="80"/>
      <c r="R395" s="80"/>
      <c r="S395" s="80"/>
      <c r="T395" s="83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3"/>
      <c r="AL395" s="83"/>
      <c r="AM395" s="83"/>
      <c r="AN395" s="83"/>
    </row>
    <row r="396" spans="2:40" ht="15.75" customHeight="1">
      <c r="B396" s="83"/>
      <c r="C396" s="80"/>
      <c r="D396" s="80"/>
      <c r="E396" s="80"/>
      <c r="F396" s="188"/>
      <c r="G396" s="80"/>
      <c r="H396" s="80"/>
      <c r="I396" s="80"/>
      <c r="J396" s="187"/>
      <c r="K396" s="80"/>
      <c r="L396" s="80"/>
      <c r="M396" s="80"/>
      <c r="N396" s="80"/>
      <c r="O396" s="80"/>
      <c r="P396" s="80"/>
      <c r="Q396" s="80"/>
      <c r="R396" s="80"/>
      <c r="S396" s="80"/>
      <c r="T396" s="83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3"/>
      <c r="AL396" s="83"/>
      <c r="AM396" s="83"/>
      <c r="AN396" s="83"/>
    </row>
    <row r="397" spans="2:40" ht="15.75" customHeight="1">
      <c r="B397" s="83"/>
      <c r="C397" s="80"/>
      <c r="D397" s="80"/>
      <c r="E397" s="80"/>
      <c r="F397" s="188"/>
      <c r="G397" s="80"/>
      <c r="H397" s="80"/>
      <c r="I397" s="80"/>
      <c r="J397" s="187"/>
      <c r="K397" s="80"/>
      <c r="L397" s="80"/>
      <c r="M397" s="80"/>
      <c r="N397" s="80"/>
      <c r="O397" s="80"/>
      <c r="P397" s="80"/>
      <c r="Q397" s="80"/>
      <c r="R397" s="80"/>
      <c r="S397" s="80"/>
      <c r="T397" s="83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3"/>
      <c r="AL397" s="83"/>
      <c r="AM397" s="83"/>
      <c r="AN397" s="83"/>
    </row>
    <row r="398" spans="2:40" ht="15.75" customHeight="1">
      <c r="B398" s="83"/>
      <c r="C398" s="80"/>
      <c r="D398" s="80"/>
      <c r="E398" s="80"/>
      <c r="F398" s="188"/>
      <c r="G398" s="80"/>
      <c r="H398" s="80"/>
      <c r="I398" s="80"/>
      <c r="J398" s="187"/>
      <c r="K398" s="80"/>
      <c r="L398" s="80"/>
      <c r="M398" s="80"/>
      <c r="N398" s="80"/>
      <c r="O398" s="80"/>
      <c r="P398" s="80"/>
      <c r="Q398" s="80"/>
      <c r="R398" s="80"/>
      <c r="S398" s="80"/>
      <c r="T398" s="83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3"/>
      <c r="AL398" s="83"/>
      <c r="AM398" s="83"/>
      <c r="AN398" s="83"/>
    </row>
    <row r="399" spans="2:40" ht="15.75" customHeight="1">
      <c r="B399" s="83"/>
      <c r="C399" s="80"/>
      <c r="D399" s="80"/>
      <c r="E399" s="80"/>
      <c r="F399" s="188"/>
      <c r="G399" s="80"/>
      <c r="H399" s="80"/>
      <c r="I399" s="80"/>
      <c r="J399" s="187"/>
      <c r="K399" s="80"/>
      <c r="L399" s="80"/>
      <c r="M399" s="80"/>
      <c r="N399" s="80"/>
      <c r="O399" s="80"/>
      <c r="P399" s="80"/>
      <c r="Q399" s="80"/>
      <c r="R399" s="80"/>
      <c r="S399" s="80"/>
      <c r="T399" s="83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3"/>
      <c r="AL399" s="83"/>
      <c r="AM399" s="83"/>
      <c r="AN399" s="83"/>
    </row>
    <row r="400" spans="2:40" ht="15.75" customHeight="1">
      <c r="B400" s="83"/>
      <c r="C400" s="80"/>
      <c r="D400" s="80"/>
      <c r="E400" s="80"/>
      <c r="F400" s="188"/>
      <c r="G400" s="80"/>
      <c r="H400" s="80"/>
      <c r="I400" s="80"/>
      <c r="J400" s="187"/>
      <c r="K400" s="80"/>
      <c r="L400" s="80"/>
      <c r="M400" s="80"/>
      <c r="N400" s="80"/>
      <c r="O400" s="80"/>
      <c r="P400" s="80"/>
      <c r="Q400" s="80"/>
      <c r="R400" s="80"/>
      <c r="S400" s="80"/>
      <c r="T400" s="83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3"/>
      <c r="AL400" s="83"/>
      <c r="AM400" s="83"/>
      <c r="AN400" s="83"/>
    </row>
    <row r="401" spans="2:40" ht="15.75" customHeight="1">
      <c r="B401" s="83"/>
      <c r="C401" s="80"/>
      <c r="D401" s="80"/>
      <c r="E401" s="80"/>
      <c r="F401" s="188"/>
      <c r="G401" s="80"/>
      <c r="H401" s="80"/>
      <c r="I401" s="80"/>
      <c r="J401" s="187"/>
      <c r="K401" s="80"/>
      <c r="L401" s="80"/>
      <c r="M401" s="80"/>
      <c r="N401" s="80"/>
      <c r="O401" s="80"/>
      <c r="P401" s="80"/>
      <c r="Q401" s="80"/>
      <c r="R401" s="80"/>
      <c r="S401" s="80"/>
      <c r="T401" s="83"/>
      <c r="U401" s="85"/>
      <c r="V401" s="85"/>
      <c r="W401" s="85"/>
      <c r="X401" s="85"/>
      <c r="Y401" s="85"/>
      <c r="Z401" s="85"/>
      <c r="AA401" s="85"/>
      <c r="AB401" s="85"/>
      <c r="AC401" s="85"/>
      <c r="AD401" s="85"/>
      <c r="AE401" s="85"/>
      <c r="AF401" s="85"/>
      <c r="AG401" s="85"/>
      <c r="AH401" s="85"/>
      <c r="AI401" s="85"/>
      <c r="AJ401" s="85"/>
      <c r="AK401" s="83"/>
      <c r="AL401" s="83"/>
      <c r="AM401" s="83"/>
      <c r="AN401" s="83"/>
    </row>
    <row r="402" spans="2:40" ht="15.75" customHeight="1">
      <c r="B402" s="83"/>
      <c r="C402" s="80"/>
      <c r="D402" s="80"/>
      <c r="E402" s="80"/>
      <c r="F402" s="188"/>
      <c r="G402" s="80"/>
      <c r="H402" s="80"/>
      <c r="I402" s="80"/>
      <c r="J402" s="187"/>
      <c r="K402" s="80"/>
      <c r="L402" s="80"/>
      <c r="M402" s="80"/>
      <c r="N402" s="80"/>
      <c r="O402" s="80"/>
      <c r="P402" s="80"/>
      <c r="Q402" s="80"/>
      <c r="R402" s="80"/>
      <c r="S402" s="80"/>
      <c r="T402" s="83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3"/>
      <c r="AL402" s="83"/>
      <c r="AM402" s="83"/>
      <c r="AN402" s="83"/>
    </row>
    <row r="403" spans="2:40" ht="15.75" customHeight="1">
      <c r="B403" s="83"/>
      <c r="C403" s="80"/>
      <c r="D403" s="80"/>
      <c r="E403" s="80"/>
      <c r="F403" s="188"/>
      <c r="G403" s="80"/>
      <c r="H403" s="80"/>
      <c r="I403" s="80"/>
      <c r="J403" s="187"/>
      <c r="K403" s="80"/>
      <c r="L403" s="80"/>
      <c r="M403" s="80"/>
      <c r="N403" s="80"/>
      <c r="O403" s="80"/>
      <c r="P403" s="80"/>
      <c r="Q403" s="80"/>
      <c r="R403" s="80"/>
      <c r="S403" s="80"/>
      <c r="T403" s="83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3"/>
      <c r="AL403" s="83"/>
      <c r="AM403" s="83"/>
      <c r="AN403" s="83"/>
    </row>
    <row r="404" spans="2:40" ht="15.75" customHeight="1">
      <c r="B404" s="83"/>
      <c r="C404" s="80"/>
      <c r="D404" s="80"/>
      <c r="E404" s="80"/>
      <c r="F404" s="188"/>
      <c r="G404" s="80"/>
      <c r="H404" s="80"/>
      <c r="I404" s="80"/>
      <c r="J404" s="187"/>
      <c r="K404" s="80"/>
      <c r="L404" s="80"/>
      <c r="M404" s="80"/>
      <c r="N404" s="80"/>
      <c r="O404" s="80"/>
      <c r="P404" s="80"/>
      <c r="Q404" s="80"/>
      <c r="R404" s="80"/>
      <c r="S404" s="80"/>
      <c r="T404" s="83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3"/>
      <c r="AL404" s="83"/>
      <c r="AM404" s="83"/>
      <c r="AN404" s="83"/>
    </row>
    <row r="405" spans="2:40" ht="15.75" customHeight="1">
      <c r="B405" s="83"/>
      <c r="C405" s="80"/>
      <c r="D405" s="80"/>
      <c r="E405" s="80"/>
      <c r="F405" s="188"/>
      <c r="G405" s="80"/>
      <c r="H405" s="80"/>
      <c r="I405" s="80"/>
      <c r="J405" s="187"/>
      <c r="K405" s="80"/>
      <c r="L405" s="80"/>
      <c r="M405" s="80"/>
      <c r="N405" s="80"/>
      <c r="O405" s="80"/>
      <c r="P405" s="80"/>
      <c r="Q405" s="80"/>
      <c r="R405" s="80"/>
      <c r="S405" s="80"/>
      <c r="T405" s="83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3"/>
      <c r="AL405" s="83"/>
      <c r="AM405" s="83"/>
      <c r="AN405" s="83"/>
    </row>
    <row r="406" spans="2:40" ht="15.75" customHeight="1">
      <c r="B406" s="83"/>
      <c r="C406" s="80"/>
      <c r="D406" s="80"/>
      <c r="E406" s="80"/>
      <c r="F406" s="188"/>
      <c r="G406" s="80"/>
      <c r="H406" s="80"/>
      <c r="I406" s="80"/>
      <c r="J406" s="187"/>
      <c r="K406" s="80"/>
      <c r="L406" s="80"/>
      <c r="M406" s="80"/>
      <c r="N406" s="80"/>
      <c r="O406" s="80"/>
      <c r="P406" s="80"/>
      <c r="Q406" s="80"/>
      <c r="R406" s="80"/>
      <c r="S406" s="80"/>
      <c r="T406" s="83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3"/>
      <c r="AL406" s="83"/>
      <c r="AM406" s="83"/>
      <c r="AN406" s="83"/>
    </row>
    <row r="407" spans="2:40" ht="15.75" customHeight="1">
      <c r="B407" s="83"/>
      <c r="C407" s="80"/>
      <c r="D407" s="80"/>
      <c r="E407" s="80"/>
      <c r="F407" s="188"/>
      <c r="G407" s="80"/>
      <c r="H407" s="80"/>
      <c r="I407" s="80"/>
      <c r="J407" s="187"/>
      <c r="K407" s="80"/>
      <c r="L407" s="80"/>
      <c r="M407" s="80"/>
      <c r="N407" s="80"/>
      <c r="O407" s="80"/>
      <c r="P407" s="80"/>
      <c r="Q407" s="80"/>
      <c r="R407" s="80"/>
      <c r="S407" s="80"/>
      <c r="T407" s="83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3"/>
      <c r="AL407" s="83"/>
      <c r="AM407" s="83"/>
      <c r="AN407" s="83"/>
    </row>
    <row r="408" spans="2:40" ht="15.75" customHeight="1">
      <c r="B408" s="83"/>
      <c r="C408" s="80"/>
      <c r="D408" s="80"/>
      <c r="E408" s="80"/>
      <c r="F408" s="188"/>
      <c r="G408" s="80"/>
      <c r="H408" s="80"/>
      <c r="I408" s="80"/>
      <c r="J408" s="187"/>
      <c r="K408" s="80"/>
      <c r="L408" s="80"/>
      <c r="M408" s="80"/>
      <c r="N408" s="80"/>
      <c r="O408" s="80"/>
      <c r="P408" s="80"/>
      <c r="Q408" s="80"/>
      <c r="R408" s="80"/>
      <c r="S408" s="80"/>
      <c r="T408" s="83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3"/>
      <c r="AL408" s="83"/>
      <c r="AM408" s="83"/>
      <c r="AN408" s="83"/>
    </row>
    <row r="409" spans="2:40" ht="15.75" customHeight="1">
      <c r="B409" s="83"/>
      <c r="C409" s="80"/>
      <c r="D409" s="80"/>
      <c r="E409" s="80"/>
      <c r="F409" s="188"/>
      <c r="G409" s="80"/>
      <c r="H409" s="80"/>
      <c r="I409" s="80"/>
      <c r="J409" s="187"/>
      <c r="K409" s="80"/>
      <c r="L409" s="80"/>
      <c r="M409" s="80"/>
      <c r="N409" s="80"/>
      <c r="O409" s="80"/>
      <c r="P409" s="80"/>
      <c r="Q409" s="80"/>
      <c r="R409" s="80"/>
      <c r="S409" s="80"/>
      <c r="T409" s="83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3"/>
      <c r="AL409" s="83"/>
      <c r="AM409" s="83"/>
      <c r="AN409" s="83"/>
    </row>
    <row r="410" spans="2:40" ht="15.75" customHeight="1">
      <c r="B410" s="83"/>
      <c r="C410" s="80"/>
      <c r="D410" s="80"/>
      <c r="E410" s="80"/>
      <c r="F410" s="188"/>
      <c r="G410" s="80"/>
      <c r="H410" s="80"/>
      <c r="I410" s="80"/>
      <c r="J410" s="187"/>
      <c r="K410" s="80"/>
      <c r="L410" s="80"/>
      <c r="M410" s="80"/>
      <c r="N410" s="80"/>
      <c r="O410" s="80"/>
      <c r="P410" s="80"/>
      <c r="Q410" s="80"/>
      <c r="R410" s="80"/>
      <c r="S410" s="80"/>
      <c r="T410" s="83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/>
      <c r="AF410" s="85"/>
      <c r="AG410" s="85"/>
      <c r="AH410" s="85"/>
      <c r="AI410" s="85"/>
      <c r="AJ410" s="85"/>
      <c r="AK410" s="83"/>
      <c r="AL410" s="83"/>
      <c r="AM410" s="83"/>
      <c r="AN410" s="83"/>
    </row>
    <row r="411" spans="2:40" ht="15.75" customHeight="1">
      <c r="B411" s="83"/>
      <c r="C411" s="80"/>
      <c r="D411" s="80"/>
      <c r="E411" s="80"/>
      <c r="F411" s="188"/>
      <c r="G411" s="80"/>
      <c r="H411" s="80"/>
      <c r="I411" s="80"/>
      <c r="J411" s="187"/>
      <c r="K411" s="80"/>
      <c r="L411" s="80"/>
      <c r="M411" s="80"/>
      <c r="N411" s="80"/>
      <c r="O411" s="80"/>
      <c r="P411" s="80"/>
      <c r="Q411" s="80"/>
      <c r="R411" s="80"/>
      <c r="S411" s="80"/>
      <c r="T411" s="83"/>
      <c r="U411" s="85"/>
      <c r="V411" s="85"/>
      <c r="W411" s="85"/>
      <c r="X411" s="85"/>
      <c r="Y411" s="85"/>
      <c r="Z411" s="85"/>
      <c r="AA411" s="85"/>
      <c r="AB411" s="85"/>
      <c r="AC411" s="85"/>
      <c r="AD411" s="85"/>
      <c r="AE411" s="85"/>
      <c r="AF411" s="85"/>
      <c r="AG411" s="85"/>
      <c r="AH411" s="85"/>
      <c r="AI411" s="85"/>
      <c r="AJ411" s="85"/>
      <c r="AK411" s="83"/>
      <c r="AL411" s="83"/>
      <c r="AM411" s="83"/>
      <c r="AN411" s="83"/>
    </row>
    <row r="412" spans="2:40" ht="15.75" customHeight="1">
      <c r="B412" s="83"/>
      <c r="C412" s="80"/>
      <c r="D412" s="80"/>
      <c r="E412" s="80"/>
      <c r="F412" s="188"/>
      <c r="G412" s="80"/>
      <c r="H412" s="80"/>
      <c r="I412" s="80"/>
      <c r="J412" s="187"/>
      <c r="K412" s="80"/>
      <c r="L412" s="80"/>
      <c r="M412" s="80"/>
      <c r="N412" s="80"/>
      <c r="O412" s="80"/>
      <c r="P412" s="80"/>
      <c r="Q412" s="80"/>
      <c r="R412" s="80"/>
      <c r="S412" s="80"/>
      <c r="T412" s="83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3"/>
      <c r="AL412" s="83"/>
      <c r="AM412" s="83"/>
      <c r="AN412" s="83"/>
    </row>
    <row r="413" spans="2:40" ht="15.75" customHeight="1">
      <c r="B413" s="83"/>
      <c r="C413" s="80"/>
      <c r="D413" s="80"/>
      <c r="E413" s="80"/>
      <c r="F413" s="188"/>
      <c r="G413" s="80"/>
      <c r="H413" s="80"/>
      <c r="I413" s="80"/>
      <c r="J413" s="187"/>
      <c r="K413" s="80"/>
      <c r="L413" s="80"/>
      <c r="M413" s="80"/>
      <c r="N413" s="80"/>
      <c r="O413" s="80"/>
      <c r="P413" s="80"/>
      <c r="Q413" s="80"/>
      <c r="R413" s="80"/>
      <c r="S413" s="80"/>
      <c r="T413" s="83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3"/>
      <c r="AL413" s="83"/>
      <c r="AM413" s="83"/>
      <c r="AN413" s="83"/>
    </row>
    <row r="414" spans="2:40" ht="15.75" customHeight="1">
      <c r="B414" s="83"/>
      <c r="C414" s="80"/>
      <c r="D414" s="80"/>
      <c r="E414" s="80"/>
      <c r="F414" s="188"/>
      <c r="G414" s="80"/>
      <c r="H414" s="80"/>
      <c r="I414" s="80"/>
      <c r="J414" s="187"/>
      <c r="K414" s="80"/>
      <c r="L414" s="80"/>
      <c r="M414" s="80"/>
      <c r="N414" s="80"/>
      <c r="O414" s="80"/>
      <c r="P414" s="80"/>
      <c r="Q414" s="80"/>
      <c r="R414" s="80"/>
      <c r="S414" s="80"/>
      <c r="T414" s="83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/>
      <c r="AF414" s="85"/>
      <c r="AG414" s="85"/>
      <c r="AH414" s="85"/>
      <c r="AI414" s="85"/>
      <c r="AJ414" s="85"/>
      <c r="AK414" s="83"/>
      <c r="AL414" s="83"/>
      <c r="AM414" s="83"/>
      <c r="AN414" s="83"/>
    </row>
    <row r="415" spans="2:40" ht="15.75" customHeight="1">
      <c r="B415" s="83"/>
      <c r="C415" s="80"/>
      <c r="D415" s="80"/>
      <c r="E415" s="80"/>
      <c r="F415" s="188"/>
      <c r="G415" s="80"/>
      <c r="H415" s="80"/>
      <c r="I415" s="80"/>
      <c r="J415" s="187"/>
      <c r="K415" s="80"/>
      <c r="L415" s="80"/>
      <c r="M415" s="80"/>
      <c r="N415" s="80"/>
      <c r="O415" s="80"/>
      <c r="P415" s="80"/>
      <c r="Q415" s="80"/>
      <c r="R415" s="80"/>
      <c r="S415" s="80"/>
      <c r="T415" s="83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3"/>
      <c r="AL415" s="83"/>
      <c r="AM415" s="83"/>
      <c r="AN415" s="83"/>
    </row>
    <row r="416" spans="2:40" ht="15.75" customHeight="1">
      <c r="B416" s="83"/>
      <c r="C416" s="80"/>
      <c r="D416" s="80"/>
      <c r="E416" s="80"/>
      <c r="F416" s="188"/>
      <c r="G416" s="80"/>
      <c r="H416" s="80"/>
      <c r="I416" s="80"/>
      <c r="J416" s="187"/>
      <c r="K416" s="80"/>
      <c r="L416" s="80"/>
      <c r="M416" s="80"/>
      <c r="N416" s="80"/>
      <c r="O416" s="80"/>
      <c r="P416" s="80"/>
      <c r="Q416" s="80"/>
      <c r="R416" s="80"/>
      <c r="S416" s="80"/>
      <c r="T416" s="83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3"/>
      <c r="AL416" s="83"/>
      <c r="AM416" s="83"/>
      <c r="AN416" s="83"/>
    </row>
    <row r="417" spans="2:40" ht="15.75" customHeight="1">
      <c r="B417" s="83"/>
      <c r="C417" s="80"/>
      <c r="D417" s="80"/>
      <c r="E417" s="80"/>
      <c r="F417" s="188"/>
      <c r="G417" s="80"/>
      <c r="H417" s="80"/>
      <c r="I417" s="80"/>
      <c r="J417" s="187"/>
      <c r="K417" s="80"/>
      <c r="L417" s="80"/>
      <c r="M417" s="80"/>
      <c r="N417" s="80"/>
      <c r="O417" s="80"/>
      <c r="P417" s="80"/>
      <c r="Q417" s="80"/>
      <c r="R417" s="80"/>
      <c r="S417" s="80"/>
      <c r="T417" s="83"/>
      <c r="U417" s="85"/>
      <c r="V417" s="85"/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3"/>
      <c r="AL417" s="83"/>
      <c r="AM417" s="83"/>
      <c r="AN417" s="83"/>
    </row>
    <row r="418" spans="2:40" ht="15.75" customHeight="1">
      <c r="B418" s="83"/>
      <c r="C418" s="80"/>
      <c r="D418" s="80"/>
      <c r="E418" s="80"/>
      <c r="F418" s="188"/>
      <c r="G418" s="80"/>
      <c r="H418" s="80"/>
      <c r="I418" s="80"/>
      <c r="J418" s="187"/>
      <c r="K418" s="80"/>
      <c r="L418" s="80"/>
      <c r="M418" s="80"/>
      <c r="N418" s="80"/>
      <c r="O418" s="80"/>
      <c r="P418" s="80"/>
      <c r="Q418" s="80"/>
      <c r="R418" s="80"/>
      <c r="S418" s="80"/>
      <c r="T418" s="83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3"/>
      <c r="AL418" s="83"/>
      <c r="AM418" s="83"/>
      <c r="AN418" s="83"/>
    </row>
    <row r="419" spans="2:40" ht="15.75" customHeight="1">
      <c r="B419" s="83"/>
      <c r="C419" s="80"/>
      <c r="D419" s="80"/>
      <c r="E419" s="80"/>
      <c r="F419" s="188"/>
      <c r="G419" s="80"/>
      <c r="H419" s="80"/>
      <c r="I419" s="80"/>
      <c r="J419" s="187"/>
      <c r="K419" s="80"/>
      <c r="L419" s="80"/>
      <c r="M419" s="80"/>
      <c r="N419" s="80"/>
      <c r="O419" s="80"/>
      <c r="P419" s="80"/>
      <c r="Q419" s="80"/>
      <c r="R419" s="80"/>
      <c r="S419" s="80"/>
      <c r="T419" s="83"/>
      <c r="U419" s="85"/>
      <c r="V419" s="85"/>
      <c r="W419" s="85"/>
      <c r="X419" s="85"/>
      <c r="Y419" s="85"/>
      <c r="Z419" s="85"/>
      <c r="AA419" s="85"/>
      <c r="AB419" s="85"/>
      <c r="AC419" s="85"/>
      <c r="AD419" s="85"/>
      <c r="AE419" s="85"/>
      <c r="AF419" s="85"/>
      <c r="AG419" s="85"/>
      <c r="AH419" s="85"/>
      <c r="AI419" s="85"/>
      <c r="AJ419" s="85"/>
      <c r="AK419" s="83"/>
      <c r="AL419" s="83"/>
      <c r="AM419" s="83"/>
      <c r="AN419" s="83"/>
    </row>
    <row r="420" spans="2:40" ht="15.75" customHeight="1">
      <c r="B420" s="83"/>
      <c r="C420" s="80"/>
      <c r="D420" s="80"/>
      <c r="E420" s="80"/>
      <c r="F420" s="188"/>
      <c r="G420" s="80"/>
      <c r="H420" s="80"/>
      <c r="I420" s="80"/>
      <c r="J420" s="187"/>
      <c r="K420" s="80"/>
      <c r="L420" s="80"/>
      <c r="M420" s="80"/>
      <c r="N420" s="80"/>
      <c r="O420" s="80"/>
      <c r="P420" s="80"/>
      <c r="Q420" s="80"/>
      <c r="R420" s="80"/>
      <c r="S420" s="80"/>
      <c r="T420" s="83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3"/>
      <c r="AL420" s="83"/>
      <c r="AM420" s="83"/>
      <c r="AN420" s="83"/>
    </row>
    <row r="421" spans="2:40" ht="15.75" customHeight="1">
      <c r="B421" s="83"/>
      <c r="C421" s="80"/>
      <c r="D421" s="80"/>
      <c r="E421" s="80"/>
      <c r="F421" s="188"/>
      <c r="G421" s="80"/>
      <c r="H421" s="80"/>
      <c r="I421" s="80"/>
      <c r="J421" s="187"/>
      <c r="K421" s="80"/>
      <c r="L421" s="80"/>
      <c r="M421" s="80"/>
      <c r="N421" s="80"/>
      <c r="O421" s="80"/>
      <c r="P421" s="80"/>
      <c r="Q421" s="80"/>
      <c r="R421" s="80"/>
      <c r="S421" s="80"/>
      <c r="T421" s="83"/>
      <c r="U421" s="85"/>
      <c r="V421" s="85"/>
      <c r="W421" s="85"/>
      <c r="X421" s="85"/>
      <c r="Y421" s="85"/>
      <c r="Z421" s="85"/>
      <c r="AA421" s="85"/>
      <c r="AB421" s="85"/>
      <c r="AC421" s="85"/>
      <c r="AD421" s="85"/>
      <c r="AE421" s="85"/>
      <c r="AF421" s="85"/>
      <c r="AG421" s="85"/>
      <c r="AH421" s="85"/>
      <c r="AI421" s="85"/>
      <c r="AJ421" s="85"/>
      <c r="AK421" s="83"/>
      <c r="AL421" s="83"/>
      <c r="AM421" s="83"/>
      <c r="AN421" s="83"/>
    </row>
    <row r="422" spans="2:40" ht="15.75" customHeight="1">
      <c r="B422" s="83"/>
      <c r="C422" s="80"/>
      <c r="D422" s="80"/>
      <c r="E422" s="80"/>
      <c r="F422" s="188"/>
      <c r="G422" s="80"/>
      <c r="H422" s="80"/>
      <c r="I422" s="80"/>
      <c r="J422" s="187"/>
      <c r="K422" s="80"/>
      <c r="L422" s="80"/>
      <c r="M422" s="80"/>
      <c r="N422" s="80"/>
      <c r="O422" s="80"/>
      <c r="P422" s="80"/>
      <c r="Q422" s="80"/>
      <c r="R422" s="80"/>
      <c r="S422" s="80"/>
      <c r="T422" s="83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3"/>
      <c r="AL422" s="83"/>
      <c r="AM422" s="83"/>
      <c r="AN422" s="83"/>
    </row>
    <row r="423" spans="2:40" ht="15.75" customHeight="1">
      <c r="B423" s="83"/>
      <c r="C423" s="80"/>
      <c r="D423" s="80"/>
      <c r="E423" s="80"/>
      <c r="F423" s="188"/>
      <c r="G423" s="80"/>
      <c r="H423" s="80"/>
      <c r="I423" s="80"/>
      <c r="J423" s="187"/>
      <c r="K423" s="80"/>
      <c r="L423" s="80"/>
      <c r="M423" s="80"/>
      <c r="N423" s="80"/>
      <c r="O423" s="80"/>
      <c r="P423" s="80"/>
      <c r="Q423" s="80"/>
      <c r="R423" s="80"/>
      <c r="S423" s="80"/>
      <c r="T423" s="83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3"/>
      <c r="AL423" s="83"/>
      <c r="AM423" s="83"/>
      <c r="AN423" s="83"/>
    </row>
    <row r="424" spans="2:40" ht="15.75" customHeight="1">
      <c r="B424" s="83"/>
      <c r="C424" s="80"/>
      <c r="D424" s="80"/>
      <c r="E424" s="80"/>
      <c r="F424" s="188"/>
      <c r="G424" s="80"/>
      <c r="H424" s="80"/>
      <c r="I424" s="80"/>
      <c r="J424" s="187"/>
      <c r="K424" s="80"/>
      <c r="L424" s="80"/>
      <c r="M424" s="80"/>
      <c r="N424" s="80"/>
      <c r="O424" s="80"/>
      <c r="P424" s="80"/>
      <c r="Q424" s="80"/>
      <c r="R424" s="80"/>
      <c r="S424" s="80"/>
      <c r="T424" s="83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3"/>
      <c r="AL424" s="83"/>
      <c r="AM424" s="83"/>
      <c r="AN424" s="83"/>
    </row>
    <row r="425" spans="2:40" ht="15.75" customHeight="1">
      <c r="B425" s="83"/>
      <c r="C425" s="80"/>
      <c r="D425" s="80"/>
      <c r="E425" s="80"/>
      <c r="F425" s="188"/>
      <c r="G425" s="80"/>
      <c r="H425" s="80"/>
      <c r="I425" s="80"/>
      <c r="J425" s="187"/>
      <c r="K425" s="80"/>
      <c r="L425" s="80"/>
      <c r="M425" s="80"/>
      <c r="N425" s="80"/>
      <c r="O425" s="80"/>
      <c r="P425" s="80"/>
      <c r="Q425" s="80"/>
      <c r="R425" s="80"/>
      <c r="S425" s="80"/>
      <c r="T425" s="83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3"/>
      <c r="AL425" s="83"/>
      <c r="AM425" s="83"/>
      <c r="AN425" s="83"/>
    </row>
    <row r="426" spans="2:40" ht="15.75" customHeight="1">
      <c r="B426" s="83"/>
      <c r="C426" s="80"/>
      <c r="D426" s="80"/>
      <c r="E426" s="80"/>
      <c r="F426" s="188"/>
      <c r="G426" s="80"/>
      <c r="H426" s="80"/>
      <c r="I426" s="80"/>
      <c r="J426" s="187"/>
      <c r="K426" s="80"/>
      <c r="L426" s="80"/>
      <c r="M426" s="80"/>
      <c r="N426" s="80"/>
      <c r="O426" s="80"/>
      <c r="P426" s="80"/>
      <c r="Q426" s="80"/>
      <c r="R426" s="80"/>
      <c r="S426" s="80"/>
      <c r="T426" s="83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3"/>
      <c r="AL426" s="83"/>
      <c r="AM426" s="83"/>
      <c r="AN426" s="83"/>
    </row>
    <row r="427" spans="2:40" ht="15.75" customHeight="1">
      <c r="B427" s="83"/>
      <c r="C427" s="80"/>
      <c r="D427" s="80"/>
      <c r="E427" s="80"/>
      <c r="F427" s="188"/>
      <c r="G427" s="80"/>
      <c r="H427" s="80"/>
      <c r="I427" s="80"/>
      <c r="J427" s="187"/>
      <c r="K427" s="80"/>
      <c r="L427" s="80"/>
      <c r="M427" s="80"/>
      <c r="N427" s="80"/>
      <c r="O427" s="80"/>
      <c r="P427" s="80"/>
      <c r="Q427" s="80"/>
      <c r="R427" s="80"/>
      <c r="S427" s="80"/>
      <c r="T427" s="83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3"/>
      <c r="AL427" s="83"/>
      <c r="AM427" s="83"/>
      <c r="AN427" s="83"/>
    </row>
    <row r="428" spans="2:40" ht="15.75" customHeight="1">
      <c r="B428" s="83"/>
      <c r="C428" s="80"/>
      <c r="D428" s="80"/>
      <c r="E428" s="80"/>
      <c r="F428" s="188"/>
      <c r="G428" s="80"/>
      <c r="H428" s="80"/>
      <c r="I428" s="80"/>
      <c r="J428" s="187"/>
      <c r="K428" s="80"/>
      <c r="L428" s="80"/>
      <c r="M428" s="80"/>
      <c r="N428" s="80"/>
      <c r="O428" s="80"/>
      <c r="P428" s="80"/>
      <c r="Q428" s="80"/>
      <c r="R428" s="80"/>
      <c r="S428" s="80"/>
      <c r="T428" s="83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3"/>
      <c r="AL428" s="83"/>
      <c r="AM428" s="83"/>
      <c r="AN428" s="83"/>
    </row>
    <row r="429" spans="2:40" ht="15.75" customHeight="1">
      <c r="B429" s="83"/>
      <c r="C429" s="80"/>
      <c r="D429" s="80"/>
      <c r="E429" s="80"/>
      <c r="F429" s="188"/>
      <c r="G429" s="80"/>
      <c r="H429" s="80"/>
      <c r="I429" s="80"/>
      <c r="J429" s="187"/>
      <c r="K429" s="80"/>
      <c r="L429" s="80"/>
      <c r="M429" s="80"/>
      <c r="N429" s="80"/>
      <c r="O429" s="80"/>
      <c r="P429" s="80"/>
      <c r="Q429" s="80"/>
      <c r="R429" s="80"/>
      <c r="S429" s="80"/>
      <c r="T429" s="83"/>
      <c r="U429" s="85"/>
      <c r="V429" s="85"/>
      <c r="W429" s="85"/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3"/>
      <c r="AL429" s="83"/>
      <c r="AM429" s="83"/>
      <c r="AN429" s="83"/>
    </row>
    <row r="430" spans="2:40" ht="15.75" customHeight="1">
      <c r="B430" s="83"/>
      <c r="C430" s="80"/>
      <c r="D430" s="80"/>
      <c r="E430" s="80"/>
      <c r="F430" s="188"/>
      <c r="G430" s="80"/>
      <c r="H430" s="80"/>
      <c r="I430" s="80"/>
      <c r="J430" s="187"/>
      <c r="K430" s="80"/>
      <c r="L430" s="80"/>
      <c r="M430" s="80"/>
      <c r="N430" s="80"/>
      <c r="O430" s="80"/>
      <c r="P430" s="80"/>
      <c r="Q430" s="80"/>
      <c r="R430" s="80"/>
      <c r="S430" s="80"/>
      <c r="T430" s="83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3"/>
      <c r="AL430" s="83"/>
      <c r="AM430" s="83"/>
      <c r="AN430" s="83"/>
    </row>
    <row r="431" spans="2:40" ht="15.75" customHeight="1">
      <c r="B431" s="83"/>
      <c r="C431" s="80"/>
      <c r="D431" s="80"/>
      <c r="E431" s="80"/>
      <c r="F431" s="188"/>
      <c r="G431" s="80"/>
      <c r="H431" s="80"/>
      <c r="I431" s="80"/>
      <c r="J431" s="187"/>
      <c r="K431" s="80"/>
      <c r="L431" s="80"/>
      <c r="M431" s="80"/>
      <c r="N431" s="80"/>
      <c r="O431" s="80"/>
      <c r="P431" s="80"/>
      <c r="Q431" s="80"/>
      <c r="R431" s="80"/>
      <c r="S431" s="80"/>
      <c r="T431" s="83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3"/>
      <c r="AL431" s="83"/>
      <c r="AM431" s="83"/>
      <c r="AN431" s="83"/>
    </row>
    <row r="432" spans="2:40" ht="15.75" customHeight="1">
      <c r="B432" s="83"/>
      <c r="C432" s="80"/>
      <c r="D432" s="80"/>
      <c r="E432" s="80"/>
      <c r="F432" s="188"/>
      <c r="G432" s="80"/>
      <c r="H432" s="80"/>
      <c r="I432" s="80"/>
      <c r="J432" s="187"/>
      <c r="K432" s="80"/>
      <c r="L432" s="80"/>
      <c r="M432" s="80"/>
      <c r="N432" s="80"/>
      <c r="O432" s="80"/>
      <c r="P432" s="80"/>
      <c r="Q432" s="80"/>
      <c r="R432" s="80"/>
      <c r="S432" s="80"/>
      <c r="T432" s="83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3"/>
      <c r="AL432" s="83"/>
      <c r="AM432" s="83"/>
      <c r="AN432" s="83"/>
    </row>
    <row r="433" spans="2:40" ht="15.75" customHeight="1">
      <c r="B433" s="83"/>
      <c r="C433" s="80"/>
      <c r="D433" s="80"/>
      <c r="E433" s="80"/>
      <c r="F433" s="188"/>
      <c r="G433" s="80"/>
      <c r="H433" s="80"/>
      <c r="I433" s="80"/>
      <c r="J433" s="187"/>
      <c r="K433" s="80"/>
      <c r="L433" s="80"/>
      <c r="M433" s="80"/>
      <c r="N433" s="80"/>
      <c r="O433" s="80"/>
      <c r="P433" s="80"/>
      <c r="Q433" s="80"/>
      <c r="R433" s="80"/>
      <c r="S433" s="80"/>
      <c r="T433" s="83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3"/>
      <c r="AL433" s="83"/>
      <c r="AM433" s="83"/>
      <c r="AN433" s="83"/>
    </row>
    <row r="434" spans="2:40" ht="15.75" customHeight="1">
      <c r="B434" s="83"/>
      <c r="C434" s="80"/>
      <c r="D434" s="80"/>
      <c r="E434" s="80"/>
      <c r="F434" s="188"/>
      <c r="G434" s="80"/>
      <c r="H434" s="80"/>
      <c r="I434" s="80"/>
      <c r="J434" s="187"/>
      <c r="K434" s="80"/>
      <c r="L434" s="80"/>
      <c r="M434" s="80"/>
      <c r="N434" s="80"/>
      <c r="O434" s="80"/>
      <c r="P434" s="80"/>
      <c r="Q434" s="80"/>
      <c r="R434" s="80"/>
      <c r="S434" s="80"/>
      <c r="T434" s="83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3"/>
      <c r="AL434" s="83"/>
      <c r="AM434" s="83"/>
      <c r="AN434" s="83"/>
    </row>
    <row r="435" spans="2:40" ht="15.75" customHeight="1">
      <c r="B435" s="83"/>
      <c r="C435" s="80"/>
      <c r="D435" s="80"/>
      <c r="E435" s="80"/>
      <c r="F435" s="188"/>
      <c r="G435" s="80"/>
      <c r="H435" s="80"/>
      <c r="I435" s="80"/>
      <c r="J435" s="187"/>
      <c r="K435" s="80"/>
      <c r="L435" s="80"/>
      <c r="M435" s="80"/>
      <c r="N435" s="80"/>
      <c r="O435" s="80"/>
      <c r="P435" s="80"/>
      <c r="Q435" s="80"/>
      <c r="R435" s="80"/>
      <c r="S435" s="80"/>
      <c r="T435" s="83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3"/>
      <c r="AL435" s="83"/>
      <c r="AM435" s="83"/>
      <c r="AN435" s="83"/>
    </row>
    <row r="436" spans="2:40" ht="15.75" customHeight="1">
      <c r="B436" s="83"/>
      <c r="C436" s="80"/>
      <c r="D436" s="80"/>
      <c r="E436" s="80"/>
      <c r="F436" s="188"/>
      <c r="G436" s="80"/>
      <c r="H436" s="80"/>
      <c r="I436" s="80"/>
      <c r="J436" s="187"/>
      <c r="K436" s="80"/>
      <c r="L436" s="80"/>
      <c r="M436" s="80"/>
      <c r="N436" s="80"/>
      <c r="O436" s="80"/>
      <c r="P436" s="80"/>
      <c r="Q436" s="80"/>
      <c r="R436" s="80"/>
      <c r="S436" s="80"/>
      <c r="T436" s="83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3"/>
      <c r="AL436" s="83"/>
      <c r="AM436" s="83"/>
      <c r="AN436" s="83"/>
    </row>
    <row r="437" spans="2:40" ht="15.75" customHeight="1">
      <c r="B437" s="83"/>
      <c r="C437" s="80"/>
      <c r="D437" s="80"/>
      <c r="E437" s="80"/>
      <c r="F437" s="188"/>
      <c r="G437" s="80"/>
      <c r="H437" s="80"/>
      <c r="I437" s="80"/>
      <c r="J437" s="187"/>
      <c r="K437" s="80"/>
      <c r="L437" s="80"/>
      <c r="M437" s="80"/>
      <c r="N437" s="80"/>
      <c r="O437" s="80"/>
      <c r="P437" s="80"/>
      <c r="Q437" s="80"/>
      <c r="R437" s="80"/>
      <c r="S437" s="80"/>
      <c r="T437" s="83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3"/>
      <c r="AL437" s="83"/>
      <c r="AM437" s="83"/>
      <c r="AN437" s="83"/>
    </row>
    <row r="438" spans="2:40" ht="15.75" customHeight="1">
      <c r="B438" s="83"/>
      <c r="C438" s="80"/>
      <c r="D438" s="80"/>
      <c r="E438" s="80"/>
      <c r="F438" s="188"/>
      <c r="G438" s="80"/>
      <c r="H438" s="80"/>
      <c r="I438" s="80"/>
      <c r="J438" s="187"/>
      <c r="K438" s="80"/>
      <c r="L438" s="80"/>
      <c r="M438" s="80"/>
      <c r="N438" s="80"/>
      <c r="O438" s="80"/>
      <c r="P438" s="80"/>
      <c r="Q438" s="80"/>
      <c r="R438" s="80"/>
      <c r="S438" s="80"/>
      <c r="T438" s="83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3"/>
      <c r="AL438" s="83"/>
      <c r="AM438" s="83"/>
      <c r="AN438" s="83"/>
    </row>
    <row r="439" spans="2:40" ht="15.75" customHeight="1">
      <c r="B439" s="83"/>
      <c r="C439" s="80"/>
      <c r="D439" s="80"/>
      <c r="E439" s="80"/>
      <c r="F439" s="188"/>
      <c r="G439" s="80"/>
      <c r="H439" s="80"/>
      <c r="I439" s="80"/>
      <c r="J439" s="187"/>
      <c r="K439" s="80"/>
      <c r="L439" s="80"/>
      <c r="M439" s="80"/>
      <c r="N439" s="80"/>
      <c r="O439" s="80"/>
      <c r="P439" s="80"/>
      <c r="Q439" s="80"/>
      <c r="R439" s="80"/>
      <c r="S439" s="80"/>
      <c r="T439" s="83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3"/>
      <c r="AL439" s="83"/>
      <c r="AM439" s="83"/>
      <c r="AN439" s="83"/>
    </row>
    <row r="440" spans="2:40" ht="15.75" customHeight="1">
      <c r="B440" s="83"/>
      <c r="C440" s="80"/>
      <c r="D440" s="80"/>
      <c r="E440" s="80"/>
      <c r="F440" s="188"/>
      <c r="G440" s="80"/>
      <c r="H440" s="80"/>
      <c r="I440" s="80"/>
      <c r="J440" s="187"/>
      <c r="K440" s="80"/>
      <c r="L440" s="80"/>
      <c r="M440" s="80"/>
      <c r="N440" s="80"/>
      <c r="O440" s="80"/>
      <c r="P440" s="80"/>
      <c r="Q440" s="80"/>
      <c r="R440" s="80"/>
      <c r="S440" s="80"/>
      <c r="T440" s="83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3"/>
      <c r="AL440" s="83"/>
      <c r="AM440" s="83"/>
      <c r="AN440" s="83"/>
    </row>
    <row r="441" spans="2:40" ht="15.75" customHeight="1">
      <c r="B441" s="83"/>
      <c r="C441" s="80"/>
      <c r="D441" s="80"/>
      <c r="E441" s="80"/>
      <c r="F441" s="188"/>
      <c r="G441" s="80"/>
      <c r="H441" s="80"/>
      <c r="I441" s="80"/>
      <c r="J441" s="187"/>
      <c r="K441" s="80"/>
      <c r="L441" s="80"/>
      <c r="M441" s="80"/>
      <c r="N441" s="80"/>
      <c r="O441" s="80"/>
      <c r="P441" s="80"/>
      <c r="Q441" s="80"/>
      <c r="R441" s="80"/>
      <c r="S441" s="80"/>
      <c r="T441" s="83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3"/>
      <c r="AL441" s="83"/>
      <c r="AM441" s="83"/>
      <c r="AN441" s="83"/>
    </row>
    <row r="442" spans="2:40" ht="15.75" customHeight="1">
      <c r="B442" s="83"/>
      <c r="C442" s="80"/>
      <c r="D442" s="80"/>
      <c r="E442" s="80"/>
      <c r="F442" s="188"/>
      <c r="G442" s="80"/>
      <c r="H442" s="80"/>
      <c r="I442" s="80"/>
      <c r="J442" s="187"/>
      <c r="K442" s="80"/>
      <c r="L442" s="80"/>
      <c r="M442" s="80"/>
      <c r="N442" s="80"/>
      <c r="O442" s="80"/>
      <c r="P442" s="80"/>
      <c r="Q442" s="80"/>
      <c r="R442" s="80"/>
      <c r="S442" s="80"/>
      <c r="T442" s="83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3"/>
      <c r="AL442" s="83"/>
      <c r="AM442" s="83"/>
      <c r="AN442" s="83"/>
    </row>
    <row r="443" spans="2:40" ht="15.75" customHeight="1">
      <c r="B443" s="83"/>
      <c r="C443" s="80"/>
      <c r="D443" s="80"/>
      <c r="E443" s="80"/>
      <c r="F443" s="188"/>
      <c r="G443" s="80"/>
      <c r="H443" s="80"/>
      <c r="I443" s="80"/>
      <c r="J443" s="187"/>
      <c r="K443" s="80"/>
      <c r="L443" s="80"/>
      <c r="M443" s="80"/>
      <c r="N443" s="80"/>
      <c r="O443" s="80"/>
      <c r="P443" s="80"/>
      <c r="Q443" s="80"/>
      <c r="R443" s="80"/>
      <c r="S443" s="80"/>
      <c r="T443" s="83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3"/>
      <c r="AL443" s="83"/>
      <c r="AM443" s="83"/>
      <c r="AN443" s="83"/>
    </row>
    <row r="444" spans="2:40" ht="15.75" customHeight="1">
      <c r="B444" s="83"/>
      <c r="C444" s="80"/>
      <c r="D444" s="80"/>
      <c r="E444" s="80"/>
      <c r="F444" s="188"/>
      <c r="G444" s="80"/>
      <c r="H444" s="80"/>
      <c r="I444" s="80"/>
      <c r="J444" s="187"/>
      <c r="K444" s="80"/>
      <c r="L444" s="80"/>
      <c r="M444" s="80"/>
      <c r="N444" s="80"/>
      <c r="O444" s="80"/>
      <c r="P444" s="80"/>
      <c r="Q444" s="80"/>
      <c r="R444" s="80"/>
      <c r="S444" s="80"/>
      <c r="T444" s="83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3"/>
      <c r="AL444" s="83"/>
      <c r="AM444" s="83"/>
      <c r="AN444" s="83"/>
    </row>
    <row r="445" spans="2:40" ht="15.75" customHeight="1">
      <c r="B445" s="83"/>
      <c r="C445" s="80"/>
      <c r="D445" s="80"/>
      <c r="E445" s="80"/>
      <c r="F445" s="188"/>
      <c r="G445" s="80"/>
      <c r="H445" s="80"/>
      <c r="I445" s="80"/>
      <c r="J445" s="187"/>
      <c r="K445" s="80"/>
      <c r="L445" s="80"/>
      <c r="M445" s="80"/>
      <c r="N445" s="80"/>
      <c r="O445" s="80"/>
      <c r="P445" s="80"/>
      <c r="Q445" s="80"/>
      <c r="R445" s="80"/>
      <c r="S445" s="80"/>
      <c r="T445" s="83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3"/>
      <c r="AL445" s="83"/>
      <c r="AM445" s="83"/>
      <c r="AN445" s="83"/>
    </row>
    <row r="446" spans="2:40" ht="15.75" customHeight="1">
      <c r="B446" s="83"/>
      <c r="C446" s="80"/>
      <c r="D446" s="80"/>
      <c r="E446" s="80"/>
      <c r="F446" s="188"/>
      <c r="G446" s="80"/>
      <c r="H446" s="80"/>
      <c r="I446" s="80"/>
      <c r="J446" s="187"/>
      <c r="K446" s="80"/>
      <c r="L446" s="80"/>
      <c r="M446" s="80"/>
      <c r="N446" s="80"/>
      <c r="O446" s="80"/>
      <c r="P446" s="80"/>
      <c r="Q446" s="80"/>
      <c r="R446" s="80"/>
      <c r="S446" s="80"/>
      <c r="T446" s="83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3"/>
      <c r="AL446" s="83"/>
      <c r="AM446" s="83"/>
      <c r="AN446" s="83"/>
    </row>
    <row r="447" spans="2:40" ht="15.75" customHeight="1">
      <c r="B447" s="83"/>
      <c r="C447" s="80"/>
      <c r="D447" s="80"/>
      <c r="E447" s="80"/>
      <c r="F447" s="188"/>
      <c r="G447" s="80"/>
      <c r="H447" s="80"/>
      <c r="I447" s="80"/>
      <c r="J447" s="187"/>
      <c r="K447" s="80"/>
      <c r="L447" s="80"/>
      <c r="M447" s="80"/>
      <c r="N447" s="80"/>
      <c r="O447" s="80"/>
      <c r="P447" s="80"/>
      <c r="Q447" s="80"/>
      <c r="R447" s="80"/>
      <c r="S447" s="80"/>
      <c r="T447" s="83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3"/>
      <c r="AL447" s="83"/>
      <c r="AM447" s="83"/>
      <c r="AN447" s="83"/>
    </row>
    <row r="448" spans="2:40" ht="15.75" customHeight="1">
      <c r="B448" s="83"/>
      <c r="C448" s="80"/>
      <c r="D448" s="80"/>
      <c r="E448" s="80"/>
      <c r="F448" s="188"/>
      <c r="G448" s="80"/>
      <c r="H448" s="80"/>
      <c r="I448" s="80"/>
      <c r="J448" s="187"/>
      <c r="K448" s="80"/>
      <c r="L448" s="80"/>
      <c r="M448" s="80"/>
      <c r="N448" s="80"/>
      <c r="O448" s="80"/>
      <c r="P448" s="80"/>
      <c r="Q448" s="80"/>
      <c r="R448" s="80"/>
      <c r="S448" s="80"/>
      <c r="T448" s="83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3"/>
      <c r="AL448" s="83"/>
      <c r="AM448" s="83"/>
      <c r="AN448" s="83"/>
    </row>
    <row r="449" spans="2:40" ht="15.75" customHeight="1">
      <c r="B449" s="83"/>
      <c r="C449" s="80"/>
      <c r="D449" s="80"/>
      <c r="E449" s="80"/>
      <c r="F449" s="188"/>
      <c r="G449" s="80"/>
      <c r="H449" s="80"/>
      <c r="I449" s="80"/>
      <c r="J449" s="187"/>
      <c r="K449" s="80"/>
      <c r="L449" s="80"/>
      <c r="M449" s="80"/>
      <c r="N449" s="80"/>
      <c r="O449" s="80"/>
      <c r="P449" s="80"/>
      <c r="Q449" s="80"/>
      <c r="R449" s="80"/>
      <c r="S449" s="80"/>
      <c r="T449" s="83"/>
      <c r="U449" s="85"/>
      <c r="V449" s="85"/>
      <c r="W449" s="85"/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3"/>
      <c r="AL449" s="83"/>
      <c r="AM449" s="83"/>
      <c r="AN449" s="83"/>
    </row>
    <row r="450" spans="2:40" ht="15.75" customHeight="1">
      <c r="B450" s="83"/>
      <c r="C450" s="80"/>
      <c r="D450" s="80"/>
      <c r="E450" s="80"/>
      <c r="F450" s="188"/>
      <c r="G450" s="80"/>
      <c r="H450" s="80"/>
      <c r="I450" s="80"/>
      <c r="J450" s="187"/>
      <c r="K450" s="80"/>
      <c r="L450" s="80"/>
      <c r="M450" s="80"/>
      <c r="N450" s="80"/>
      <c r="O450" s="80"/>
      <c r="P450" s="80"/>
      <c r="Q450" s="80"/>
      <c r="R450" s="80"/>
      <c r="S450" s="80"/>
      <c r="T450" s="83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3"/>
      <c r="AL450" s="83"/>
      <c r="AM450" s="83"/>
      <c r="AN450" s="83"/>
    </row>
    <row r="451" spans="2:40" ht="15.75" customHeight="1">
      <c r="B451" s="83"/>
      <c r="C451" s="80"/>
      <c r="D451" s="80"/>
      <c r="E451" s="80"/>
      <c r="F451" s="188"/>
      <c r="G451" s="80"/>
      <c r="H451" s="80"/>
      <c r="I451" s="80"/>
      <c r="J451" s="187"/>
      <c r="K451" s="80"/>
      <c r="L451" s="80"/>
      <c r="M451" s="80"/>
      <c r="N451" s="80"/>
      <c r="O451" s="80"/>
      <c r="P451" s="80"/>
      <c r="Q451" s="80"/>
      <c r="R451" s="80"/>
      <c r="S451" s="80"/>
      <c r="T451" s="83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3"/>
      <c r="AL451" s="83"/>
      <c r="AM451" s="83"/>
      <c r="AN451" s="83"/>
    </row>
    <row r="452" spans="2:40" ht="15.75" customHeight="1">
      <c r="B452" s="83"/>
      <c r="C452" s="80"/>
      <c r="D452" s="80"/>
      <c r="E452" s="80"/>
      <c r="F452" s="188"/>
      <c r="G452" s="80"/>
      <c r="H452" s="80"/>
      <c r="I452" s="80"/>
      <c r="J452" s="187"/>
      <c r="K452" s="80"/>
      <c r="L452" s="80"/>
      <c r="M452" s="80"/>
      <c r="N452" s="80"/>
      <c r="O452" s="80"/>
      <c r="P452" s="80"/>
      <c r="Q452" s="80"/>
      <c r="R452" s="80"/>
      <c r="S452" s="80"/>
      <c r="T452" s="83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3"/>
      <c r="AL452" s="83"/>
      <c r="AM452" s="83"/>
      <c r="AN452" s="83"/>
    </row>
    <row r="453" spans="2:40" ht="15.75" customHeight="1">
      <c r="B453" s="83"/>
      <c r="C453" s="80"/>
      <c r="D453" s="80"/>
      <c r="E453" s="80"/>
      <c r="F453" s="188"/>
      <c r="G453" s="80"/>
      <c r="H453" s="80"/>
      <c r="I453" s="80"/>
      <c r="J453" s="187"/>
      <c r="K453" s="80"/>
      <c r="L453" s="80"/>
      <c r="M453" s="80"/>
      <c r="N453" s="80"/>
      <c r="O453" s="80"/>
      <c r="P453" s="80"/>
      <c r="Q453" s="80"/>
      <c r="R453" s="80"/>
      <c r="S453" s="80"/>
      <c r="T453" s="83"/>
      <c r="U453" s="85"/>
      <c r="V453" s="85"/>
      <c r="W453" s="85"/>
      <c r="X453" s="85"/>
      <c r="Y453" s="85"/>
      <c r="Z453" s="85"/>
      <c r="AA453" s="85"/>
      <c r="AB453" s="85"/>
      <c r="AC453" s="85"/>
      <c r="AD453" s="85"/>
      <c r="AE453" s="85"/>
      <c r="AF453" s="85"/>
      <c r="AG453" s="85"/>
      <c r="AH453" s="85"/>
      <c r="AI453" s="85"/>
      <c r="AJ453" s="85"/>
      <c r="AK453" s="83"/>
      <c r="AL453" s="83"/>
      <c r="AM453" s="83"/>
      <c r="AN453" s="83"/>
    </row>
    <row r="454" spans="2:40" ht="15.75" customHeight="1">
      <c r="B454" s="83"/>
      <c r="C454" s="80"/>
      <c r="D454" s="80"/>
      <c r="E454" s="80"/>
      <c r="F454" s="188"/>
      <c r="G454" s="80"/>
      <c r="H454" s="80"/>
      <c r="I454" s="80"/>
      <c r="J454" s="187"/>
      <c r="K454" s="80"/>
      <c r="L454" s="80"/>
      <c r="M454" s="80"/>
      <c r="N454" s="80"/>
      <c r="O454" s="80"/>
      <c r="P454" s="80"/>
      <c r="Q454" s="80"/>
      <c r="R454" s="80"/>
      <c r="S454" s="80"/>
      <c r="T454" s="83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/>
      <c r="AK454" s="83"/>
      <c r="AL454" s="83"/>
      <c r="AM454" s="83"/>
      <c r="AN454" s="83"/>
    </row>
    <row r="455" spans="2:40" ht="15.75" customHeight="1">
      <c r="B455" s="83"/>
      <c r="C455" s="80"/>
      <c r="D455" s="80"/>
      <c r="E455" s="80"/>
      <c r="F455" s="188"/>
      <c r="G455" s="80"/>
      <c r="H455" s="80"/>
      <c r="I455" s="80"/>
      <c r="J455" s="187"/>
      <c r="K455" s="80"/>
      <c r="L455" s="80"/>
      <c r="M455" s="80"/>
      <c r="N455" s="80"/>
      <c r="O455" s="80"/>
      <c r="P455" s="80"/>
      <c r="Q455" s="80"/>
      <c r="R455" s="80"/>
      <c r="S455" s="80"/>
      <c r="T455" s="83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3"/>
      <c r="AL455" s="83"/>
      <c r="AM455" s="83"/>
      <c r="AN455" s="83"/>
    </row>
    <row r="456" spans="2:40" ht="15.75" customHeight="1">
      <c r="B456" s="83"/>
      <c r="C456" s="80"/>
      <c r="D456" s="80"/>
      <c r="E456" s="80"/>
      <c r="F456" s="188"/>
      <c r="G456" s="80"/>
      <c r="H456" s="80"/>
      <c r="I456" s="80"/>
      <c r="J456" s="187"/>
      <c r="K456" s="80"/>
      <c r="L456" s="80"/>
      <c r="M456" s="80"/>
      <c r="N456" s="80"/>
      <c r="O456" s="80"/>
      <c r="P456" s="80"/>
      <c r="Q456" s="80"/>
      <c r="R456" s="80"/>
      <c r="S456" s="80"/>
      <c r="T456" s="83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3"/>
      <c r="AL456" s="83"/>
      <c r="AM456" s="83"/>
      <c r="AN456" s="83"/>
    </row>
    <row r="457" spans="2:40" ht="15.75" customHeight="1">
      <c r="B457" s="83"/>
      <c r="C457" s="80"/>
      <c r="D457" s="80"/>
      <c r="E457" s="80"/>
      <c r="F457" s="188"/>
      <c r="G457" s="80"/>
      <c r="H457" s="80"/>
      <c r="I457" s="80"/>
      <c r="J457" s="187"/>
      <c r="K457" s="80"/>
      <c r="L457" s="80"/>
      <c r="M457" s="80"/>
      <c r="N457" s="80"/>
      <c r="O457" s="80"/>
      <c r="P457" s="80"/>
      <c r="Q457" s="80"/>
      <c r="R457" s="80"/>
      <c r="S457" s="80"/>
      <c r="T457" s="83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3"/>
      <c r="AL457" s="83"/>
      <c r="AM457" s="83"/>
      <c r="AN457" s="83"/>
    </row>
    <row r="458" spans="2:40" ht="15.75" customHeight="1">
      <c r="B458" s="83"/>
      <c r="C458" s="80"/>
      <c r="D458" s="80"/>
      <c r="E458" s="80"/>
      <c r="F458" s="188"/>
      <c r="G458" s="80"/>
      <c r="H458" s="80"/>
      <c r="I458" s="80"/>
      <c r="J458" s="187"/>
      <c r="K458" s="80"/>
      <c r="L458" s="80"/>
      <c r="M458" s="80"/>
      <c r="N458" s="80"/>
      <c r="O458" s="80"/>
      <c r="P458" s="80"/>
      <c r="Q458" s="80"/>
      <c r="R458" s="80"/>
      <c r="S458" s="80"/>
      <c r="T458" s="83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3"/>
      <c r="AL458" s="83"/>
      <c r="AM458" s="83"/>
      <c r="AN458" s="83"/>
    </row>
    <row r="459" spans="2:40" ht="15.75" customHeight="1">
      <c r="B459" s="83"/>
      <c r="C459" s="80"/>
      <c r="D459" s="80"/>
      <c r="E459" s="80"/>
      <c r="F459" s="188"/>
      <c r="G459" s="80"/>
      <c r="H459" s="80"/>
      <c r="I459" s="80"/>
      <c r="J459" s="187"/>
      <c r="K459" s="80"/>
      <c r="L459" s="80"/>
      <c r="M459" s="80"/>
      <c r="N459" s="80"/>
      <c r="O459" s="80"/>
      <c r="P459" s="80"/>
      <c r="Q459" s="80"/>
      <c r="R459" s="80"/>
      <c r="S459" s="80"/>
      <c r="T459" s="83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3"/>
      <c r="AL459" s="83"/>
      <c r="AM459" s="83"/>
      <c r="AN459" s="83"/>
    </row>
    <row r="460" spans="2:40" ht="15.75" customHeight="1">
      <c r="B460" s="83"/>
      <c r="C460" s="80"/>
      <c r="D460" s="80"/>
      <c r="E460" s="80"/>
      <c r="F460" s="188"/>
      <c r="G460" s="80"/>
      <c r="H460" s="80"/>
      <c r="I460" s="80"/>
      <c r="J460" s="187"/>
      <c r="K460" s="80"/>
      <c r="L460" s="80"/>
      <c r="M460" s="80"/>
      <c r="N460" s="80"/>
      <c r="O460" s="80"/>
      <c r="P460" s="80"/>
      <c r="Q460" s="80"/>
      <c r="R460" s="80"/>
      <c r="S460" s="80"/>
      <c r="T460" s="83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3"/>
      <c r="AL460" s="83"/>
      <c r="AM460" s="83"/>
      <c r="AN460" s="83"/>
    </row>
    <row r="461" spans="2:40" ht="15.75" customHeight="1">
      <c r="B461" s="83"/>
      <c r="C461" s="80"/>
      <c r="D461" s="80"/>
      <c r="E461" s="80"/>
      <c r="F461" s="188"/>
      <c r="G461" s="80"/>
      <c r="H461" s="80"/>
      <c r="I461" s="80"/>
      <c r="J461" s="187"/>
      <c r="K461" s="80"/>
      <c r="L461" s="80"/>
      <c r="M461" s="80"/>
      <c r="N461" s="80"/>
      <c r="O461" s="80"/>
      <c r="P461" s="80"/>
      <c r="Q461" s="80"/>
      <c r="R461" s="80"/>
      <c r="S461" s="80"/>
      <c r="T461" s="83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3"/>
      <c r="AL461" s="83"/>
      <c r="AM461" s="83"/>
      <c r="AN461" s="83"/>
    </row>
    <row r="462" spans="2:40" ht="15.75" customHeight="1">
      <c r="B462" s="83"/>
      <c r="C462" s="80"/>
      <c r="D462" s="80"/>
      <c r="E462" s="80"/>
      <c r="F462" s="188"/>
      <c r="G462" s="80"/>
      <c r="H462" s="80"/>
      <c r="I462" s="80"/>
      <c r="J462" s="187"/>
      <c r="K462" s="80"/>
      <c r="L462" s="80"/>
      <c r="M462" s="80"/>
      <c r="N462" s="80"/>
      <c r="O462" s="80"/>
      <c r="P462" s="80"/>
      <c r="Q462" s="80"/>
      <c r="R462" s="80"/>
      <c r="S462" s="80"/>
      <c r="T462" s="83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3"/>
      <c r="AL462" s="83"/>
      <c r="AM462" s="83"/>
      <c r="AN462" s="83"/>
    </row>
    <row r="463" spans="2:40" ht="15.75" customHeight="1">
      <c r="B463" s="83"/>
      <c r="C463" s="80"/>
      <c r="D463" s="80"/>
      <c r="E463" s="80"/>
      <c r="F463" s="188"/>
      <c r="G463" s="80"/>
      <c r="H463" s="80"/>
      <c r="I463" s="80"/>
      <c r="J463" s="187"/>
      <c r="K463" s="80"/>
      <c r="L463" s="80"/>
      <c r="M463" s="80"/>
      <c r="N463" s="80"/>
      <c r="O463" s="80"/>
      <c r="P463" s="80"/>
      <c r="Q463" s="80"/>
      <c r="R463" s="80"/>
      <c r="S463" s="80"/>
      <c r="T463" s="83"/>
      <c r="U463" s="85"/>
      <c r="V463" s="85"/>
      <c r="W463" s="85"/>
      <c r="X463" s="85"/>
      <c r="Y463" s="85"/>
      <c r="Z463" s="85"/>
      <c r="AA463" s="85"/>
      <c r="AB463" s="85"/>
      <c r="AC463" s="85"/>
      <c r="AD463" s="85"/>
      <c r="AE463" s="85"/>
      <c r="AF463" s="85"/>
      <c r="AG463" s="85"/>
      <c r="AH463" s="85"/>
      <c r="AI463" s="85"/>
      <c r="AJ463" s="85"/>
      <c r="AK463" s="83"/>
      <c r="AL463" s="83"/>
      <c r="AM463" s="83"/>
      <c r="AN463" s="83"/>
    </row>
    <row r="464" spans="2:40" ht="15.75" customHeight="1">
      <c r="B464" s="83"/>
      <c r="C464" s="80"/>
      <c r="D464" s="80"/>
      <c r="E464" s="80"/>
      <c r="F464" s="188"/>
      <c r="G464" s="80"/>
      <c r="H464" s="80"/>
      <c r="I464" s="80"/>
      <c r="J464" s="187"/>
      <c r="K464" s="80"/>
      <c r="L464" s="80"/>
      <c r="M464" s="80"/>
      <c r="N464" s="80"/>
      <c r="O464" s="80"/>
      <c r="P464" s="80"/>
      <c r="Q464" s="80"/>
      <c r="R464" s="80"/>
      <c r="S464" s="80"/>
      <c r="T464" s="83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3"/>
      <c r="AL464" s="83"/>
      <c r="AM464" s="83"/>
      <c r="AN464" s="83"/>
    </row>
    <row r="465" spans="2:40" ht="15.75" customHeight="1">
      <c r="B465" s="83"/>
      <c r="C465" s="80"/>
      <c r="D465" s="80"/>
      <c r="E465" s="80"/>
      <c r="F465" s="188"/>
      <c r="G465" s="80"/>
      <c r="H465" s="80"/>
      <c r="I465" s="80"/>
      <c r="J465" s="187"/>
      <c r="K465" s="80"/>
      <c r="L465" s="80"/>
      <c r="M465" s="80"/>
      <c r="N465" s="80"/>
      <c r="O465" s="80"/>
      <c r="P465" s="80"/>
      <c r="Q465" s="80"/>
      <c r="R465" s="80"/>
      <c r="S465" s="80"/>
      <c r="T465" s="83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3"/>
      <c r="AL465" s="83"/>
      <c r="AM465" s="83"/>
      <c r="AN465" s="83"/>
    </row>
    <row r="466" spans="2:40" ht="15.75" customHeight="1">
      <c r="B466" s="83"/>
      <c r="C466" s="80"/>
      <c r="D466" s="80"/>
      <c r="E466" s="80"/>
      <c r="F466" s="188"/>
      <c r="G466" s="80"/>
      <c r="H466" s="80"/>
      <c r="I466" s="80"/>
      <c r="J466" s="187"/>
      <c r="K466" s="80"/>
      <c r="L466" s="80"/>
      <c r="M466" s="80"/>
      <c r="N466" s="80"/>
      <c r="O466" s="80"/>
      <c r="P466" s="80"/>
      <c r="Q466" s="80"/>
      <c r="R466" s="80"/>
      <c r="S466" s="80"/>
      <c r="T466" s="83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3"/>
      <c r="AL466" s="83"/>
      <c r="AM466" s="83"/>
      <c r="AN466" s="83"/>
    </row>
    <row r="467" spans="2:40" ht="15.75" customHeight="1">
      <c r="B467" s="83"/>
      <c r="C467" s="80"/>
      <c r="D467" s="80"/>
      <c r="E467" s="80"/>
      <c r="F467" s="188"/>
      <c r="G467" s="80"/>
      <c r="H467" s="80"/>
      <c r="I467" s="80"/>
      <c r="J467" s="187"/>
      <c r="K467" s="80"/>
      <c r="L467" s="80"/>
      <c r="M467" s="80"/>
      <c r="N467" s="80"/>
      <c r="O467" s="80"/>
      <c r="P467" s="80"/>
      <c r="Q467" s="80"/>
      <c r="R467" s="80"/>
      <c r="S467" s="80"/>
      <c r="T467" s="83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3"/>
      <c r="AL467" s="83"/>
      <c r="AM467" s="83"/>
      <c r="AN467" s="83"/>
    </row>
    <row r="468" spans="2:40" ht="15.75" customHeight="1">
      <c r="B468" s="83"/>
      <c r="C468" s="80"/>
      <c r="D468" s="80"/>
      <c r="E468" s="80"/>
      <c r="F468" s="188"/>
      <c r="G468" s="80"/>
      <c r="H468" s="80"/>
      <c r="I468" s="80"/>
      <c r="J468" s="187"/>
      <c r="K468" s="80"/>
      <c r="L468" s="80"/>
      <c r="M468" s="80"/>
      <c r="N468" s="80"/>
      <c r="O468" s="80"/>
      <c r="P468" s="80"/>
      <c r="Q468" s="80"/>
      <c r="R468" s="80"/>
      <c r="S468" s="80"/>
      <c r="T468" s="83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3"/>
      <c r="AL468" s="83"/>
      <c r="AM468" s="83"/>
      <c r="AN468" s="83"/>
    </row>
    <row r="469" spans="2:40" ht="15.75" customHeight="1">
      <c r="B469" s="83"/>
      <c r="C469" s="80"/>
      <c r="D469" s="80"/>
      <c r="E469" s="80"/>
      <c r="F469" s="188"/>
      <c r="G469" s="80"/>
      <c r="H469" s="80"/>
      <c r="I469" s="80"/>
      <c r="J469" s="187"/>
      <c r="K469" s="80"/>
      <c r="L469" s="80"/>
      <c r="M469" s="80"/>
      <c r="N469" s="80"/>
      <c r="O469" s="80"/>
      <c r="P469" s="80"/>
      <c r="Q469" s="80"/>
      <c r="R469" s="80"/>
      <c r="S469" s="80"/>
      <c r="T469" s="83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3"/>
      <c r="AL469" s="83"/>
      <c r="AM469" s="83"/>
      <c r="AN469" s="83"/>
    </row>
    <row r="470" spans="2:40" ht="15.75" customHeight="1">
      <c r="B470" s="83"/>
      <c r="C470" s="80"/>
      <c r="D470" s="80"/>
      <c r="E470" s="80"/>
      <c r="F470" s="188"/>
      <c r="G470" s="80"/>
      <c r="H470" s="80"/>
      <c r="I470" s="80"/>
      <c r="J470" s="187"/>
      <c r="K470" s="80"/>
      <c r="L470" s="80"/>
      <c r="M470" s="80"/>
      <c r="N470" s="80"/>
      <c r="O470" s="80"/>
      <c r="P470" s="80"/>
      <c r="Q470" s="80"/>
      <c r="R470" s="80"/>
      <c r="S470" s="80"/>
      <c r="T470" s="83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  <c r="AF470" s="85"/>
      <c r="AG470" s="85"/>
      <c r="AH470" s="85"/>
      <c r="AI470" s="85"/>
      <c r="AJ470" s="85"/>
      <c r="AK470" s="83"/>
      <c r="AL470" s="83"/>
      <c r="AM470" s="83"/>
      <c r="AN470" s="83"/>
    </row>
    <row r="471" spans="2:40" ht="15.75" customHeight="1">
      <c r="B471" s="83"/>
      <c r="C471" s="80"/>
      <c r="D471" s="80"/>
      <c r="E471" s="80"/>
      <c r="F471" s="188"/>
      <c r="G471" s="80"/>
      <c r="H471" s="80"/>
      <c r="I471" s="80"/>
      <c r="J471" s="187"/>
      <c r="K471" s="80"/>
      <c r="L471" s="80"/>
      <c r="M471" s="80"/>
      <c r="N471" s="80"/>
      <c r="O471" s="80"/>
      <c r="P471" s="80"/>
      <c r="Q471" s="80"/>
      <c r="R471" s="80"/>
      <c r="S471" s="80"/>
      <c r="T471" s="83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3"/>
      <c r="AL471" s="83"/>
      <c r="AM471" s="83"/>
      <c r="AN471" s="83"/>
    </row>
    <row r="472" spans="2:40" ht="15.75" customHeight="1">
      <c r="B472" s="83"/>
      <c r="C472" s="80"/>
      <c r="D472" s="80"/>
      <c r="E472" s="80"/>
      <c r="F472" s="188"/>
      <c r="G472" s="80"/>
      <c r="H472" s="80"/>
      <c r="I472" s="80"/>
      <c r="J472" s="187"/>
      <c r="K472" s="80"/>
      <c r="L472" s="80"/>
      <c r="M472" s="80"/>
      <c r="N472" s="80"/>
      <c r="O472" s="80"/>
      <c r="P472" s="80"/>
      <c r="Q472" s="80"/>
      <c r="R472" s="80"/>
      <c r="S472" s="80"/>
      <c r="T472" s="83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  <c r="AF472" s="85"/>
      <c r="AG472" s="85"/>
      <c r="AH472" s="85"/>
      <c r="AI472" s="85"/>
      <c r="AJ472" s="85"/>
      <c r="AK472" s="83"/>
      <c r="AL472" s="83"/>
      <c r="AM472" s="83"/>
      <c r="AN472" s="83"/>
    </row>
    <row r="473" spans="2:40" ht="15.75" customHeight="1">
      <c r="B473" s="83"/>
      <c r="C473" s="80"/>
      <c r="D473" s="80"/>
      <c r="E473" s="80"/>
      <c r="F473" s="188"/>
      <c r="G473" s="80"/>
      <c r="H473" s="80"/>
      <c r="I473" s="80"/>
      <c r="J473" s="187"/>
      <c r="K473" s="80"/>
      <c r="L473" s="80"/>
      <c r="M473" s="80"/>
      <c r="N473" s="80"/>
      <c r="O473" s="80"/>
      <c r="P473" s="80"/>
      <c r="Q473" s="80"/>
      <c r="R473" s="80"/>
      <c r="S473" s="80"/>
      <c r="T473" s="83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3"/>
      <c r="AL473" s="83"/>
      <c r="AM473" s="83"/>
      <c r="AN473" s="83"/>
    </row>
    <row r="474" spans="2:40" ht="15.75" customHeight="1">
      <c r="B474" s="83"/>
      <c r="C474" s="80"/>
      <c r="D474" s="80"/>
      <c r="E474" s="80"/>
      <c r="F474" s="188"/>
      <c r="G474" s="80"/>
      <c r="H474" s="80"/>
      <c r="I474" s="80"/>
      <c r="J474" s="187"/>
      <c r="K474" s="80"/>
      <c r="L474" s="80"/>
      <c r="M474" s="80"/>
      <c r="N474" s="80"/>
      <c r="O474" s="80"/>
      <c r="P474" s="80"/>
      <c r="Q474" s="80"/>
      <c r="R474" s="80"/>
      <c r="S474" s="80"/>
      <c r="T474" s="83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3"/>
      <c r="AL474" s="83"/>
      <c r="AM474" s="83"/>
      <c r="AN474" s="83"/>
    </row>
    <row r="475" spans="2:40" ht="15.75" customHeight="1">
      <c r="B475" s="83"/>
      <c r="C475" s="80"/>
      <c r="D475" s="80"/>
      <c r="E475" s="80"/>
      <c r="F475" s="188"/>
      <c r="G475" s="80"/>
      <c r="H475" s="80"/>
      <c r="I475" s="80"/>
      <c r="J475" s="187"/>
      <c r="K475" s="80"/>
      <c r="L475" s="80"/>
      <c r="M475" s="80"/>
      <c r="N475" s="80"/>
      <c r="O475" s="80"/>
      <c r="P475" s="80"/>
      <c r="Q475" s="80"/>
      <c r="R475" s="80"/>
      <c r="S475" s="80"/>
      <c r="T475" s="83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  <c r="AF475" s="85"/>
      <c r="AG475" s="85"/>
      <c r="AH475" s="85"/>
      <c r="AI475" s="85"/>
      <c r="AJ475" s="85"/>
      <c r="AK475" s="83"/>
      <c r="AL475" s="83"/>
      <c r="AM475" s="83"/>
      <c r="AN475" s="83"/>
    </row>
    <row r="476" spans="2:40" ht="15.75" customHeight="1">
      <c r="B476" s="83"/>
      <c r="C476" s="80"/>
      <c r="D476" s="80"/>
      <c r="E476" s="80"/>
      <c r="F476" s="188"/>
      <c r="G476" s="80"/>
      <c r="H476" s="80"/>
      <c r="I476" s="80"/>
      <c r="J476" s="187"/>
      <c r="K476" s="80"/>
      <c r="L476" s="80"/>
      <c r="M476" s="80"/>
      <c r="N476" s="80"/>
      <c r="O476" s="80"/>
      <c r="P476" s="80"/>
      <c r="Q476" s="80"/>
      <c r="R476" s="80"/>
      <c r="S476" s="80"/>
      <c r="T476" s="83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3"/>
      <c r="AL476" s="83"/>
      <c r="AM476" s="83"/>
      <c r="AN476" s="83"/>
    </row>
    <row r="477" spans="2:40" ht="15.75" customHeight="1">
      <c r="B477" s="83"/>
      <c r="C477" s="80"/>
      <c r="D477" s="80"/>
      <c r="E477" s="80"/>
      <c r="F477" s="188"/>
      <c r="G477" s="80"/>
      <c r="H477" s="80"/>
      <c r="I477" s="80"/>
      <c r="J477" s="187"/>
      <c r="K477" s="80"/>
      <c r="L477" s="80"/>
      <c r="M477" s="80"/>
      <c r="N477" s="80"/>
      <c r="O477" s="80"/>
      <c r="P477" s="80"/>
      <c r="Q477" s="80"/>
      <c r="R477" s="80"/>
      <c r="S477" s="80"/>
      <c r="T477" s="83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3"/>
      <c r="AL477" s="83"/>
      <c r="AM477" s="83"/>
      <c r="AN477" s="83"/>
    </row>
    <row r="478" spans="2:40" ht="15.75" customHeight="1">
      <c r="B478" s="83"/>
      <c r="C478" s="80"/>
      <c r="D478" s="80"/>
      <c r="E478" s="80"/>
      <c r="F478" s="188"/>
      <c r="G478" s="80"/>
      <c r="H478" s="80"/>
      <c r="I478" s="80"/>
      <c r="J478" s="187"/>
      <c r="K478" s="80"/>
      <c r="L478" s="80"/>
      <c r="M478" s="80"/>
      <c r="N478" s="80"/>
      <c r="O478" s="80"/>
      <c r="P478" s="80"/>
      <c r="Q478" s="80"/>
      <c r="R478" s="80"/>
      <c r="S478" s="80"/>
      <c r="T478" s="83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3"/>
      <c r="AL478" s="83"/>
      <c r="AM478" s="83"/>
      <c r="AN478" s="83"/>
    </row>
    <row r="479" spans="2:40" ht="15.75" customHeight="1">
      <c r="B479" s="83"/>
      <c r="C479" s="80"/>
      <c r="D479" s="80"/>
      <c r="E479" s="80"/>
      <c r="F479" s="188"/>
      <c r="G479" s="80"/>
      <c r="H479" s="80"/>
      <c r="I479" s="80"/>
      <c r="J479" s="187"/>
      <c r="K479" s="80"/>
      <c r="L479" s="80"/>
      <c r="M479" s="80"/>
      <c r="N479" s="80"/>
      <c r="O479" s="80"/>
      <c r="P479" s="80"/>
      <c r="Q479" s="80"/>
      <c r="R479" s="80"/>
      <c r="S479" s="80"/>
      <c r="T479" s="83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3"/>
      <c r="AL479" s="83"/>
      <c r="AM479" s="83"/>
      <c r="AN479" s="83"/>
    </row>
    <row r="480" spans="2:40" ht="15.75" customHeight="1">
      <c r="B480" s="83"/>
      <c r="C480" s="80"/>
      <c r="D480" s="80"/>
      <c r="E480" s="80"/>
      <c r="F480" s="188"/>
      <c r="G480" s="80"/>
      <c r="H480" s="80"/>
      <c r="I480" s="80"/>
      <c r="J480" s="187"/>
      <c r="K480" s="80"/>
      <c r="L480" s="80"/>
      <c r="M480" s="80"/>
      <c r="N480" s="80"/>
      <c r="O480" s="80"/>
      <c r="P480" s="80"/>
      <c r="Q480" s="80"/>
      <c r="R480" s="80"/>
      <c r="S480" s="80"/>
      <c r="T480" s="83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3"/>
      <c r="AL480" s="83"/>
      <c r="AM480" s="83"/>
      <c r="AN480" s="83"/>
    </row>
    <row r="481" spans="2:40" ht="15.75" customHeight="1">
      <c r="B481" s="83"/>
      <c r="C481" s="80"/>
      <c r="D481" s="80"/>
      <c r="E481" s="80"/>
      <c r="F481" s="188"/>
      <c r="G481" s="80"/>
      <c r="H481" s="80"/>
      <c r="I481" s="80"/>
      <c r="J481" s="187"/>
      <c r="K481" s="80"/>
      <c r="L481" s="80"/>
      <c r="M481" s="80"/>
      <c r="N481" s="80"/>
      <c r="O481" s="80"/>
      <c r="P481" s="80"/>
      <c r="Q481" s="80"/>
      <c r="R481" s="80"/>
      <c r="S481" s="80"/>
      <c r="T481" s="83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3"/>
      <c r="AL481" s="83"/>
      <c r="AM481" s="83"/>
      <c r="AN481" s="83"/>
    </row>
    <row r="482" spans="2:40" ht="15.75" customHeight="1">
      <c r="B482" s="83"/>
      <c r="C482" s="80"/>
      <c r="D482" s="80"/>
      <c r="E482" s="80"/>
      <c r="F482" s="188"/>
      <c r="G482" s="80"/>
      <c r="H482" s="80"/>
      <c r="I482" s="80"/>
      <c r="J482" s="187"/>
      <c r="K482" s="80"/>
      <c r="L482" s="80"/>
      <c r="M482" s="80"/>
      <c r="N482" s="80"/>
      <c r="O482" s="80"/>
      <c r="P482" s="80"/>
      <c r="Q482" s="80"/>
      <c r="R482" s="80"/>
      <c r="S482" s="80"/>
      <c r="T482" s="83"/>
      <c r="U482" s="85"/>
      <c r="V482" s="85"/>
      <c r="W482" s="85"/>
      <c r="X482" s="85"/>
      <c r="Y482" s="85"/>
      <c r="Z482" s="85"/>
      <c r="AA482" s="85"/>
      <c r="AB482" s="85"/>
      <c r="AC482" s="85"/>
      <c r="AD482" s="85"/>
      <c r="AE482" s="85"/>
      <c r="AF482" s="85"/>
      <c r="AG482" s="85"/>
      <c r="AH482" s="85"/>
      <c r="AI482" s="85"/>
      <c r="AJ482" s="85"/>
      <c r="AK482" s="83"/>
      <c r="AL482" s="83"/>
      <c r="AM482" s="83"/>
      <c r="AN482" s="83"/>
    </row>
    <row r="483" spans="2:40" ht="15.75" customHeight="1">
      <c r="B483" s="83"/>
      <c r="C483" s="80"/>
      <c r="D483" s="80"/>
      <c r="E483" s="80"/>
      <c r="F483" s="188"/>
      <c r="G483" s="80"/>
      <c r="H483" s="80"/>
      <c r="I483" s="80"/>
      <c r="J483" s="187"/>
      <c r="K483" s="80"/>
      <c r="L483" s="80"/>
      <c r="M483" s="80"/>
      <c r="N483" s="80"/>
      <c r="O483" s="80"/>
      <c r="P483" s="80"/>
      <c r="Q483" s="80"/>
      <c r="R483" s="80"/>
      <c r="S483" s="80"/>
      <c r="T483" s="83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3"/>
      <c r="AL483" s="83"/>
      <c r="AM483" s="83"/>
      <c r="AN483" s="83"/>
    </row>
    <row r="484" spans="2:40" ht="15.75" customHeight="1">
      <c r="B484" s="83"/>
      <c r="C484" s="80"/>
      <c r="D484" s="80"/>
      <c r="E484" s="80"/>
      <c r="F484" s="188"/>
      <c r="G484" s="80"/>
      <c r="H484" s="80"/>
      <c r="I484" s="80"/>
      <c r="J484" s="187"/>
      <c r="K484" s="80"/>
      <c r="L484" s="80"/>
      <c r="M484" s="80"/>
      <c r="N484" s="80"/>
      <c r="O484" s="80"/>
      <c r="P484" s="80"/>
      <c r="Q484" s="80"/>
      <c r="R484" s="80"/>
      <c r="S484" s="80"/>
      <c r="T484" s="83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3"/>
      <c r="AL484" s="83"/>
      <c r="AM484" s="83"/>
      <c r="AN484" s="83"/>
    </row>
    <row r="485" spans="2:40" ht="15.75" customHeight="1">
      <c r="B485" s="83"/>
      <c r="C485" s="80"/>
      <c r="D485" s="80"/>
      <c r="E485" s="80"/>
      <c r="F485" s="188"/>
      <c r="G485" s="80"/>
      <c r="H485" s="80"/>
      <c r="I485" s="80"/>
      <c r="J485" s="187"/>
      <c r="K485" s="80"/>
      <c r="L485" s="80"/>
      <c r="M485" s="80"/>
      <c r="N485" s="80"/>
      <c r="O485" s="80"/>
      <c r="P485" s="80"/>
      <c r="Q485" s="80"/>
      <c r="R485" s="80"/>
      <c r="S485" s="80"/>
      <c r="T485" s="83"/>
      <c r="U485" s="85"/>
      <c r="V485" s="85"/>
      <c r="W485" s="85"/>
      <c r="X485" s="85"/>
      <c r="Y485" s="85"/>
      <c r="Z485" s="85"/>
      <c r="AA485" s="85"/>
      <c r="AB485" s="85"/>
      <c r="AC485" s="85"/>
      <c r="AD485" s="85"/>
      <c r="AE485" s="85"/>
      <c r="AF485" s="85"/>
      <c r="AG485" s="85"/>
      <c r="AH485" s="85"/>
      <c r="AI485" s="85"/>
      <c r="AJ485" s="85"/>
      <c r="AK485" s="83"/>
      <c r="AL485" s="83"/>
      <c r="AM485" s="83"/>
      <c r="AN485" s="83"/>
    </row>
    <row r="486" spans="2:40" ht="15.75" customHeight="1">
      <c r="B486" s="83"/>
      <c r="C486" s="80"/>
      <c r="D486" s="80"/>
      <c r="E486" s="80"/>
      <c r="F486" s="188"/>
      <c r="G486" s="80"/>
      <c r="H486" s="80"/>
      <c r="I486" s="80"/>
      <c r="J486" s="187"/>
      <c r="K486" s="80"/>
      <c r="L486" s="80"/>
      <c r="M486" s="80"/>
      <c r="N486" s="80"/>
      <c r="O486" s="80"/>
      <c r="P486" s="80"/>
      <c r="Q486" s="80"/>
      <c r="R486" s="80"/>
      <c r="S486" s="80"/>
      <c r="T486" s="83"/>
      <c r="U486" s="85"/>
      <c r="V486" s="85"/>
      <c r="W486" s="85"/>
      <c r="X486" s="85"/>
      <c r="Y486" s="85"/>
      <c r="Z486" s="85"/>
      <c r="AA486" s="85"/>
      <c r="AB486" s="85"/>
      <c r="AC486" s="85"/>
      <c r="AD486" s="85"/>
      <c r="AE486" s="85"/>
      <c r="AF486" s="85"/>
      <c r="AG486" s="85"/>
      <c r="AH486" s="85"/>
      <c r="AI486" s="85"/>
      <c r="AJ486" s="85"/>
      <c r="AK486" s="83"/>
      <c r="AL486" s="83"/>
      <c r="AM486" s="83"/>
      <c r="AN486" s="83"/>
    </row>
    <row r="487" spans="2:40" ht="15.75" customHeight="1">
      <c r="B487" s="83"/>
      <c r="C487" s="80"/>
      <c r="D487" s="80"/>
      <c r="E487" s="80"/>
      <c r="F487" s="188"/>
      <c r="G487" s="80"/>
      <c r="H487" s="80"/>
      <c r="I487" s="80"/>
      <c r="J487" s="187"/>
      <c r="K487" s="80"/>
      <c r="L487" s="80"/>
      <c r="M487" s="80"/>
      <c r="N487" s="80"/>
      <c r="O487" s="80"/>
      <c r="P487" s="80"/>
      <c r="Q487" s="80"/>
      <c r="R487" s="80"/>
      <c r="S487" s="80"/>
      <c r="T487" s="83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3"/>
      <c r="AL487" s="83"/>
      <c r="AM487" s="83"/>
      <c r="AN487" s="83"/>
    </row>
    <row r="488" spans="2:40" ht="15.75" customHeight="1">
      <c r="B488" s="83"/>
      <c r="C488" s="80"/>
      <c r="D488" s="80"/>
      <c r="E488" s="80"/>
      <c r="F488" s="188"/>
      <c r="G488" s="80"/>
      <c r="H488" s="80"/>
      <c r="I488" s="80"/>
      <c r="J488" s="187"/>
      <c r="K488" s="80"/>
      <c r="L488" s="80"/>
      <c r="M488" s="80"/>
      <c r="N488" s="80"/>
      <c r="O488" s="80"/>
      <c r="P488" s="80"/>
      <c r="Q488" s="80"/>
      <c r="R488" s="80"/>
      <c r="S488" s="80"/>
      <c r="T488" s="83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3"/>
      <c r="AL488" s="83"/>
      <c r="AM488" s="83"/>
      <c r="AN488" s="83"/>
    </row>
    <row r="489" spans="2:40" ht="15.75" customHeight="1">
      <c r="B489" s="83"/>
      <c r="C489" s="80"/>
      <c r="D489" s="80"/>
      <c r="E489" s="80"/>
      <c r="F489" s="188"/>
      <c r="G489" s="80"/>
      <c r="H489" s="80"/>
      <c r="I489" s="80"/>
      <c r="J489" s="187"/>
      <c r="K489" s="80"/>
      <c r="L489" s="80"/>
      <c r="M489" s="80"/>
      <c r="N489" s="80"/>
      <c r="O489" s="80"/>
      <c r="P489" s="80"/>
      <c r="Q489" s="80"/>
      <c r="R489" s="80"/>
      <c r="S489" s="80"/>
      <c r="T489" s="83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3"/>
      <c r="AL489" s="83"/>
      <c r="AM489" s="83"/>
      <c r="AN489" s="83"/>
    </row>
    <row r="490" spans="2:40" ht="15.75" customHeight="1">
      <c r="B490" s="83"/>
      <c r="C490" s="80"/>
      <c r="D490" s="80"/>
      <c r="E490" s="80"/>
      <c r="F490" s="188"/>
      <c r="G490" s="80"/>
      <c r="H490" s="80"/>
      <c r="I490" s="80"/>
      <c r="J490" s="187"/>
      <c r="K490" s="80"/>
      <c r="L490" s="80"/>
      <c r="M490" s="80"/>
      <c r="N490" s="80"/>
      <c r="O490" s="80"/>
      <c r="P490" s="80"/>
      <c r="Q490" s="80"/>
      <c r="R490" s="80"/>
      <c r="S490" s="80"/>
      <c r="T490" s="83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3"/>
      <c r="AL490" s="83"/>
      <c r="AM490" s="83"/>
      <c r="AN490" s="83"/>
    </row>
    <row r="491" spans="2:40" ht="15.75" customHeight="1">
      <c r="B491" s="83"/>
      <c r="C491" s="80"/>
      <c r="D491" s="80"/>
      <c r="E491" s="80"/>
      <c r="F491" s="188"/>
      <c r="G491" s="80"/>
      <c r="H491" s="80"/>
      <c r="I491" s="80"/>
      <c r="J491" s="187"/>
      <c r="K491" s="80"/>
      <c r="L491" s="80"/>
      <c r="M491" s="80"/>
      <c r="N491" s="80"/>
      <c r="O491" s="80"/>
      <c r="P491" s="80"/>
      <c r="Q491" s="80"/>
      <c r="R491" s="80"/>
      <c r="S491" s="80"/>
      <c r="T491" s="83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3"/>
      <c r="AL491" s="83"/>
      <c r="AM491" s="83"/>
      <c r="AN491" s="83"/>
    </row>
    <row r="492" spans="2:40" ht="15.75" customHeight="1">
      <c r="B492" s="83"/>
      <c r="C492" s="80"/>
      <c r="D492" s="80"/>
      <c r="E492" s="80"/>
      <c r="F492" s="188"/>
      <c r="G492" s="80"/>
      <c r="H492" s="80"/>
      <c r="I492" s="80"/>
      <c r="J492" s="187"/>
      <c r="K492" s="80"/>
      <c r="L492" s="80"/>
      <c r="M492" s="80"/>
      <c r="N492" s="80"/>
      <c r="O492" s="80"/>
      <c r="P492" s="80"/>
      <c r="Q492" s="80"/>
      <c r="R492" s="80"/>
      <c r="S492" s="80"/>
      <c r="T492" s="83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3"/>
      <c r="AL492" s="83"/>
      <c r="AM492" s="83"/>
      <c r="AN492" s="83"/>
    </row>
    <row r="493" spans="2:40" ht="15.75" customHeight="1">
      <c r="B493" s="83"/>
      <c r="C493" s="80"/>
      <c r="D493" s="80"/>
      <c r="E493" s="80"/>
      <c r="F493" s="188"/>
      <c r="G493" s="80"/>
      <c r="H493" s="80"/>
      <c r="I493" s="80"/>
      <c r="J493" s="187"/>
      <c r="K493" s="80"/>
      <c r="L493" s="80"/>
      <c r="M493" s="80"/>
      <c r="N493" s="80"/>
      <c r="O493" s="80"/>
      <c r="P493" s="80"/>
      <c r="Q493" s="80"/>
      <c r="R493" s="80"/>
      <c r="S493" s="80"/>
      <c r="T493" s="83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3"/>
      <c r="AL493" s="83"/>
      <c r="AM493" s="83"/>
      <c r="AN493" s="83"/>
    </row>
    <row r="494" spans="2:40" ht="15.75" customHeight="1">
      <c r="B494" s="83"/>
      <c r="C494" s="80"/>
      <c r="D494" s="80"/>
      <c r="E494" s="80"/>
      <c r="F494" s="188"/>
      <c r="G494" s="80"/>
      <c r="H494" s="80"/>
      <c r="I494" s="80"/>
      <c r="J494" s="187"/>
      <c r="K494" s="80"/>
      <c r="L494" s="80"/>
      <c r="M494" s="80"/>
      <c r="N494" s="80"/>
      <c r="O494" s="80"/>
      <c r="P494" s="80"/>
      <c r="Q494" s="80"/>
      <c r="R494" s="80"/>
      <c r="S494" s="80"/>
      <c r="T494" s="83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3"/>
      <c r="AL494" s="83"/>
      <c r="AM494" s="83"/>
      <c r="AN494" s="83"/>
    </row>
    <row r="495" spans="2:40" ht="15.75" customHeight="1">
      <c r="B495" s="83"/>
      <c r="C495" s="80"/>
      <c r="D495" s="80"/>
      <c r="E495" s="80"/>
      <c r="F495" s="188"/>
      <c r="G495" s="80"/>
      <c r="H495" s="80"/>
      <c r="I495" s="80"/>
      <c r="J495" s="187"/>
      <c r="K495" s="80"/>
      <c r="L495" s="80"/>
      <c r="M495" s="80"/>
      <c r="N495" s="80"/>
      <c r="O495" s="80"/>
      <c r="P495" s="80"/>
      <c r="Q495" s="80"/>
      <c r="R495" s="80"/>
      <c r="S495" s="80"/>
      <c r="T495" s="83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3"/>
      <c r="AL495" s="83"/>
      <c r="AM495" s="83"/>
      <c r="AN495" s="83"/>
    </row>
    <row r="496" spans="2:40" ht="15.75" customHeight="1">
      <c r="B496" s="83"/>
      <c r="C496" s="80"/>
      <c r="D496" s="80"/>
      <c r="E496" s="80"/>
      <c r="F496" s="188"/>
      <c r="G496" s="80"/>
      <c r="H496" s="80"/>
      <c r="I496" s="80"/>
      <c r="J496" s="187"/>
      <c r="K496" s="80"/>
      <c r="L496" s="80"/>
      <c r="M496" s="80"/>
      <c r="N496" s="80"/>
      <c r="O496" s="80"/>
      <c r="P496" s="80"/>
      <c r="Q496" s="80"/>
      <c r="R496" s="80"/>
      <c r="S496" s="80"/>
      <c r="T496" s="83"/>
      <c r="U496" s="85"/>
      <c r="V496" s="85"/>
      <c r="W496" s="85"/>
      <c r="X496" s="85"/>
      <c r="Y496" s="85"/>
      <c r="Z496" s="85"/>
      <c r="AA496" s="85"/>
      <c r="AB496" s="85"/>
      <c r="AC496" s="85"/>
      <c r="AD496" s="85"/>
      <c r="AE496" s="85"/>
      <c r="AF496" s="85"/>
      <c r="AG496" s="85"/>
      <c r="AH496" s="85"/>
      <c r="AI496" s="85"/>
      <c r="AJ496" s="85"/>
      <c r="AK496" s="83"/>
      <c r="AL496" s="83"/>
      <c r="AM496" s="83"/>
      <c r="AN496" s="83"/>
    </row>
    <row r="497" spans="2:40" ht="15.75" customHeight="1">
      <c r="B497" s="83"/>
      <c r="C497" s="80"/>
      <c r="D497" s="80"/>
      <c r="E497" s="80"/>
      <c r="F497" s="188"/>
      <c r="G497" s="80"/>
      <c r="H497" s="80"/>
      <c r="I497" s="80"/>
      <c r="J497" s="187"/>
      <c r="K497" s="80"/>
      <c r="L497" s="80"/>
      <c r="M497" s="80"/>
      <c r="N497" s="80"/>
      <c r="O497" s="80"/>
      <c r="P497" s="80"/>
      <c r="Q497" s="80"/>
      <c r="R497" s="80"/>
      <c r="S497" s="80"/>
      <c r="T497" s="83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3"/>
      <c r="AL497" s="83"/>
      <c r="AM497" s="83"/>
      <c r="AN497" s="83"/>
    </row>
    <row r="498" spans="2:40" ht="15.75" customHeight="1">
      <c r="B498" s="83"/>
      <c r="C498" s="80"/>
      <c r="D498" s="80"/>
      <c r="E498" s="80"/>
      <c r="F498" s="188"/>
      <c r="G498" s="80"/>
      <c r="H498" s="80"/>
      <c r="I498" s="80"/>
      <c r="J498" s="187"/>
      <c r="K498" s="80"/>
      <c r="L498" s="80"/>
      <c r="M498" s="80"/>
      <c r="N498" s="80"/>
      <c r="O498" s="80"/>
      <c r="P498" s="80"/>
      <c r="Q498" s="80"/>
      <c r="R498" s="80"/>
      <c r="S498" s="80"/>
      <c r="T498" s="83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3"/>
      <c r="AL498" s="83"/>
      <c r="AM498" s="83"/>
      <c r="AN498" s="83"/>
    </row>
    <row r="499" spans="2:40" ht="15.75" customHeight="1">
      <c r="B499" s="83"/>
      <c r="C499" s="80"/>
      <c r="D499" s="80"/>
      <c r="E499" s="80"/>
      <c r="F499" s="188"/>
      <c r="G499" s="80"/>
      <c r="H499" s="80"/>
      <c r="I499" s="80"/>
      <c r="J499" s="187"/>
      <c r="K499" s="80"/>
      <c r="L499" s="80"/>
      <c r="M499" s="80"/>
      <c r="N499" s="80"/>
      <c r="O499" s="80"/>
      <c r="P499" s="80"/>
      <c r="Q499" s="80"/>
      <c r="R499" s="80"/>
      <c r="S499" s="80"/>
      <c r="T499" s="83"/>
      <c r="U499" s="85"/>
      <c r="V499" s="85"/>
      <c r="W499" s="85"/>
      <c r="X499" s="85"/>
      <c r="Y499" s="85"/>
      <c r="Z499" s="85"/>
      <c r="AA499" s="85"/>
      <c r="AB499" s="85"/>
      <c r="AC499" s="85"/>
      <c r="AD499" s="85"/>
      <c r="AE499" s="85"/>
      <c r="AF499" s="85"/>
      <c r="AG499" s="85"/>
      <c r="AH499" s="85"/>
      <c r="AI499" s="85"/>
      <c r="AJ499" s="85"/>
      <c r="AK499" s="83"/>
      <c r="AL499" s="83"/>
      <c r="AM499" s="83"/>
      <c r="AN499" s="83"/>
    </row>
    <row r="500" spans="2:40" ht="15.75" customHeight="1">
      <c r="B500" s="83"/>
      <c r="C500" s="80"/>
      <c r="D500" s="80"/>
      <c r="E500" s="80"/>
      <c r="F500" s="188"/>
      <c r="G500" s="80"/>
      <c r="H500" s="80"/>
      <c r="I500" s="80"/>
      <c r="J500" s="187"/>
      <c r="K500" s="80"/>
      <c r="L500" s="80"/>
      <c r="M500" s="80"/>
      <c r="N500" s="80"/>
      <c r="O500" s="80"/>
      <c r="P500" s="80"/>
      <c r="Q500" s="80"/>
      <c r="R500" s="80"/>
      <c r="S500" s="80"/>
      <c r="T500" s="83"/>
      <c r="U500" s="85"/>
      <c r="V500" s="85"/>
      <c r="W500" s="85"/>
      <c r="X500" s="85"/>
      <c r="Y500" s="85"/>
      <c r="Z500" s="85"/>
      <c r="AA500" s="85"/>
      <c r="AB500" s="85"/>
      <c r="AC500" s="85"/>
      <c r="AD500" s="85"/>
      <c r="AE500" s="85"/>
      <c r="AF500" s="85"/>
      <c r="AG500" s="85"/>
      <c r="AH500" s="85"/>
      <c r="AI500" s="85"/>
      <c r="AJ500" s="85"/>
      <c r="AK500" s="83"/>
      <c r="AL500" s="83"/>
      <c r="AM500" s="83"/>
      <c r="AN500" s="83"/>
    </row>
    <row r="501" spans="2:40" ht="15.75" customHeight="1">
      <c r="B501" s="83"/>
      <c r="C501" s="80"/>
      <c r="D501" s="80"/>
      <c r="E501" s="80"/>
      <c r="F501" s="188"/>
      <c r="G501" s="80"/>
      <c r="H501" s="80"/>
      <c r="I501" s="80"/>
      <c r="J501" s="187"/>
      <c r="K501" s="80"/>
      <c r="L501" s="80"/>
      <c r="M501" s="80"/>
      <c r="N501" s="80"/>
      <c r="O501" s="80"/>
      <c r="P501" s="80"/>
      <c r="Q501" s="80"/>
      <c r="R501" s="80"/>
      <c r="S501" s="80"/>
      <c r="T501" s="83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85"/>
      <c r="AJ501" s="85"/>
      <c r="AK501" s="83"/>
      <c r="AL501" s="83"/>
      <c r="AM501" s="83"/>
      <c r="AN501" s="83"/>
    </row>
    <row r="502" spans="2:40" ht="15.75" customHeight="1">
      <c r="B502" s="83"/>
      <c r="C502" s="80"/>
      <c r="D502" s="80"/>
      <c r="E502" s="80"/>
      <c r="F502" s="188"/>
      <c r="G502" s="80"/>
      <c r="H502" s="80"/>
      <c r="I502" s="80"/>
      <c r="J502" s="187"/>
      <c r="K502" s="80"/>
      <c r="L502" s="80"/>
      <c r="M502" s="80"/>
      <c r="N502" s="80"/>
      <c r="O502" s="80"/>
      <c r="P502" s="80"/>
      <c r="Q502" s="80"/>
      <c r="R502" s="80"/>
      <c r="S502" s="80"/>
      <c r="T502" s="83"/>
      <c r="U502" s="85"/>
      <c r="V502" s="85"/>
      <c r="W502" s="85"/>
      <c r="X502" s="85"/>
      <c r="Y502" s="85"/>
      <c r="Z502" s="85"/>
      <c r="AA502" s="85"/>
      <c r="AB502" s="85"/>
      <c r="AC502" s="85"/>
      <c r="AD502" s="85"/>
      <c r="AE502" s="85"/>
      <c r="AF502" s="85"/>
      <c r="AG502" s="85"/>
      <c r="AH502" s="85"/>
      <c r="AI502" s="85"/>
      <c r="AJ502" s="85"/>
      <c r="AK502" s="83"/>
      <c r="AL502" s="83"/>
      <c r="AM502" s="83"/>
      <c r="AN502" s="83"/>
    </row>
    <row r="503" spans="2:40" ht="15.75" customHeight="1">
      <c r="B503" s="83"/>
      <c r="C503" s="80"/>
      <c r="D503" s="80"/>
      <c r="E503" s="80"/>
      <c r="F503" s="188"/>
      <c r="G503" s="80"/>
      <c r="H503" s="80"/>
      <c r="I503" s="80"/>
      <c r="J503" s="187"/>
      <c r="K503" s="80"/>
      <c r="L503" s="80"/>
      <c r="M503" s="80"/>
      <c r="N503" s="80"/>
      <c r="O503" s="80"/>
      <c r="P503" s="80"/>
      <c r="Q503" s="80"/>
      <c r="R503" s="80"/>
      <c r="S503" s="80"/>
      <c r="T503" s="83"/>
      <c r="U503" s="85"/>
      <c r="V503" s="85"/>
      <c r="W503" s="85"/>
      <c r="X503" s="85"/>
      <c r="Y503" s="85"/>
      <c r="Z503" s="85"/>
      <c r="AA503" s="85"/>
      <c r="AB503" s="85"/>
      <c r="AC503" s="85"/>
      <c r="AD503" s="85"/>
      <c r="AE503" s="85"/>
      <c r="AF503" s="85"/>
      <c r="AG503" s="85"/>
      <c r="AH503" s="85"/>
      <c r="AI503" s="85"/>
      <c r="AJ503" s="85"/>
      <c r="AK503" s="83"/>
      <c r="AL503" s="83"/>
      <c r="AM503" s="83"/>
      <c r="AN503" s="83"/>
    </row>
    <row r="504" spans="2:40" ht="15.75" customHeight="1">
      <c r="B504" s="83"/>
      <c r="C504" s="80"/>
      <c r="D504" s="80"/>
      <c r="E504" s="80"/>
      <c r="F504" s="188"/>
      <c r="G504" s="80"/>
      <c r="H504" s="80"/>
      <c r="I504" s="80"/>
      <c r="J504" s="187"/>
      <c r="K504" s="80"/>
      <c r="L504" s="80"/>
      <c r="M504" s="80"/>
      <c r="N504" s="80"/>
      <c r="O504" s="80"/>
      <c r="P504" s="80"/>
      <c r="Q504" s="80"/>
      <c r="R504" s="80"/>
      <c r="S504" s="80"/>
      <c r="T504" s="83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3"/>
      <c r="AL504" s="83"/>
      <c r="AM504" s="83"/>
      <c r="AN504" s="83"/>
    </row>
    <row r="505" spans="2:40" ht="15.75" customHeight="1">
      <c r="B505" s="83"/>
      <c r="C505" s="80"/>
      <c r="D505" s="80"/>
      <c r="E505" s="80"/>
      <c r="F505" s="188"/>
      <c r="G505" s="80"/>
      <c r="H505" s="80"/>
      <c r="I505" s="80"/>
      <c r="J505" s="187"/>
      <c r="K505" s="80"/>
      <c r="L505" s="80"/>
      <c r="M505" s="80"/>
      <c r="N505" s="80"/>
      <c r="O505" s="80"/>
      <c r="P505" s="80"/>
      <c r="Q505" s="80"/>
      <c r="R505" s="80"/>
      <c r="S505" s="80"/>
      <c r="T505" s="83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3"/>
      <c r="AL505" s="83"/>
      <c r="AM505" s="83"/>
      <c r="AN505" s="83"/>
    </row>
    <row r="506" spans="2:40" ht="15.75" customHeight="1">
      <c r="B506" s="83"/>
      <c r="C506" s="80"/>
      <c r="D506" s="80"/>
      <c r="E506" s="80"/>
      <c r="F506" s="188"/>
      <c r="G506" s="80"/>
      <c r="H506" s="80"/>
      <c r="I506" s="80"/>
      <c r="J506" s="187"/>
      <c r="K506" s="80"/>
      <c r="L506" s="80"/>
      <c r="M506" s="80"/>
      <c r="N506" s="80"/>
      <c r="O506" s="80"/>
      <c r="P506" s="80"/>
      <c r="Q506" s="80"/>
      <c r="R506" s="80"/>
      <c r="S506" s="80"/>
      <c r="T506" s="83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3"/>
      <c r="AL506" s="83"/>
      <c r="AM506" s="83"/>
      <c r="AN506" s="83"/>
    </row>
    <row r="507" spans="2:40" ht="15.75" customHeight="1">
      <c r="B507" s="83"/>
      <c r="C507" s="80"/>
      <c r="D507" s="80"/>
      <c r="E507" s="80"/>
      <c r="F507" s="188"/>
      <c r="G507" s="80"/>
      <c r="H507" s="80"/>
      <c r="I507" s="80"/>
      <c r="J507" s="187"/>
      <c r="K507" s="80"/>
      <c r="L507" s="80"/>
      <c r="M507" s="80"/>
      <c r="N507" s="80"/>
      <c r="O507" s="80"/>
      <c r="P507" s="80"/>
      <c r="Q507" s="80"/>
      <c r="R507" s="80"/>
      <c r="S507" s="80"/>
      <c r="T507" s="83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3"/>
      <c r="AL507" s="83"/>
      <c r="AM507" s="83"/>
      <c r="AN507" s="83"/>
    </row>
    <row r="508" spans="2:40" ht="15.75" customHeight="1">
      <c r="B508" s="83"/>
      <c r="C508" s="80"/>
      <c r="D508" s="80"/>
      <c r="E508" s="80"/>
      <c r="F508" s="188"/>
      <c r="G508" s="80"/>
      <c r="H508" s="80"/>
      <c r="I508" s="80"/>
      <c r="J508" s="187"/>
      <c r="K508" s="80"/>
      <c r="L508" s="80"/>
      <c r="M508" s="80"/>
      <c r="N508" s="80"/>
      <c r="O508" s="80"/>
      <c r="P508" s="80"/>
      <c r="Q508" s="80"/>
      <c r="R508" s="80"/>
      <c r="S508" s="80"/>
      <c r="T508" s="83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3"/>
      <c r="AL508" s="83"/>
      <c r="AM508" s="83"/>
      <c r="AN508" s="83"/>
    </row>
    <row r="509" spans="2:40" ht="15.75" customHeight="1">
      <c r="B509" s="83"/>
      <c r="C509" s="80"/>
      <c r="D509" s="80"/>
      <c r="E509" s="80"/>
      <c r="F509" s="188"/>
      <c r="G509" s="80"/>
      <c r="H509" s="80"/>
      <c r="I509" s="80"/>
      <c r="J509" s="187"/>
      <c r="K509" s="80"/>
      <c r="L509" s="80"/>
      <c r="M509" s="80"/>
      <c r="N509" s="80"/>
      <c r="O509" s="80"/>
      <c r="P509" s="80"/>
      <c r="Q509" s="80"/>
      <c r="R509" s="80"/>
      <c r="S509" s="80"/>
      <c r="T509" s="83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3"/>
      <c r="AL509" s="83"/>
      <c r="AM509" s="83"/>
      <c r="AN509" s="83"/>
    </row>
    <row r="510" spans="2:40" ht="15.75" customHeight="1">
      <c r="B510" s="83"/>
      <c r="C510" s="80"/>
      <c r="D510" s="80"/>
      <c r="E510" s="80"/>
      <c r="F510" s="188"/>
      <c r="G510" s="80"/>
      <c r="H510" s="80"/>
      <c r="I510" s="80"/>
      <c r="J510" s="187"/>
      <c r="K510" s="80"/>
      <c r="L510" s="80"/>
      <c r="M510" s="80"/>
      <c r="N510" s="80"/>
      <c r="O510" s="80"/>
      <c r="P510" s="80"/>
      <c r="Q510" s="80"/>
      <c r="R510" s="80"/>
      <c r="S510" s="80"/>
      <c r="T510" s="83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3"/>
      <c r="AL510" s="83"/>
      <c r="AM510" s="83"/>
      <c r="AN510" s="83"/>
    </row>
    <row r="511" spans="2:40" ht="15.75" customHeight="1">
      <c r="B511" s="83"/>
      <c r="C511" s="80"/>
      <c r="D511" s="80"/>
      <c r="E511" s="80"/>
      <c r="F511" s="188"/>
      <c r="G511" s="80"/>
      <c r="H511" s="80"/>
      <c r="I511" s="80"/>
      <c r="J511" s="187"/>
      <c r="K511" s="80"/>
      <c r="L511" s="80"/>
      <c r="M511" s="80"/>
      <c r="N511" s="80"/>
      <c r="O511" s="80"/>
      <c r="P511" s="80"/>
      <c r="Q511" s="80"/>
      <c r="R511" s="80"/>
      <c r="S511" s="80"/>
      <c r="T511" s="83"/>
      <c r="U511" s="85"/>
      <c r="V511" s="85"/>
      <c r="W511" s="85"/>
      <c r="X511" s="85"/>
      <c r="Y511" s="85"/>
      <c r="Z511" s="85"/>
      <c r="AA511" s="85"/>
      <c r="AB511" s="85"/>
      <c r="AC511" s="85"/>
      <c r="AD511" s="85"/>
      <c r="AE511" s="85"/>
      <c r="AF511" s="85"/>
      <c r="AG511" s="85"/>
      <c r="AH511" s="85"/>
      <c r="AI511" s="85"/>
      <c r="AJ511" s="85"/>
      <c r="AK511" s="83"/>
      <c r="AL511" s="83"/>
      <c r="AM511" s="83"/>
      <c r="AN511" s="83"/>
    </row>
    <row r="512" spans="2:40" ht="15.75" customHeight="1">
      <c r="B512" s="83"/>
      <c r="C512" s="80"/>
      <c r="D512" s="80"/>
      <c r="E512" s="80"/>
      <c r="F512" s="188"/>
      <c r="G512" s="80"/>
      <c r="H512" s="80"/>
      <c r="I512" s="80"/>
      <c r="J512" s="187"/>
      <c r="K512" s="80"/>
      <c r="L512" s="80"/>
      <c r="M512" s="80"/>
      <c r="N512" s="80"/>
      <c r="O512" s="80"/>
      <c r="P512" s="80"/>
      <c r="Q512" s="80"/>
      <c r="R512" s="80"/>
      <c r="S512" s="80"/>
      <c r="T512" s="83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85"/>
      <c r="AJ512" s="85"/>
      <c r="AK512" s="83"/>
      <c r="AL512" s="83"/>
      <c r="AM512" s="83"/>
      <c r="AN512" s="83"/>
    </row>
    <row r="513" spans="2:40" ht="15.75" customHeight="1">
      <c r="B513" s="83"/>
      <c r="C513" s="80"/>
      <c r="D513" s="80"/>
      <c r="E513" s="80"/>
      <c r="F513" s="188"/>
      <c r="G513" s="80"/>
      <c r="H513" s="80"/>
      <c r="I513" s="80"/>
      <c r="J513" s="187"/>
      <c r="K513" s="80"/>
      <c r="L513" s="80"/>
      <c r="M513" s="80"/>
      <c r="N513" s="80"/>
      <c r="O513" s="80"/>
      <c r="P513" s="80"/>
      <c r="Q513" s="80"/>
      <c r="R513" s="80"/>
      <c r="S513" s="80"/>
      <c r="T513" s="83"/>
      <c r="U513" s="85"/>
      <c r="V513" s="85"/>
      <c r="W513" s="85"/>
      <c r="X513" s="85"/>
      <c r="Y513" s="85"/>
      <c r="Z513" s="85"/>
      <c r="AA513" s="85"/>
      <c r="AB513" s="85"/>
      <c r="AC513" s="85"/>
      <c r="AD513" s="85"/>
      <c r="AE513" s="85"/>
      <c r="AF513" s="85"/>
      <c r="AG513" s="85"/>
      <c r="AH513" s="85"/>
      <c r="AI513" s="85"/>
      <c r="AJ513" s="85"/>
      <c r="AK513" s="83"/>
      <c r="AL513" s="83"/>
      <c r="AM513" s="83"/>
      <c r="AN513" s="83"/>
    </row>
    <row r="514" spans="2:40" ht="15.75" customHeight="1">
      <c r="B514" s="83"/>
      <c r="C514" s="80"/>
      <c r="D514" s="80"/>
      <c r="E514" s="80"/>
      <c r="F514" s="188"/>
      <c r="G514" s="80"/>
      <c r="H514" s="80"/>
      <c r="I514" s="80"/>
      <c r="J514" s="187"/>
      <c r="K514" s="80"/>
      <c r="L514" s="80"/>
      <c r="M514" s="80"/>
      <c r="N514" s="80"/>
      <c r="O514" s="80"/>
      <c r="P514" s="80"/>
      <c r="Q514" s="80"/>
      <c r="R514" s="80"/>
      <c r="S514" s="80"/>
      <c r="T514" s="83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3"/>
      <c r="AL514" s="83"/>
      <c r="AM514" s="83"/>
      <c r="AN514" s="83"/>
    </row>
    <row r="515" spans="2:40" ht="15.75" customHeight="1">
      <c r="B515" s="83"/>
      <c r="C515" s="80"/>
      <c r="D515" s="80"/>
      <c r="E515" s="80"/>
      <c r="F515" s="188"/>
      <c r="G515" s="80"/>
      <c r="H515" s="80"/>
      <c r="I515" s="80"/>
      <c r="J515" s="187"/>
      <c r="K515" s="80"/>
      <c r="L515" s="80"/>
      <c r="M515" s="80"/>
      <c r="N515" s="80"/>
      <c r="O515" s="80"/>
      <c r="P515" s="80"/>
      <c r="Q515" s="80"/>
      <c r="R515" s="80"/>
      <c r="S515" s="80"/>
      <c r="T515" s="83"/>
      <c r="U515" s="85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3"/>
      <c r="AL515" s="83"/>
      <c r="AM515" s="83"/>
      <c r="AN515" s="83"/>
    </row>
    <row r="516" spans="2:40" ht="15.75" customHeight="1">
      <c r="B516" s="83"/>
      <c r="C516" s="80"/>
      <c r="D516" s="80"/>
      <c r="E516" s="80"/>
      <c r="F516" s="188"/>
      <c r="G516" s="80"/>
      <c r="H516" s="80"/>
      <c r="I516" s="80"/>
      <c r="J516" s="187"/>
      <c r="K516" s="80"/>
      <c r="L516" s="80"/>
      <c r="M516" s="80"/>
      <c r="N516" s="80"/>
      <c r="O516" s="80"/>
      <c r="P516" s="80"/>
      <c r="Q516" s="80"/>
      <c r="R516" s="80"/>
      <c r="S516" s="80"/>
      <c r="T516" s="83"/>
      <c r="U516" s="85"/>
      <c r="V516" s="85"/>
      <c r="W516" s="85"/>
      <c r="X516" s="85"/>
      <c r="Y516" s="85"/>
      <c r="Z516" s="85"/>
      <c r="AA516" s="85"/>
      <c r="AB516" s="85"/>
      <c r="AC516" s="85"/>
      <c r="AD516" s="85"/>
      <c r="AE516" s="85"/>
      <c r="AF516" s="85"/>
      <c r="AG516" s="85"/>
      <c r="AH516" s="85"/>
      <c r="AI516" s="85"/>
      <c r="AJ516" s="85"/>
      <c r="AK516" s="83"/>
      <c r="AL516" s="83"/>
      <c r="AM516" s="83"/>
      <c r="AN516" s="83"/>
    </row>
    <row r="517" spans="2:40" ht="15.75" customHeight="1">
      <c r="B517" s="83"/>
      <c r="C517" s="80"/>
      <c r="D517" s="80"/>
      <c r="E517" s="80"/>
      <c r="F517" s="188"/>
      <c r="G517" s="80"/>
      <c r="H517" s="80"/>
      <c r="I517" s="80"/>
      <c r="J517" s="187"/>
      <c r="K517" s="80"/>
      <c r="L517" s="80"/>
      <c r="M517" s="80"/>
      <c r="N517" s="80"/>
      <c r="O517" s="80"/>
      <c r="P517" s="80"/>
      <c r="Q517" s="80"/>
      <c r="R517" s="80"/>
      <c r="S517" s="80"/>
      <c r="T517" s="83"/>
      <c r="U517" s="85"/>
      <c r="V517" s="85"/>
      <c r="W517" s="85"/>
      <c r="X517" s="85"/>
      <c r="Y517" s="85"/>
      <c r="Z517" s="85"/>
      <c r="AA517" s="85"/>
      <c r="AB517" s="85"/>
      <c r="AC517" s="85"/>
      <c r="AD517" s="85"/>
      <c r="AE517" s="85"/>
      <c r="AF517" s="85"/>
      <c r="AG517" s="85"/>
      <c r="AH517" s="85"/>
      <c r="AI517" s="85"/>
      <c r="AJ517" s="85"/>
      <c r="AK517" s="83"/>
      <c r="AL517" s="83"/>
      <c r="AM517" s="83"/>
      <c r="AN517" s="83"/>
    </row>
    <row r="518" spans="2:40" ht="15.75" customHeight="1">
      <c r="B518" s="83"/>
      <c r="C518" s="80"/>
      <c r="D518" s="80"/>
      <c r="E518" s="80"/>
      <c r="F518" s="188"/>
      <c r="G518" s="80"/>
      <c r="H518" s="80"/>
      <c r="I518" s="80"/>
      <c r="J518" s="187"/>
      <c r="K518" s="80"/>
      <c r="L518" s="80"/>
      <c r="M518" s="80"/>
      <c r="N518" s="80"/>
      <c r="O518" s="80"/>
      <c r="P518" s="80"/>
      <c r="Q518" s="80"/>
      <c r="R518" s="80"/>
      <c r="S518" s="80"/>
      <c r="T518" s="83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3"/>
      <c r="AL518" s="83"/>
      <c r="AM518" s="83"/>
      <c r="AN518" s="83"/>
    </row>
    <row r="519" spans="2:40" ht="15.75" customHeight="1">
      <c r="B519" s="83"/>
      <c r="C519" s="80"/>
      <c r="D519" s="80"/>
      <c r="E519" s="80"/>
      <c r="F519" s="188"/>
      <c r="G519" s="80"/>
      <c r="H519" s="80"/>
      <c r="I519" s="80"/>
      <c r="J519" s="187"/>
      <c r="K519" s="80"/>
      <c r="L519" s="80"/>
      <c r="M519" s="80"/>
      <c r="N519" s="80"/>
      <c r="O519" s="80"/>
      <c r="P519" s="80"/>
      <c r="Q519" s="80"/>
      <c r="R519" s="80"/>
      <c r="S519" s="80"/>
      <c r="T519" s="83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3"/>
      <c r="AL519" s="83"/>
      <c r="AM519" s="83"/>
      <c r="AN519" s="83"/>
    </row>
    <row r="520" spans="2:40" ht="15.75" customHeight="1">
      <c r="B520" s="83"/>
      <c r="C520" s="80"/>
      <c r="D520" s="80"/>
      <c r="E520" s="80"/>
      <c r="F520" s="188"/>
      <c r="G520" s="80"/>
      <c r="H520" s="80"/>
      <c r="I520" s="80"/>
      <c r="J520" s="187"/>
      <c r="K520" s="80"/>
      <c r="L520" s="80"/>
      <c r="M520" s="80"/>
      <c r="N520" s="80"/>
      <c r="O520" s="80"/>
      <c r="P520" s="80"/>
      <c r="Q520" s="80"/>
      <c r="R520" s="80"/>
      <c r="S520" s="80"/>
      <c r="T520" s="83"/>
      <c r="U520" s="85"/>
      <c r="V520" s="85"/>
      <c r="W520" s="85"/>
      <c r="X520" s="85"/>
      <c r="Y520" s="85"/>
      <c r="Z520" s="85"/>
      <c r="AA520" s="85"/>
      <c r="AB520" s="85"/>
      <c r="AC520" s="85"/>
      <c r="AD520" s="85"/>
      <c r="AE520" s="85"/>
      <c r="AF520" s="85"/>
      <c r="AG520" s="85"/>
      <c r="AH520" s="85"/>
      <c r="AI520" s="85"/>
      <c r="AJ520" s="85"/>
      <c r="AK520" s="83"/>
      <c r="AL520" s="83"/>
      <c r="AM520" s="83"/>
      <c r="AN520" s="83"/>
    </row>
    <row r="521" spans="2:40" ht="15.75" customHeight="1">
      <c r="B521" s="83"/>
      <c r="C521" s="80"/>
      <c r="D521" s="80"/>
      <c r="E521" s="80"/>
      <c r="F521" s="188"/>
      <c r="G521" s="80"/>
      <c r="H521" s="80"/>
      <c r="I521" s="80"/>
      <c r="J521" s="187"/>
      <c r="K521" s="80"/>
      <c r="L521" s="80"/>
      <c r="M521" s="80"/>
      <c r="N521" s="80"/>
      <c r="O521" s="80"/>
      <c r="P521" s="80"/>
      <c r="Q521" s="80"/>
      <c r="R521" s="80"/>
      <c r="S521" s="80"/>
      <c r="T521" s="83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3"/>
      <c r="AL521" s="83"/>
      <c r="AM521" s="83"/>
      <c r="AN521" s="83"/>
    </row>
    <row r="522" spans="2:40" ht="15.75" customHeight="1">
      <c r="B522" s="83"/>
      <c r="C522" s="80"/>
      <c r="D522" s="80"/>
      <c r="E522" s="80"/>
      <c r="F522" s="188"/>
      <c r="G522" s="80"/>
      <c r="H522" s="80"/>
      <c r="I522" s="80"/>
      <c r="J522" s="187"/>
      <c r="K522" s="80"/>
      <c r="L522" s="80"/>
      <c r="M522" s="80"/>
      <c r="N522" s="80"/>
      <c r="O522" s="80"/>
      <c r="P522" s="80"/>
      <c r="Q522" s="80"/>
      <c r="R522" s="80"/>
      <c r="S522" s="80"/>
      <c r="T522" s="83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3"/>
      <c r="AL522" s="83"/>
      <c r="AM522" s="83"/>
      <c r="AN522" s="83"/>
    </row>
    <row r="523" spans="2:40" ht="15.75" customHeight="1">
      <c r="B523" s="83"/>
      <c r="C523" s="80"/>
      <c r="D523" s="80"/>
      <c r="E523" s="80"/>
      <c r="F523" s="188"/>
      <c r="G523" s="80"/>
      <c r="H523" s="80"/>
      <c r="I523" s="80"/>
      <c r="J523" s="187"/>
      <c r="K523" s="80"/>
      <c r="L523" s="80"/>
      <c r="M523" s="80"/>
      <c r="N523" s="80"/>
      <c r="O523" s="80"/>
      <c r="P523" s="80"/>
      <c r="Q523" s="80"/>
      <c r="R523" s="80"/>
      <c r="S523" s="80"/>
      <c r="T523" s="83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3"/>
      <c r="AL523" s="83"/>
      <c r="AM523" s="83"/>
      <c r="AN523" s="83"/>
    </row>
    <row r="524" spans="2:40" ht="15.75" customHeight="1">
      <c r="B524" s="83"/>
      <c r="C524" s="80"/>
      <c r="D524" s="80"/>
      <c r="E524" s="80"/>
      <c r="F524" s="188"/>
      <c r="G524" s="80"/>
      <c r="H524" s="80"/>
      <c r="I524" s="80"/>
      <c r="J524" s="187"/>
      <c r="K524" s="80"/>
      <c r="L524" s="80"/>
      <c r="M524" s="80"/>
      <c r="N524" s="80"/>
      <c r="O524" s="80"/>
      <c r="P524" s="80"/>
      <c r="Q524" s="80"/>
      <c r="R524" s="80"/>
      <c r="S524" s="80"/>
      <c r="T524" s="83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3"/>
      <c r="AL524" s="83"/>
      <c r="AM524" s="83"/>
      <c r="AN524" s="83"/>
    </row>
    <row r="525" spans="2:40" ht="15.75" customHeight="1">
      <c r="B525" s="83"/>
      <c r="C525" s="80"/>
      <c r="D525" s="80"/>
      <c r="E525" s="80"/>
      <c r="F525" s="188"/>
      <c r="G525" s="80"/>
      <c r="H525" s="80"/>
      <c r="I525" s="80"/>
      <c r="J525" s="187"/>
      <c r="K525" s="80"/>
      <c r="L525" s="80"/>
      <c r="M525" s="80"/>
      <c r="N525" s="80"/>
      <c r="O525" s="80"/>
      <c r="P525" s="80"/>
      <c r="Q525" s="80"/>
      <c r="R525" s="80"/>
      <c r="S525" s="80"/>
      <c r="T525" s="83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3"/>
      <c r="AL525" s="83"/>
      <c r="AM525" s="83"/>
      <c r="AN525" s="83"/>
    </row>
    <row r="526" spans="2:40" ht="15.75" customHeight="1">
      <c r="B526" s="83"/>
      <c r="C526" s="80"/>
      <c r="D526" s="80"/>
      <c r="E526" s="80"/>
      <c r="F526" s="188"/>
      <c r="G526" s="80"/>
      <c r="H526" s="80"/>
      <c r="I526" s="80"/>
      <c r="J526" s="187"/>
      <c r="K526" s="80"/>
      <c r="L526" s="80"/>
      <c r="M526" s="80"/>
      <c r="N526" s="80"/>
      <c r="O526" s="80"/>
      <c r="P526" s="80"/>
      <c r="Q526" s="80"/>
      <c r="R526" s="80"/>
      <c r="S526" s="80"/>
      <c r="T526" s="83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3"/>
      <c r="AL526" s="83"/>
      <c r="AM526" s="83"/>
      <c r="AN526" s="83"/>
    </row>
    <row r="527" spans="2:40" ht="15.75" customHeight="1">
      <c r="B527" s="83"/>
      <c r="C527" s="80"/>
      <c r="D527" s="80"/>
      <c r="E527" s="80"/>
      <c r="F527" s="188"/>
      <c r="G527" s="80"/>
      <c r="H527" s="80"/>
      <c r="I527" s="80"/>
      <c r="J527" s="187"/>
      <c r="K527" s="80"/>
      <c r="L527" s="80"/>
      <c r="M527" s="80"/>
      <c r="N527" s="80"/>
      <c r="O527" s="80"/>
      <c r="P527" s="80"/>
      <c r="Q527" s="80"/>
      <c r="R527" s="80"/>
      <c r="S527" s="80"/>
      <c r="T527" s="83"/>
      <c r="U527" s="85"/>
      <c r="V527" s="85"/>
      <c r="W527" s="85"/>
      <c r="X527" s="85"/>
      <c r="Y527" s="85"/>
      <c r="Z527" s="85"/>
      <c r="AA527" s="85"/>
      <c r="AB527" s="85"/>
      <c r="AC527" s="85"/>
      <c r="AD527" s="85"/>
      <c r="AE527" s="85"/>
      <c r="AF527" s="85"/>
      <c r="AG527" s="85"/>
      <c r="AH527" s="85"/>
      <c r="AI527" s="85"/>
      <c r="AJ527" s="85"/>
      <c r="AK527" s="83"/>
      <c r="AL527" s="83"/>
      <c r="AM527" s="83"/>
      <c r="AN527" s="83"/>
    </row>
    <row r="528" spans="2:40" ht="15.75" customHeight="1">
      <c r="B528" s="83"/>
      <c r="C528" s="80"/>
      <c r="D528" s="80"/>
      <c r="E528" s="80"/>
      <c r="F528" s="188"/>
      <c r="G528" s="80"/>
      <c r="H528" s="80"/>
      <c r="I528" s="80"/>
      <c r="J528" s="187"/>
      <c r="K528" s="80"/>
      <c r="L528" s="80"/>
      <c r="M528" s="80"/>
      <c r="N528" s="80"/>
      <c r="O528" s="80"/>
      <c r="P528" s="80"/>
      <c r="Q528" s="80"/>
      <c r="R528" s="80"/>
      <c r="S528" s="80"/>
      <c r="T528" s="83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3"/>
      <c r="AL528" s="83"/>
      <c r="AM528" s="83"/>
      <c r="AN528" s="83"/>
    </row>
    <row r="529" spans="2:40" ht="15.75" customHeight="1">
      <c r="B529" s="83"/>
      <c r="C529" s="80"/>
      <c r="D529" s="80"/>
      <c r="E529" s="80"/>
      <c r="F529" s="188"/>
      <c r="G529" s="80"/>
      <c r="H529" s="80"/>
      <c r="I529" s="80"/>
      <c r="J529" s="187"/>
      <c r="K529" s="80"/>
      <c r="L529" s="80"/>
      <c r="M529" s="80"/>
      <c r="N529" s="80"/>
      <c r="O529" s="80"/>
      <c r="P529" s="80"/>
      <c r="Q529" s="80"/>
      <c r="R529" s="80"/>
      <c r="S529" s="80"/>
      <c r="T529" s="83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3"/>
      <c r="AL529" s="83"/>
      <c r="AM529" s="83"/>
      <c r="AN529" s="83"/>
    </row>
    <row r="530" spans="2:40" ht="15.75" customHeight="1">
      <c r="B530" s="83"/>
      <c r="C530" s="80"/>
      <c r="D530" s="80"/>
      <c r="E530" s="80"/>
      <c r="F530" s="188"/>
      <c r="G530" s="80"/>
      <c r="H530" s="80"/>
      <c r="I530" s="80"/>
      <c r="J530" s="187"/>
      <c r="K530" s="80"/>
      <c r="L530" s="80"/>
      <c r="M530" s="80"/>
      <c r="N530" s="80"/>
      <c r="O530" s="80"/>
      <c r="P530" s="80"/>
      <c r="Q530" s="80"/>
      <c r="R530" s="80"/>
      <c r="S530" s="80"/>
      <c r="T530" s="83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3"/>
      <c r="AL530" s="83"/>
      <c r="AM530" s="83"/>
      <c r="AN530" s="83"/>
    </row>
    <row r="531" spans="2:40" ht="15.75" customHeight="1">
      <c r="B531" s="83"/>
      <c r="C531" s="80"/>
      <c r="D531" s="80"/>
      <c r="E531" s="80"/>
      <c r="F531" s="188"/>
      <c r="G531" s="80"/>
      <c r="H531" s="80"/>
      <c r="I531" s="80"/>
      <c r="J531" s="187"/>
      <c r="K531" s="80"/>
      <c r="L531" s="80"/>
      <c r="M531" s="80"/>
      <c r="N531" s="80"/>
      <c r="O531" s="80"/>
      <c r="P531" s="80"/>
      <c r="Q531" s="80"/>
      <c r="R531" s="80"/>
      <c r="S531" s="80"/>
      <c r="T531" s="83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3"/>
      <c r="AL531" s="83"/>
      <c r="AM531" s="83"/>
      <c r="AN531" s="83"/>
    </row>
    <row r="532" spans="2:40" ht="15.75" customHeight="1">
      <c r="B532" s="83"/>
      <c r="C532" s="80"/>
      <c r="D532" s="80"/>
      <c r="E532" s="80"/>
      <c r="F532" s="188"/>
      <c r="G532" s="80"/>
      <c r="H532" s="80"/>
      <c r="I532" s="80"/>
      <c r="J532" s="187"/>
      <c r="K532" s="80"/>
      <c r="L532" s="80"/>
      <c r="M532" s="80"/>
      <c r="N532" s="80"/>
      <c r="O532" s="80"/>
      <c r="P532" s="80"/>
      <c r="Q532" s="80"/>
      <c r="R532" s="80"/>
      <c r="S532" s="80"/>
      <c r="T532" s="83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3"/>
      <c r="AL532" s="83"/>
      <c r="AM532" s="83"/>
      <c r="AN532" s="83"/>
    </row>
    <row r="533" spans="2:40" ht="15.75" customHeight="1">
      <c r="B533" s="83"/>
      <c r="C533" s="80"/>
      <c r="D533" s="80"/>
      <c r="E533" s="80"/>
      <c r="F533" s="188"/>
      <c r="G533" s="80"/>
      <c r="H533" s="80"/>
      <c r="I533" s="80"/>
      <c r="J533" s="187"/>
      <c r="K533" s="80"/>
      <c r="L533" s="80"/>
      <c r="M533" s="80"/>
      <c r="N533" s="80"/>
      <c r="O533" s="80"/>
      <c r="P533" s="80"/>
      <c r="Q533" s="80"/>
      <c r="R533" s="80"/>
      <c r="S533" s="80"/>
      <c r="T533" s="83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3"/>
      <c r="AL533" s="83"/>
      <c r="AM533" s="83"/>
      <c r="AN533" s="83"/>
    </row>
    <row r="534" spans="2:40" ht="15.75" customHeight="1">
      <c r="B534" s="83"/>
      <c r="C534" s="80"/>
      <c r="D534" s="80"/>
      <c r="E534" s="80"/>
      <c r="F534" s="188"/>
      <c r="G534" s="80"/>
      <c r="H534" s="80"/>
      <c r="I534" s="80"/>
      <c r="J534" s="187"/>
      <c r="K534" s="80"/>
      <c r="L534" s="80"/>
      <c r="M534" s="80"/>
      <c r="N534" s="80"/>
      <c r="O534" s="80"/>
      <c r="P534" s="80"/>
      <c r="Q534" s="80"/>
      <c r="R534" s="80"/>
      <c r="S534" s="80"/>
      <c r="T534" s="83"/>
      <c r="U534" s="85"/>
      <c r="V534" s="85"/>
      <c r="W534" s="85"/>
      <c r="X534" s="85"/>
      <c r="Y534" s="85"/>
      <c r="Z534" s="85"/>
      <c r="AA534" s="85"/>
      <c r="AB534" s="85"/>
      <c r="AC534" s="85"/>
      <c r="AD534" s="85"/>
      <c r="AE534" s="85"/>
      <c r="AF534" s="85"/>
      <c r="AG534" s="85"/>
      <c r="AH534" s="85"/>
      <c r="AI534" s="85"/>
      <c r="AJ534" s="85"/>
      <c r="AK534" s="83"/>
      <c r="AL534" s="83"/>
      <c r="AM534" s="83"/>
      <c r="AN534" s="83"/>
    </row>
    <row r="535" spans="2:40" ht="15.75" customHeight="1">
      <c r="B535" s="83"/>
      <c r="C535" s="80"/>
      <c r="D535" s="80"/>
      <c r="E535" s="80"/>
      <c r="F535" s="188"/>
      <c r="G535" s="80"/>
      <c r="H535" s="80"/>
      <c r="I535" s="80"/>
      <c r="J535" s="187"/>
      <c r="K535" s="80"/>
      <c r="L535" s="80"/>
      <c r="M535" s="80"/>
      <c r="N535" s="80"/>
      <c r="O535" s="80"/>
      <c r="P535" s="80"/>
      <c r="Q535" s="80"/>
      <c r="R535" s="80"/>
      <c r="S535" s="80"/>
      <c r="T535" s="83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3"/>
      <c r="AL535" s="83"/>
      <c r="AM535" s="83"/>
      <c r="AN535" s="83"/>
    </row>
    <row r="536" spans="2:40" ht="15.75" customHeight="1">
      <c r="B536" s="83"/>
      <c r="C536" s="80"/>
      <c r="D536" s="80"/>
      <c r="E536" s="80"/>
      <c r="F536" s="188"/>
      <c r="G536" s="80"/>
      <c r="H536" s="80"/>
      <c r="I536" s="80"/>
      <c r="J536" s="187"/>
      <c r="K536" s="80"/>
      <c r="L536" s="80"/>
      <c r="M536" s="80"/>
      <c r="N536" s="80"/>
      <c r="O536" s="80"/>
      <c r="P536" s="80"/>
      <c r="Q536" s="80"/>
      <c r="R536" s="80"/>
      <c r="S536" s="80"/>
      <c r="T536" s="83"/>
      <c r="U536" s="85"/>
      <c r="V536" s="85"/>
      <c r="W536" s="85"/>
      <c r="X536" s="85"/>
      <c r="Y536" s="85"/>
      <c r="Z536" s="85"/>
      <c r="AA536" s="85"/>
      <c r="AB536" s="85"/>
      <c r="AC536" s="85"/>
      <c r="AD536" s="85"/>
      <c r="AE536" s="85"/>
      <c r="AF536" s="85"/>
      <c r="AG536" s="85"/>
      <c r="AH536" s="85"/>
      <c r="AI536" s="85"/>
      <c r="AJ536" s="85"/>
      <c r="AK536" s="83"/>
      <c r="AL536" s="83"/>
      <c r="AM536" s="83"/>
      <c r="AN536" s="83"/>
    </row>
    <row r="537" spans="2:40" ht="15.75" customHeight="1">
      <c r="B537" s="83"/>
      <c r="C537" s="80"/>
      <c r="D537" s="80"/>
      <c r="E537" s="80"/>
      <c r="F537" s="188"/>
      <c r="G537" s="80"/>
      <c r="H537" s="80"/>
      <c r="I537" s="80"/>
      <c r="J537" s="187"/>
      <c r="K537" s="80"/>
      <c r="L537" s="80"/>
      <c r="M537" s="80"/>
      <c r="N537" s="80"/>
      <c r="O537" s="80"/>
      <c r="P537" s="80"/>
      <c r="Q537" s="80"/>
      <c r="R537" s="80"/>
      <c r="S537" s="80"/>
      <c r="T537" s="83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3"/>
      <c r="AL537" s="83"/>
      <c r="AM537" s="83"/>
      <c r="AN537" s="83"/>
    </row>
    <row r="538" spans="2:40" ht="15.75" customHeight="1">
      <c r="B538" s="83"/>
      <c r="C538" s="80"/>
      <c r="D538" s="80"/>
      <c r="E538" s="80"/>
      <c r="F538" s="188"/>
      <c r="G538" s="80"/>
      <c r="H538" s="80"/>
      <c r="I538" s="80"/>
      <c r="J538" s="187"/>
      <c r="K538" s="80"/>
      <c r="L538" s="80"/>
      <c r="M538" s="80"/>
      <c r="N538" s="80"/>
      <c r="O538" s="80"/>
      <c r="P538" s="80"/>
      <c r="Q538" s="80"/>
      <c r="R538" s="80"/>
      <c r="S538" s="80"/>
      <c r="T538" s="83"/>
      <c r="U538" s="85"/>
      <c r="V538" s="85"/>
      <c r="W538" s="85"/>
      <c r="X538" s="85"/>
      <c r="Y538" s="85"/>
      <c r="Z538" s="85"/>
      <c r="AA538" s="85"/>
      <c r="AB538" s="85"/>
      <c r="AC538" s="85"/>
      <c r="AD538" s="85"/>
      <c r="AE538" s="85"/>
      <c r="AF538" s="85"/>
      <c r="AG538" s="85"/>
      <c r="AH538" s="85"/>
      <c r="AI538" s="85"/>
      <c r="AJ538" s="85"/>
      <c r="AK538" s="83"/>
      <c r="AL538" s="83"/>
      <c r="AM538" s="83"/>
      <c r="AN538" s="83"/>
    </row>
    <row r="539" spans="2:40" ht="15.75" customHeight="1">
      <c r="B539" s="83"/>
      <c r="C539" s="80"/>
      <c r="D539" s="80"/>
      <c r="E539" s="80"/>
      <c r="F539" s="188"/>
      <c r="G539" s="80"/>
      <c r="H539" s="80"/>
      <c r="I539" s="80"/>
      <c r="J539" s="187"/>
      <c r="K539" s="80"/>
      <c r="L539" s="80"/>
      <c r="M539" s="80"/>
      <c r="N539" s="80"/>
      <c r="O539" s="80"/>
      <c r="P539" s="80"/>
      <c r="Q539" s="80"/>
      <c r="R539" s="80"/>
      <c r="S539" s="80"/>
      <c r="T539" s="83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3"/>
      <c r="AL539" s="83"/>
      <c r="AM539" s="83"/>
      <c r="AN539" s="83"/>
    </row>
    <row r="540" spans="2:40" ht="15.75" customHeight="1">
      <c r="B540" s="83"/>
      <c r="C540" s="80"/>
      <c r="D540" s="80"/>
      <c r="E540" s="80"/>
      <c r="F540" s="188"/>
      <c r="G540" s="80"/>
      <c r="H540" s="80"/>
      <c r="I540" s="80"/>
      <c r="J540" s="187"/>
      <c r="K540" s="80"/>
      <c r="L540" s="80"/>
      <c r="M540" s="80"/>
      <c r="N540" s="80"/>
      <c r="O540" s="80"/>
      <c r="P540" s="80"/>
      <c r="Q540" s="80"/>
      <c r="R540" s="80"/>
      <c r="S540" s="80"/>
      <c r="T540" s="83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3"/>
      <c r="AL540" s="83"/>
      <c r="AM540" s="83"/>
      <c r="AN540" s="83"/>
    </row>
    <row r="541" spans="2:40" ht="15.75" customHeight="1">
      <c r="B541" s="83"/>
      <c r="C541" s="80"/>
      <c r="D541" s="80"/>
      <c r="E541" s="80"/>
      <c r="F541" s="188"/>
      <c r="G541" s="80"/>
      <c r="H541" s="80"/>
      <c r="I541" s="80"/>
      <c r="J541" s="187"/>
      <c r="K541" s="80"/>
      <c r="L541" s="80"/>
      <c r="M541" s="80"/>
      <c r="N541" s="80"/>
      <c r="O541" s="80"/>
      <c r="P541" s="80"/>
      <c r="Q541" s="80"/>
      <c r="R541" s="80"/>
      <c r="S541" s="80"/>
      <c r="T541" s="83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3"/>
      <c r="AL541" s="83"/>
      <c r="AM541" s="83"/>
      <c r="AN541" s="83"/>
    </row>
    <row r="542" spans="2:40" ht="15.75" customHeight="1">
      <c r="B542" s="83"/>
      <c r="C542" s="80"/>
      <c r="D542" s="80"/>
      <c r="E542" s="80"/>
      <c r="F542" s="188"/>
      <c r="G542" s="80"/>
      <c r="H542" s="80"/>
      <c r="I542" s="80"/>
      <c r="J542" s="187"/>
      <c r="K542" s="80"/>
      <c r="L542" s="80"/>
      <c r="M542" s="80"/>
      <c r="N542" s="80"/>
      <c r="O542" s="80"/>
      <c r="P542" s="80"/>
      <c r="Q542" s="80"/>
      <c r="R542" s="80"/>
      <c r="S542" s="80"/>
      <c r="T542" s="83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3"/>
      <c r="AL542" s="83"/>
      <c r="AM542" s="83"/>
      <c r="AN542" s="83"/>
    </row>
    <row r="543" spans="2:40" ht="15.75" customHeight="1">
      <c r="B543" s="83"/>
      <c r="C543" s="80"/>
      <c r="D543" s="80"/>
      <c r="E543" s="80"/>
      <c r="F543" s="188"/>
      <c r="G543" s="80"/>
      <c r="H543" s="80"/>
      <c r="I543" s="80"/>
      <c r="J543" s="187"/>
      <c r="K543" s="80"/>
      <c r="L543" s="80"/>
      <c r="M543" s="80"/>
      <c r="N543" s="80"/>
      <c r="O543" s="80"/>
      <c r="P543" s="80"/>
      <c r="Q543" s="80"/>
      <c r="R543" s="80"/>
      <c r="S543" s="80"/>
      <c r="T543" s="83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3"/>
      <c r="AL543" s="83"/>
      <c r="AM543" s="83"/>
      <c r="AN543" s="83"/>
    </row>
    <row r="544" spans="2:40" ht="15.75" customHeight="1">
      <c r="B544" s="83"/>
      <c r="C544" s="80"/>
      <c r="D544" s="80"/>
      <c r="E544" s="80"/>
      <c r="F544" s="188"/>
      <c r="G544" s="80"/>
      <c r="H544" s="80"/>
      <c r="I544" s="80"/>
      <c r="J544" s="187"/>
      <c r="K544" s="80"/>
      <c r="L544" s="80"/>
      <c r="M544" s="80"/>
      <c r="N544" s="80"/>
      <c r="O544" s="80"/>
      <c r="P544" s="80"/>
      <c r="Q544" s="80"/>
      <c r="R544" s="80"/>
      <c r="S544" s="80"/>
      <c r="T544" s="83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3"/>
      <c r="AL544" s="83"/>
      <c r="AM544" s="83"/>
      <c r="AN544" s="83"/>
    </row>
    <row r="545" spans="2:40" ht="15.75" customHeight="1">
      <c r="B545" s="83"/>
      <c r="C545" s="80"/>
      <c r="D545" s="80"/>
      <c r="E545" s="80"/>
      <c r="F545" s="188"/>
      <c r="G545" s="80"/>
      <c r="H545" s="80"/>
      <c r="I545" s="80"/>
      <c r="J545" s="187"/>
      <c r="K545" s="80"/>
      <c r="L545" s="80"/>
      <c r="M545" s="80"/>
      <c r="N545" s="80"/>
      <c r="O545" s="80"/>
      <c r="P545" s="80"/>
      <c r="Q545" s="80"/>
      <c r="R545" s="80"/>
      <c r="S545" s="80"/>
      <c r="T545" s="83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3"/>
      <c r="AL545" s="83"/>
      <c r="AM545" s="83"/>
      <c r="AN545" s="83"/>
    </row>
    <row r="546" spans="2:40" ht="15.75" customHeight="1">
      <c r="B546" s="83"/>
      <c r="C546" s="80"/>
      <c r="D546" s="80"/>
      <c r="E546" s="80"/>
      <c r="F546" s="188"/>
      <c r="G546" s="80"/>
      <c r="H546" s="80"/>
      <c r="I546" s="80"/>
      <c r="J546" s="187"/>
      <c r="K546" s="80"/>
      <c r="L546" s="80"/>
      <c r="M546" s="80"/>
      <c r="N546" s="80"/>
      <c r="O546" s="80"/>
      <c r="P546" s="80"/>
      <c r="Q546" s="80"/>
      <c r="R546" s="80"/>
      <c r="S546" s="80"/>
      <c r="T546" s="83"/>
      <c r="U546" s="85"/>
      <c r="V546" s="85"/>
      <c r="W546" s="85"/>
      <c r="X546" s="85"/>
      <c r="Y546" s="85"/>
      <c r="Z546" s="85"/>
      <c r="AA546" s="85"/>
      <c r="AB546" s="85"/>
      <c r="AC546" s="85"/>
      <c r="AD546" s="85"/>
      <c r="AE546" s="85"/>
      <c r="AF546" s="85"/>
      <c r="AG546" s="85"/>
      <c r="AH546" s="85"/>
      <c r="AI546" s="85"/>
      <c r="AJ546" s="85"/>
      <c r="AK546" s="83"/>
      <c r="AL546" s="83"/>
      <c r="AM546" s="83"/>
      <c r="AN546" s="83"/>
    </row>
    <row r="547" spans="2:40" ht="15.75" customHeight="1">
      <c r="B547" s="83"/>
      <c r="C547" s="80"/>
      <c r="D547" s="80"/>
      <c r="E547" s="80"/>
      <c r="F547" s="188"/>
      <c r="G547" s="80"/>
      <c r="H547" s="80"/>
      <c r="I547" s="80"/>
      <c r="J547" s="187"/>
      <c r="K547" s="80"/>
      <c r="L547" s="80"/>
      <c r="M547" s="80"/>
      <c r="N547" s="80"/>
      <c r="O547" s="80"/>
      <c r="P547" s="80"/>
      <c r="Q547" s="80"/>
      <c r="R547" s="80"/>
      <c r="S547" s="80"/>
      <c r="T547" s="83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3"/>
      <c r="AL547" s="83"/>
      <c r="AM547" s="83"/>
      <c r="AN547" s="83"/>
    </row>
    <row r="548" spans="2:40" ht="15.75" customHeight="1">
      <c r="B548" s="83"/>
      <c r="C548" s="80"/>
      <c r="D548" s="80"/>
      <c r="E548" s="80"/>
      <c r="F548" s="188"/>
      <c r="G548" s="80"/>
      <c r="H548" s="80"/>
      <c r="I548" s="80"/>
      <c r="J548" s="187"/>
      <c r="K548" s="80"/>
      <c r="L548" s="80"/>
      <c r="M548" s="80"/>
      <c r="N548" s="80"/>
      <c r="O548" s="80"/>
      <c r="P548" s="80"/>
      <c r="Q548" s="80"/>
      <c r="R548" s="80"/>
      <c r="S548" s="80"/>
      <c r="T548" s="83"/>
      <c r="U548" s="85"/>
      <c r="V548" s="85"/>
      <c r="W548" s="85"/>
      <c r="X548" s="85"/>
      <c r="Y548" s="85"/>
      <c r="Z548" s="85"/>
      <c r="AA548" s="85"/>
      <c r="AB548" s="85"/>
      <c r="AC548" s="85"/>
      <c r="AD548" s="85"/>
      <c r="AE548" s="85"/>
      <c r="AF548" s="85"/>
      <c r="AG548" s="85"/>
      <c r="AH548" s="85"/>
      <c r="AI548" s="85"/>
      <c r="AJ548" s="85"/>
      <c r="AK548" s="83"/>
      <c r="AL548" s="83"/>
      <c r="AM548" s="83"/>
      <c r="AN548" s="83"/>
    </row>
    <row r="549" spans="2:40" ht="15.75" customHeight="1">
      <c r="B549" s="83"/>
      <c r="C549" s="80"/>
      <c r="D549" s="80"/>
      <c r="E549" s="80"/>
      <c r="F549" s="188"/>
      <c r="G549" s="80"/>
      <c r="H549" s="80"/>
      <c r="I549" s="80"/>
      <c r="J549" s="187"/>
      <c r="K549" s="80"/>
      <c r="L549" s="80"/>
      <c r="M549" s="80"/>
      <c r="N549" s="80"/>
      <c r="O549" s="80"/>
      <c r="P549" s="80"/>
      <c r="Q549" s="80"/>
      <c r="R549" s="80"/>
      <c r="S549" s="80"/>
      <c r="T549" s="83"/>
      <c r="U549" s="85"/>
      <c r="V549" s="85"/>
      <c r="W549" s="85"/>
      <c r="X549" s="85"/>
      <c r="Y549" s="85"/>
      <c r="Z549" s="85"/>
      <c r="AA549" s="85"/>
      <c r="AB549" s="85"/>
      <c r="AC549" s="85"/>
      <c r="AD549" s="85"/>
      <c r="AE549" s="85"/>
      <c r="AF549" s="85"/>
      <c r="AG549" s="85"/>
      <c r="AH549" s="85"/>
      <c r="AI549" s="85"/>
      <c r="AJ549" s="85"/>
      <c r="AK549" s="83"/>
      <c r="AL549" s="83"/>
      <c r="AM549" s="83"/>
      <c r="AN549" s="83"/>
    </row>
    <row r="550" spans="2:40" ht="15.75" customHeight="1">
      <c r="B550" s="83"/>
      <c r="C550" s="80"/>
      <c r="D550" s="80"/>
      <c r="E550" s="80"/>
      <c r="F550" s="188"/>
      <c r="G550" s="80"/>
      <c r="H550" s="80"/>
      <c r="I550" s="80"/>
      <c r="J550" s="187"/>
      <c r="K550" s="80"/>
      <c r="L550" s="80"/>
      <c r="M550" s="80"/>
      <c r="N550" s="80"/>
      <c r="O550" s="80"/>
      <c r="P550" s="80"/>
      <c r="Q550" s="80"/>
      <c r="R550" s="80"/>
      <c r="S550" s="80"/>
      <c r="T550" s="83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3"/>
      <c r="AL550" s="83"/>
      <c r="AM550" s="83"/>
      <c r="AN550" s="83"/>
    </row>
    <row r="551" spans="2:40" ht="15.75" customHeight="1">
      <c r="B551" s="83"/>
      <c r="C551" s="80"/>
      <c r="D551" s="80"/>
      <c r="E551" s="80"/>
      <c r="F551" s="188"/>
      <c r="G551" s="80"/>
      <c r="H551" s="80"/>
      <c r="I551" s="80"/>
      <c r="J551" s="187"/>
      <c r="K551" s="80"/>
      <c r="L551" s="80"/>
      <c r="M551" s="80"/>
      <c r="N551" s="80"/>
      <c r="O551" s="80"/>
      <c r="P551" s="80"/>
      <c r="Q551" s="80"/>
      <c r="R551" s="80"/>
      <c r="S551" s="80"/>
      <c r="T551" s="83"/>
      <c r="U551" s="85"/>
      <c r="V551" s="85"/>
      <c r="W551" s="85"/>
      <c r="X551" s="85"/>
      <c r="Y551" s="85"/>
      <c r="Z551" s="85"/>
      <c r="AA551" s="85"/>
      <c r="AB551" s="85"/>
      <c r="AC551" s="85"/>
      <c r="AD551" s="85"/>
      <c r="AE551" s="85"/>
      <c r="AF551" s="85"/>
      <c r="AG551" s="85"/>
      <c r="AH551" s="85"/>
      <c r="AI551" s="85"/>
      <c r="AJ551" s="85"/>
      <c r="AK551" s="83"/>
      <c r="AL551" s="83"/>
      <c r="AM551" s="83"/>
      <c r="AN551" s="83"/>
    </row>
    <row r="552" spans="2:40" ht="15.75" customHeight="1">
      <c r="B552" s="83"/>
      <c r="C552" s="80"/>
      <c r="D552" s="80"/>
      <c r="E552" s="80"/>
      <c r="F552" s="188"/>
      <c r="G552" s="80"/>
      <c r="H552" s="80"/>
      <c r="I552" s="80"/>
      <c r="J552" s="187"/>
      <c r="K552" s="80"/>
      <c r="L552" s="80"/>
      <c r="M552" s="80"/>
      <c r="N552" s="80"/>
      <c r="O552" s="80"/>
      <c r="P552" s="80"/>
      <c r="Q552" s="80"/>
      <c r="R552" s="80"/>
      <c r="S552" s="80"/>
      <c r="T552" s="83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3"/>
      <c r="AL552" s="83"/>
      <c r="AM552" s="83"/>
      <c r="AN552" s="83"/>
    </row>
    <row r="553" spans="2:40" ht="15.75" customHeight="1">
      <c r="B553" s="83"/>
      <c r="C553" s="80"/>
      <c r="D553" s="80"/>
      <c r="E553" s="80"/>
      <c r="F553" s="188"/>
      <c r="G553" s="80"/>
      <c r="H553" s="80"/>
      <c r="I553" s="80"/>
      <c r="J553" s="187"/>
      <c r="K553" s="80"/>
      <c r="L553" s="80"/>
      <c r="M553" s="80"/>
      <c r="N553" s="80"/>
      <c r="O553" s="80"/>
      <c r="P553" s="80"/>
      <c r="Q553" s="80"/>
      <c r="R553" s="80"/>
      <c r="S553" s="80"/>
      <c r="T553" s="83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3"/>
      <c r="AL553" s="83"/>
      <c r="AM553" s="83"/>
      <c r="AN553" s="83"/>
    </row>
    <row r="554" spans="2:40" ht="15.75" customHeight="1">
      <c r="B554" s="83"/>
      <c r="C554" s="80"/>
      <c r="D554" s="80"/>
      <c r="E554" s="80"/>
      <c r="F554" s="188"/>
      <c r="G554" s="80"/>
      <c r="H554" s="80"/>
      <c r="I554" s="80"/>
      <c r="J554" s="187"/>
      <c r="K554" s="80"/>
      <c r="L554" s="80"/>
      <c r="M554" s="80"/>
      <c r="N554" s="80"/>
      <c r="O554" s="80"/>
      <c r="P554" s="80"/>
      <c r="Q554" s="80"/>
      <c r="R554" s="80"/>
      <c r="S554" s="80"/>
      <c r="T554" s="83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3"/>
      <c r="AL554" s="83"/>
      <c r="AM554" s="83"/>
      <c r="AN554" s="83"/>
    </row>
    <row r="555" spans="2:40" ht="15.75" customHeight="1">
      <c r="B555" s="83"/>
      <c r="C555" s="80"/>
      <c r="D555" s="80"/>
      <c r="E555" s="80"/>
      <c r="F555" s="188"/>
      <c r="G555" s="80"/>
      <c r="H555" s="80"/>
      <c r="I555" s="80"/>
      <c r="J555" s="187"/>
      <c r="K555" s="80"/>
      <c r="L555" s="80"/>
      <c r="M555" s="80"/>
      <c r="N555" s="80"/>
      <c r="O555" s="80"/>
      <c r="P555" s="80"/>
      <c r="Q555" s="80"/>
      <c r="R555" s="80"/>
      <c r="S555" s="80"/>
      <c r="T555" s="83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3"/>
      <c r="AL555" s="83"/>
      <c r="AM555" s="83"/>
      <c r="AN555" s="83"/>
    </row>
    <row r="556" spans="2:40" ht="15.75" customHeight="1">
      <c r="B556" s="83"/>
      <c r="C556" s="80"/>
      <c r="D556" s="80"/>
      <c r="E556" s="80"/>
      <c r="F556" s="188"/>
      <c r="G556" s="80"/>
      <c r="H556" s="80"/>
      <c r="I556" s="80"/>
      <c r="J556" s="187"/>
      <c r="K556" s="80"/>
      <c r="L556" s="80"/>
      <c r="M556" s="80"/>
      <c r="N556" s="80"/>
      <c r="O556" s="80"/>
      <c r="P556" s="80"/>
      <c r="Q556" s="80"/>
      <c r="R556" s="80"/>
      <c r="S556" s="80"/>
      <c r="T556" s="83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3"/>
      <c r="AL556" s="83"/>
      <c r="AM556" s="83"/>
      <c r="AN556" s="83"/>
    </row>
    <row r="557" spans="2:40" ht="15.75" customHeight="1">
      <c r="B557" s="83"/>
      <c r="C557" s="80"/>
      <c r="D557" s="80"/>
      <c r="E557" s="80"/>
      <c r="F557" s="188"/>
      <c r="G557" s="80"/>
      <c r="H557" s="80"/>
      <c r="I557" s="80"/>
      <c r="J557" s="187"/>
      <c r="K557" s="80"/>
      <c r="L557" s="80"/>
      <c r="M557" s="80"/>
      <c r="N557" s="80"/>
      <c r="O557" s="80"/>
      <c r="P557" s="80"/>
      <c r="Q557" s="80"/>
      <c r="R557" s="80"/>
      <c r="S557" s="80"/>
      <c r="T557" s="83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3"/>
      <c r="AL557" s="83"/>
      <c r="AM557" s="83"/>
      <c r="AN557" s="83"/>
    </row>
    <row r="558" spans="2:40" ht="15.75" customHeight="1">
      <c r="B558" s="83"/>
      <c r="C558" s="80"/>
      <c r="D558" s="80"/>
      <c r="E558" s="80"/>
      <c r="F558" s="188"/>
      <c r="G558" s="80"/>
      <c r="H558" s="80"/>
      <c r="I558" s="80"/>
      <c r="J558" s="187"/>
      <c r="K558" s="80"/>
      <c r="L558" s="80"/>
      <c r="M558" s="80"/>
      <c r="N558" s="80"/>
      <c r="O558" s="80"/>
      <c r="P558" s="80"/>
      <c r="Q558" s="80"/>
      <c r="R558" s="80"/>
      <c r="S558" s="80"/>
      <c r="T558" s="83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3"/>
      <c r="AL558" s="83"/>
      <c r="AM558" s="83"/>
      <c r="AN558" s="83"/>
    </row>
    <row r="559" spans="2:40" ht="15.75" customHeight="1">
      <c r="B559" s="83"/>
      <c r="C559" s="80"/>
      <c r="D559" s="80"/>
      <c r="E559" s="80"/>
      <c r="F559" s="188"/>
      <c r="G559" s="80"/>
      <c r="H559" s="80"/>
      <c r="I559" s="80"/>
      <c r="J559" s="187"/>
      <c r="K559" s="80"/>
      <c r="L559" s="80"/>
      <c r="M559" s="80"/>
      <c r="N559" s="80"/>
      <c r="O559" s="80"/>
      <c r="P559" s="80"/>
      <c r="Q559" s="80"/>
      <c r="R559" s="80"/>
      <c r="S559" s="80"/>
      <c r="T559" s="83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3"/>
      <c r="AL559" s="83"/>
      <c r="AM559" s="83"/>
      <c r="AN559" s="83"/>
    </row>
    <row r="560" spans="2:40" ht="15.75" customHeight="1">
      <c r="B560" s="83"/>
      <c r="C560" s="80"/>
      <c r="D560" s="80"/>
      <c r="E560" s="80"/>
      <c r="F560" s="188"/>
      <c r="G560" s="80"/>
      <c r="H560" s="80"/>
      <c r="I560" s="80"/>
      <c r="J560" s="187"/>
      <c r="K560" s="80"/>
      <c r="L560" s="80"/>
      <c r="M560" s="80"/>
      <c r="N560" s="80"/>
      <c r="O560" s="80"/>
      <c r="P560" s="80"/>
      <c r="Q560" s="80"/>
      <c r="R560" s="80"/>
      <c r="S560" s="80"/>
      <c r="T560" s="83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3"/>
      <c r="AL560" s="83"/>
      <c r="AM560" s="83"/>
      <c r="AN560" s="83"/>
    </row>
    <row r="561" spans="2:40" ht="15.75" customHeight="1">
      <c r="B561" s="83"/>
      <c r="C561" s="80"/>
      <c r="D561" s="80"/>
      <c r="E561" s="80"/>
      <c r="F561" s="188"/>
      <c r="G561" s="80"/>
      <c r="H561" s="80"/>
      <c r="I561" s="80"/>
      <c r="J561" s="187"/>
      <c r="K561" s="80"/>
      <c r="L561" s="80"/>
      <c r="M561" s="80"/>
      <c r="N561" s="80"/>
      <c r="O561" s="80"/>
      <c r="P561" s="80"/>
      <c r="Q561" s="80"/>
      <c r="R561" s="80"/>
      <c r="S561" s="80"/>
      <c r="T561" s="83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3"/>
      <c r="AL561" s="83"/>
      <c r="AM561" s="83"/>
      <c r="AN561" s="83"/>
    </row>
    <row r="562" spans="2:40" ht="15.75" customHeight="1">
      <c r="B562" s="83"/>
      <c r="C562" s="80"/>
      <c r="D562" s="80"/>
      <c r="E562" s="80"/>
      <c r="F562" s="188"/>
      <c r="G562" s="80"/>
      <c r="H562" s="80"/>
      <c r="I562" s="80"/>
      <c r="J562" s="187"/>
      <c r="K562" s="80"/>
      <c r="L562" s="80"/>
      <c r="M562" s="80"/>
      <c r="N562" s="80"/>
      <c r="O562" s="80"/>
      <c r="P562" s="80"/>
      <c r="Q562" s="80"/>
      <c r="R562" s="80"/>
      <c r="S562" s="80"/>
      <c r="T562" s="83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3"/>
      <c r="AL562" s="83"/>
      <c r="AM562" s="83"/>
      <c r="AN562" s="83"/>
    </row>
    <row r="563" spans="2:40" ht="15.75" customHeight="1">
      <c r="B563" s="83"/>
      <c r="C563" s="80"/>
      <c r="D563" s="80"/>
      <c r="E563" s="80"/>
      <c r="F563" s="188"/>
      <c r="G563" s="80"/>
      <c r="H563" s="80"/>
      <c r="I563" s="80"/>
      <c r="J563" s="187"/>
      <c r="K563" s="80"/>
      <c r="L563" s="80"/>
      <c r="M563" s="80"/>
      <c r="N563" s="80"/>
      <c r="O563" s="80"/>
      <c r="P563" s="80"/>
      <c r="Q563" s="80"/>
      <c r="R563" s="80"/>
      <c r="S563" s="80"/>
      <c r="T563" s="83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85"/>
      <c r="AJ563" s="85"/>
      <c r="AK563" s="83"/>
      <c r="AL563" s="83"/>
      <c r="AM563" s="83"/>
      <c r="AN563" s="83"/>
    </row>
    <row r="564" spans="2:40" ht="15.75" customHeight="1">
      <c r="B564" s="83"/>
      <c r="C564" s="80"/>
      <c r="D564" s="80"/>
      <c r="E564" s="80"/>
      <c r="F564" s="188"/>
      <c r="G564" s="80"/>
      <c r="H564" s="80"/>
      <c r="I564" s="80"/>
      <c r="J564" s="187"/>
      <c r="K564" s="80"/>
      <c r="L564" s="80"/>
      <c r="M564" s="80"/>
      <c r="N564" s="80"/>
      <c r="O564" s="80"/>
      <c r="P564" s="80"/>
      <c r="Q564" s="80"/>
      <c r="R564" s="80"/>
      <c r="S564" s="80"/>
      <c r="T564" s="83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3"/>
      <c r="AL564" s="83"/>
      <c r="AM564" s="83"/>
      <c r="AN564" s="83"/>
    </row>
    <row r="565" spans="2:40" ht="15.75" customHeight="1">
      <c r="B565" s="83"/>
      <c r="C565" s="80"/>
      <c r="D565" s="80"/>
      <c r="E565" s="80"/>
      <c r="F565" s="188"/>
      <c r="G565" s="80"/>
      <c r="H565" s="80"/>
      <c r="I565" s="80"/>
      <c r="J565" s="187"/>
      <c r="K565" s="80"/>
      <c r="L565" s="80"/>
      <c r="M565" s="80"/>
      <c r="N565" s="80"/>
      <c r="O565" s="80"/>
      <c r="P565" s="80"/>
      <c r="Q565" s="80"/>
      <c r="R565" s="80"/>
      <c r="S565" s="80"/>
      <c r="T565" s="83"/>
      <c r="U565" s="85"/>
      <c r="V565" s="85"/>
      <c r="W565" s="85"/>
      <c r="X565" s="85"/>
      <c r="Y565" s="85"/>
      <c r="Z565" s="85"/>
      <c r="AA565" s="85"/>
      <c r="AB565" s="85"/>
      <c r="AC565" s="85"/>
      <c r="AD565" s="85"/>
      <c r="AE565" s="85"/>
      <c r="AF565" s="85"/>
      <c r="AG565" s="85"/>
      <c r="AH565" s="85"/>
      <c r="AI565" s="85"/>
      <c r="AJ565" s="85"/>
      <c r="AK565" s="83"/>
      <c r="AL565" s="83"/>
      <c r="AM565" s="83"/>
      <c r="AN565" s="83"/>
    </row>
    <row r="566" spans="2:40" ht="15.75" customHeight="1">
      <c r="B566" s="83"/>
      <c r="C566" s="80"/>
      <c r="D566" s="80"/>
      <c r="E566" s="80"/>
      <c r="F566" s="188"/>
      <c r="G566" s="80"/>
      <c r="H566" s="80"/>
      <c r="I566" s="80"/>
      <c r="J566" s="187"/>
      <c r="K566" s="80"/>
      <c r="L566" s="80"/>
      <c r="M566" s="80"/>
      <c r="N566" s="80"/>
      <c r="O566" s="80"/>
      <c r="P566" s="80"/>
      <c r="Q566" s="80"/>
      <c r="R566" s="80"/>
      <c r="S566" s="80"/>
      <c r="T566" s="83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3"/>
      <c r="AL566" s="83"/>
      <c r="AM566" s="83"/>
      <c r="AN566" s="83"/>
    </row>
    <row r="567" spans="2:40" ht="15.75" customHeight="1">
      <c r="B567" s="83"/>
      <c r="C567" s="80"/>
      <c r="D567" s="80"/>
      <c r="E567" s="80"/>
      <c r="F567" s="188"/>
      <c r="G567" s="80"/>
      <c r="H567" s="80"/>
      <c r="I567" s="80"/>
      <c r="J567" s="187"/>
      <c r="K567" s="80"/>
      <c r="L567" s="80"/>
      <c r="M567" s="80"/>
      <c r="N567" s="80"/>
      <c r="O567" s="80"/>
      <c r="P567" s="80"/>
      <c r="Q567" s="80"/>
      <c r="R567" s="80"/>
      <c r="S567" s="80"/>
      <c r="T567" s="83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3"/>
      <c r="AL567" s="83"/>
      <c r="AM567" s="83"/>
      <c r="AN567" s="83"/>
    </row>
    <row r="568" spans="2:40" ht="15.75" customHeight="1">
      <c r="B568" s="83"/>
      <c r="C568" s="80"/>
      <c r="D568" s="80"/>
      <c r="E568" s="80"/>
      <c r="F568" s="188"/>
      <c r="G568" s="80"/>
      <c r="H568" s="80"/>
      <c r="I568" s="80"/>
      <c r="J568" s="187"/>
      <c r="K568" s="80"/>
      <c r="L568" s="80"/>
      <c r="M568" s="80"/>
      <c r="N568" s="80"/>
      <c r="O568" s="80"/>
      <c r="P568" s="80"/>
      <c r="Q568" s="80"/>
      <c r="R568" s="80"/>
      <c r="S568" s="80"/>
      <c r="T568" s="83"/>
      <c r="U568" s="85"/>
      <c r="V568" s="85"/>
      <c r="W568" s="85"/>
      <c r="X568" s="85"/>
      <c r="Y568" s="85"/>
      <c r="Z568" s="85"/>
      <c r="AA568" s="85"/>
      <c r="AB568" s="85"/>
      <c r="AC568" s="85"/>
      <c r="AD568" s="85"/>
      <c r="AE568" s="85"/>
      <c r="AF568" s="85"/>
      <c r="AG568" s="85"/>
      <c r="AH568" s="85"/>
      <c r="AI568" s="85"/>
      <c r="AJ568" s="85"/>
      <c r="AK568" s="83"/>
      <c r="AL568" s="83"/>
      <c r="AM568" s="83"/>
      <c r="AN568" s="83"/>
    </row>
    <row r="569" spans="2:40" ht="15.75" customHeight="1">
      <c r="B569" s="83"/>
      <c r="C569" s="80"/>
      <c r="D569" s="80"/>
      <c r="E569" s="80"/>
      <c r="F569" s="188"/>
      <c r="G569" s="80"/>
      <c r="H569" s="80"/>
      <c r="I569" s="80"/>
      <c r="J569" s="187"/>
      <c r="K569" s="80"/>
      <c r="L569" s="80"/>
      <c r="M569" s="80"/>
      <c r="N569" s="80"/>
      <c r="O569" s="80"/>
      <c r="P569" s="80"/>
      <c r="Q569" s="80"/>
      <c r="R569" s="80"/>
      <c r="S569" s="80"/>
      <c r="T569" s="83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3"/>
      <c r="AL569" s="83"/>
      <c r="AM569" s="83"/>
      <c r="AN569" s="83"/>
    </row>
    <row r="570" spans="2:40" ht="15.75" customHeight="1">
      <c r="B570" s="83"/>
      <c r="C570" s="80"/>
      <c r="D570" s="80"/>
      <c r="E570" s="80"/>
      <c r="F570" s="188"/>
      <c r="G570" s="80"/>
      <c r="H570" s="80"/>
      <c r="I570" s="80"/>
      <c r="J570" s="187"/>
      <c r="K570" s="80"/>
      <c r="L570" s="80"/>
      <c r="M570" s="80"/>
      <c r="N570" s="80"/>
      <c r="O570" s="80"/>
      <c r="P570" s="80"/>
      <c r="Q570" s="80"/>
      <c r="R570" s="80"/>
      <c r="S570" s="80"/>
      <c r="T570" s="83"/>
      <c r="U570" s="85"/>
      <c r="V570" s="85"/>
      <c r="W570" s="85"/>
      <c r="X570" s="85"/>
      <c r="Y570" s="85"/>
      <c r="Z570" s="85"/>
      <c r="AA570" s="85"/>
      <c r="AB570" s="85"/>
      <c r="AC570" s="85"/>
      <c r="AD570" s="85"/>
      <c r="AE570" s="85"/>
      <c r="AF570" s="85"/>
      <c r="AG570" s="85"/>
      <c r="AH570" s="85"/>
      <c r="AI570" s="85"/>
      <c r="AJ570" s="85"/>
      <c r="AK570" s="83"/>
      <c r="AL570" s="83"/>
      <c r="AM570" s="83"/>
      <c r="AN570" s="83"/>
    </row>
    <row r="571" spans="2:40" ht="15.75" customHeight="1">
      <c r="B571" s="83"/>
      <c r="C571" s="80"/>
      <c r="D571" s="80"/>
      <c r="E571" s="80"/>
      <c r="F571" s="188"/>
      <c r="G571" s="80"/>
      <c r="H571" s="80"/>
      <c r="I571" s="80"/>
      <c r="J571" s="187"/>
      <c r="K571" s="80"/>
      <c r="L571" s="80"/>
      <c r="M571" s="80"/>
      <c r="N571" s="80"/>
      <c r="O571" s="80"/>
      <c r="P571" s="80"/>
      <c r="Q571" s="80"/>
      <c r="R571" s="80"/>
      <c r="S571" s="80"/>
      <c r="T571" s="83"/>
      <c r="U571" s="85"/>
      <c r="V571" s="85"/>
      <c r="W571" s="85"/>
      <c r="X571" s="85"/>
      <c r="Y571" s="85"/>
      <c r="Z571" s="85"/>
      <c r="AA571" s="85"/>
      <c r="AB571" s="85"/>
      <c r="AC571" s="85"/>
      <c r="AD571" s="85"/>
      <c r="AE571" s="85"/>
      <c r="AF571" s="85"/>
      <c r="AG571" s="85"/>
      <c r="AH571" s="85"/>
      <c r="AI571" s="85"/>
      <c r="AJ571" s="85"/>
      <c r="AK571" s="83"/>
      <c r="AL571" s="83"/>
      <c r="AM571" s="83"/>
      <c r="AN571" s="83"/>
    </row>
    <row r="572" spans="2:40" ht="15.75" customHeight="1">
      <c r="B572" s="83"/>
      <c r="C572" s="80"/>
      <c r="D572" s="80"/>
      <c r="E572" s="80"/>
      <c r="F572" s="188"/>
      <c r="G572" s="80"/>
      <c r="H572" s="80"/>
      <c r="I572" s="80"/>
      <c r="J572" s="187"/>
      <c r="K572" s="80"/>
      <c r="L572" s="80"/>
      <c r="M572" s="80"/>
      <c r="N572" s="80"/>
      <c r="O572" s="80"/>
      <c r="P572" s="80"/>
      <c r="Q572" s="80"/>
      <c r="R572" s="80"/>
      <c r="S572" s="80"/>
      <c r="T572" s="83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3"/>
      <c r="AL572" s="83"/>
      <c r="AM572" s="83"/>
      <c r="AN572" s="83"/>
    </row>
    <row r="573" spans="2:40" ht="15.75" customHeight="1">
      <c r="B573" s="83"/>
      <c r="C573" s="80"/>
      <c r="D573" s="80"/>
      <c r="E573" s="80"/>
      <c r="F573" s="188"/>
      <c r="G573" s="80"/>
      <c r="H573" s="80"/>
      <c r="I573" s="80"/>
      <c r="J573" s="187"/>
      <c r="K573" s="80"/>
      <c r="L573" s="80"/>
      <c r="M573" s="80"/>
      <c r="N573" s="80"/>
      <c r="O573" s="80"/>
      <c r="P573" s="80"/>
      <c r="Q573" s="80"/>
      <c r="R573" s="80"/>
      <c r="S573" s="80"/>
      <c r="T573" s="83"/>
      <c r="U573" s="85"/>
      <c r="V573" s="85"/>
      <c r="W573" s="85"/>
      <c r="X573" s="85"/>
      <c r="Y573" s="85"/>
      <c r="Z573" s="85"/>
      <c r="AA573" s="85"/>
      <c r="AB573" s="85"/>
      <c r="AC573" s="85"/>
      <c r="AD573" s="85"/>
      <c r="AE573" s="85"/>
      <c r="AF573" s="85"/>
      <c r="AG573" s="85"/>
      <c r="AH573" s="85"/>
      <c r="AI573" s="85"/>
      <c r="AJ573" s="85"/>
      <c r="AK573" s="83"/>
      <c r="AL573" s="83"/>
      <c r="AM573" s="83"/>
      <c r="AN573" s="83"/>
    </row>
    <row r="574" spans="2:40" ht="15.75" customHeight="1">
      <c r="B574" s="83"/>
      <c r="C574" s="80"/>
      <c r="D574" s="80"/>
      <c r="E574" s="80"/>
      <c r="F574" s="188"/>
      <c r="G574" s="80"/>
      <c r="H574" s="80"/>
      <c r="I574" s="80"/>
      <c r="J574" s="187"/>
      <c r="K574" s="80"/>
      <c r="L574" s="80"/>
      <c r="M574" s="80"/>
      <c r="N574" s="80"/>
      <c r="O574" s="80"/>
      <c r="P574" s="80"/>
      <c r="Q574" s="80"/>
      <c r="R574" s="80"/>
      <c r="S574" s="80"/>
      <c r="T574" s="83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3"/>
      <c r="AL574" s="83"/>
      <c r="AM574" s="83"/>
      <c r="AN574" s="83"/>
    </row>
    <row r="575" spans="2:40" ht="15.75" customHeight="1">
      <c r="B575" s="83"/>
      <c r="C575" s="80"/>
      <c r="D575" s="80"/>
      <c r="E575" s="80"/>
      <c r="F575" s="188"/>
      <c r="G575" s="80"/>
      <c r="H575" s="80"/>
      <c r="I575" s="80"/>
      <c r="J575" s="187"/>
      <c r="K575" s="80"/>
      <c r="L575" s="80"/>
      <c r="M575" s="80"/>
      <c r="N575" s="80"/>
      <c r="O575" s="80"/>
      <c r="P575" s="80"/>
      <c r="Q575" s="80"/>
      <c r="R575" s="80"/>
      <c r="S575" s="80"/>
      <c r="T575" s="83"/>
      <c r="U575" s="85"/>
      <c r="V575" s="85"/>
      <c r="W575" s="85"/>
      <c r="X575" s="85"/>
      <c r="Y575" s="85"/>
      <c r="Z575" s="85"/>
      <c r="AA575" s="85"/>
      <c r="AB575" s="85"/>
      <c r="AC575" s="85"/>
      <c r="AD575" s="85"/>
      <c r="AE575" s="85"/>
      <c r="AF575" s="85"/>
      <c r="AG575" s="85"/>
      <c r="AH575" s="85"/>
      <c r="AI575" s="85"/>
      <c r="AJ575" s="85"/>
      <c r="AK575" s="83"/>
      <c r="AL575" s="83"/>
      <c r="AM575" s="83"/>
      <c r="AN575" s="83"/>
    </row>
    <row r="576" spans="2:40" ht="15.75" customHeight="1">
      <c r="B576" s="83"/>
      <c r="C576" s="80"/>
      <c r="D576" s="80"/>
      <c r="E576" s="80"/>
      <c r="F576" s="188"/>
      <c r="G576" s="80"/>
      <c r="H576" s="80"/>
      <c r="I576" s="80"/>
      <c r="J576" s="187"/>
      <c r="K576" s="80"/>
      <c r="L576" s="80"/>
      <c r="M576" s="80"/>
      <c r="N576" s="80"/>
      <c r="O576" s="80"/>
      <c r="P576" s="80"/>
      <c r="Q576" s="80"/>
      <c r="R576" s="80"/>
      <c r="S576" s="80"/>
      <c r="T576" s="83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3"/>
      <c r="AL576" s="83"/>
      <c r="AM576" s="83"/>
      <c r="AN576" s="83"/>
    </row>
    <row r="577" spans="2:40" ht="15.75" customHeight="1">
      <c r="B577" s="83"/>
      <c r="C577" s="80"/>
      <c r="D577" s="80"/>
      <c r="E577" s="80"/>
      <c r="F577" s="188"/>
      <c r="G577" s="80"/>
      <c r="H577" s="80"/>
      <c r="I577" s="80"/>
      <c r="J577" s="187"/>
      <c r="K577" s="80"/>
      <c r="L577" s="80"/>
      <c r="M577" s="80"/>
      <c r="N577" s="80"/>
      <c r="O577" s="80"/>
      <c r="P577" s="80"/>
      <c r="Q577" s="80"/>
      <c r="R577" s="80"/>
      <c r="S577" s="80"/>
      <c r="T577" s="83"/>
      <c r="U577" s="85"/>
      <c r="V577" s="85"/>
      <c r="W577" s="85"/>
      <c r="X577" s="85"/>
      <c r="Y577" s="85"/>
      <c r="Z577" s="85"/>
      <c r="AA577" s="85"/>
      <c r="AB577" s="85"/>
      <c r="AC577" s="85"/>
      <c r="AD577" s="85"/>
      <c r="AE577" s="85"/>
      <c r="AF577" s="85"/>
      <c r="AG577" s="85"/>
      <c r="AH577" s="85"/>
      <c r="AI577" s="85"/>
      <c r="AJ577" s="85"/>
      <c r="AK577" s="83"/>
      <c r="AL577" s="83"/>
      <c r="AM577" s="83"/>
      <c r="AN577" s="83"/>
    </row>
    <row r="578" spans="2:40" ht="15.75" customHeight="1">
      <c r="B578" s="83"/>
      <c r="C578" s="80"/>
      <c r="D578" s="80"/>
      <c r="E578" s="80"/>
      <c r="F578" s="188"/>
      <c r="G578" s="80"/>
      <c r="H578" s="80"/>
      <c r="I578" s="80"/>
      <c r="J578" s="187"/>
      <c r="K578" s="80"/>
      <c r="L578" s="80"/>
      <c r="M578" s="80"/>
      <c r="N578" s="80"/>
      <c r="O578" s="80"/>
      <c r="P578" s="80"/>
      <c r="Q578" s="80"/>
      <c r="R578" s="80"/>
      <c r="S578" s="80"/>
      <c r="T578" s="83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3"/>
      <c r="AL578" s="83"/>
      <c r="AM578" s="83"/>
      <c r="AN578" s="83"/>
    </row>
    <row r="579" spans="2:40" ht="15.75" customHeight="1">
      <c r="B579" s="83"/>
      <c r="C579" s="80"/>
      <c r="D579" s="80"/>
      <c r="E579" s="80"/>
      <c r="F579" s="188"/>
      <c r="G579" s="80"/>
      <c r="H579" s="80"/>
      <c r="I579" s="80"/>
      <c r="J579" s="187"/>
      <c r="K579" s="80"/>
      <c r="L579" s="80"/>
      <c r="M579" s="80"/>
      <c r="N579" s="80"/>
      <c r="O579" s="80"/>
      <c r="P579" s="80"/>
      <c r="Q579" s="80"/>
      <c r="R579" s="80"/>
      <c r="S579" s="80"/>
      <c r="T579" s="83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3"/>
      <c r="AL579" s="83"/>
      <c r="AM579" s="83"/>
      <c r="AN579" s="83"/>
    </row>
    <row r="580" spans="2:40" ht="15.75" customHeight="1">
      <c r="B580" s="83"/>
      <c r="C580" s="80"/>
      <c r="D580" s="80"/>
      <c r="E580" s="80"/>
      <c r="F580" s="188"/>
      <c r="G580" s="80"/>
      <c r="H580" s="80"/>
      <c r="I580" s="80"/>
      <c r="J580" s="187"/>
      <c r="K580" s="80"/>
      <c r="L580" s="80"/>
      <c r="M580" s="80"/>
      <c r="N580" s="80"/>
      <c r="O580" s="80"/>
      <c r="P580" s="80"/>
      <c r="Q580" s="80"/>
      <c r="R580" s="80"/>
      <c r="S580" s="80"/>
      <c r="T580" s="83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3"/>
      <c r="AL580" s="83"/>
      <c r="AM580" s="83"/>
      <c r="AN580" s="83"/>
    </row>
    <row r="581" spans="2:40" ht="15.75" customHeight="1">
      <c r="B581" s="83"/>
      <c r="C581" s="80"/>
      <c r="D581" s="80"/>
      <c r="E581" s="80"/>
      <c r="F581" s="188"/>
      <c r="G581" s="80"/>
      <c r="H581" s="80"/>
      <c r="I581" s="80"/>
      <c r="J581" s="187"/>
      <c r="K581" s="80"/>
      <c r="L581" s="80"/>
      <c r="M581" s="80"/>
      <c r="N581" s="80"/>
      <c r="O581" s="80"/>
      <c r="P581" s="80"/>
      <c r="Q581" s="80"/>
      <c r="R581" s="80"/>
      <c r="S581" s="80"/>
      <c r="T581" s="83"/>
      <c r="U581" s="85"/>
      <c r="V581" s="85"/>
      <c r="W581" s="85"/>
      <c r="X581" s="85"/>
      <c r="Y581" s="85"/>
      <c r="Z581" s="85"/>
      <c r="AA581" s="85"/>
      <c r="AB581" s="85"/>
      <c r="AC581" s="85"/>
      <c r="AD581" s="85"/>
      <c r="AE581" s="85"/>
      <c r="AF581" s="85"/>
      <c r="AG581" s="85"/>
      <c r="AH581" s="85"/>
      <c r="AI581" s="85"/>
      <c r="AJ581" s="85"/>
      <c r="AK581" s="83"/>
      <c r="AL581" s="83"/>
      <c r="AM581" s="83"/>
      <c r="AN581" s="83"/>
    </row>
    <row r="582" spans="2:40" ht="15.75" customHeight="1">
      <c r="B582" s="83"/>
      <c r="C582" s="80"/>
      <c r="D582" s="80"/>
      <c r="E582" s="80"/>
      <c r="F582" s="188"/>
      <c r="G582" s="80"/>
      <c r="H582" s="80"/>
      <c r="I582" s="80"/>
      <c r="J582" s="187"/>
      <c r="K582" s="80"/>
      <c r="L582" s="80"/>
      <c r="M582" s="80"/>
      <c r="N582" s="80"/>
      <c r="O582" s="80"/>
      <c r="P582" s="80"/>
      <c r="Q582" s="80"/>
      <c r="R582" s="80"/>
      <c r="S582" s="80"/>
      <c r="T582" s="83"/>
      <c r="U582" s="85"/>
      <c r="V582" s="85"/>
      <c r="W582" s="85"/>
      <c r="X582" s="85"/>
      <c r="Y582" s="85"/>
      <c r="Z582" s="85"/>
      <c r="AA582" s="85"/>
      <c r="AB582" s="85"/>
      <c r="AC582" s="85"/>
      <c r="AD582" s="85"/>
      <c r="AE582" s="85"/>
      <c r="AF582" s="85"/>
      <c r="AG582" s="85"/>
      <c r="AH582" s="85"/>
      <c r="AI582" s="85"/>
      <c r="AJ582" s="85"/>
      <c r="AK582" s="83"/>
      <c r="AL582" s="83"/>
      <c r="AM582" s="83"/>
      <c r="AN582" s="83"/>
    </row>
    <row r="583" spans="2:40" ht="15.75" customHeight="1">
      <c r="B583" s="83"/>
      <c r="C583" s="80"/>
      <c r="D583" s="80"/>
      <c r="E583" s="80"/>
      <c r="F583" s="188"/>
      <c r="G583" s="80"/>
      <c r="H583" s="80"/>
      <c r="I583" s="80"/>
      <c r="J583" s="187"/>
      <c r="K583" s="80"/>
      <c r="L583" s="80"/>
      <c r="M583" s="80"/>
      <c r="N583" s="80"/>
      <c r="O583" s="80"/>
      <c r="P583" s="80"/>
      <c r="Q583" s="80"/>
      <c r="R583" s="80"/>
      <c r="S583" s="80"/>
      <c r="T583" s="83"/>
      <c r="U583" s="85"/>
      <c r="V583" s="85"/>
      <c r="W583" s="85"/>
      <c r="X583" s="85"/>
      <c r="Y583" s="85"/>
      <c r="Z583" s="85"/>
      <c r="AA583" s="85"/>
      <c r="AB583" s="85"/>
      <c r="AC583" s="85"/>
      <c r="AD583" s="85"/>
      <c r="AE583" s="85"/>
      <c r="AF583" s="85"/>
      <c r="AG583" s="85"/>
      <c r="AH583" s="85"/>
      <c r="AI583" s="85"/>
      <c r="AJ583" s="85"/>
      <c r="AK583" s="83"/>
      <c r="AL583" s="83"/>
      <c r="AM583" s="83"/>
      <c r="AN583" s="83"/>
    </row>
    <row r="584" spans="2:40" ht="15.75" customHeight="1">
      <c r="B584" s="83"/>
      <c r="C584" s="80"/>
      <c r="D584" s="80"/>
      <c r="E584" s="80"/>
      <c r="F584" s="188"/>
      <c r="G584" s="80"/>
      <c r="H584" s="80"/>
      <c r="I584" s="80"/>
      <c r="J584" s="187"/>
      <c r="K584" s="80"/>
      <c r="L584" s="80"/>
      <c r="M584" s="80"/>
      <c r="N584" s="80"/>
      <c r="O584" s="80"/>
      <c r="P584" s="80"/>
      <c r="Q584" s="80"/>
      <c r="R584" s="80"/>
      <c r="S584" s="80"/>
      <c r="T584" s="83"/>
      <c r="U584" s="85"/>
      <c r="V584" s="85"/>
      <c r="W584" s="85"/>
      <c r="X584" s="85"/>
      <c r="Y584" s="85"/>
      <c r="Z584" s="85"/>
      <c r="AA584" s="85"/>
      <c r="AB584" s="85"/>
      <c r="AC584" s="85"/>
      <c r="AD584" s="85"/>
      <c r="AE584" s="85"/>
      <c r="AF584" s="85"/>
      <c r="AG584" s="85"/>
      <c r="AH584" s="85"/>
      <c r="AI584" s="85"/>
      <c r="AJ584" s="85"/>
      <c r="AK584" s="83"/>
      <c r="AL584" s="83"/>
      <c r="AM584" s="83"/>
      <c r="AN584" s="83"/>
    </row>
    <row r="585" spans="2:40" ht="15.75" customHeight="1">
      <c r="B585" s="83"/>
      <c r="C585" s="80"/>
      <c r="D585" s="80"/>
      <c r="E585" s="80"/>
      <c r="F585" s="188"/>
      <c r="G585" s="80"/>
      <c r="H585" s="80"/>
      <c r="I585" s="80"/>
      <c r="J585" s="187"/>
      <c r="K585" s="80"/>
      <c r="L585" s="80"/>
      <c r="M585" s="80"/>
      <c r="N585" s="80"/>
      <c r="O585" s="80"/>
      <c r="P585" s="80"/>
      <c r="Q585" s="80"/>
      <c r="R585" s="80"/>
      <c r="S585" s="80"/>
      <c r="T585" s="83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3"/>
      <c r="AL585" s="83"/>
      <c r="AM585" s="83"/>
      <c r="AN585" s="83"/>
    </row>
    <row r="586" spans="2:40" ht="15.75" customHeight="1">
      <c r="B586" s="83"/>
      <c r="C586" s="80"/>
      <c r="D586" s="80"/>
      <c r="E586" s="80"/>
      <c r="F586" s="188"/>
      <c r="G586" s="80"/>
      <c r="H586" s="80"/>
      <c r="I586" s="80"/>
      <c r="J586" s="187"/>
      <c r="K586" s="80"/>
      <c r="L586" s="80"/>
      <c r="M586" s="80"/>
      <c r="N586" s="80"/>
      <c r="O586" s="80"/>
      <c r="P586" s="80"/>
      <c r="Q586" s="80"/>
      <c r="R586" s="80"/>
      <c r="S586" s="80"/>
      <c r="T586" s="83"/>
      <c r="U586" s="85"/>
      <c r="V586" s="85"/>
      <c r="W586" s="85"/>
      <c r="X586" s="85"/>
      <c r="Y586" s="85"/>
      <c r="Z586" s="85"/>
      <c r="AA586" s="85"/>
      <c r="AB586" s="85"/>
      <c r="AC586" s="85"/>
      <c r="AD586" s="85"/>
      <c r="AE586" s="85"/>
      <c r="AF586" s="85"/>
      <c r="AG586" s="85"/>
      <c r="AH586" s="85"/>
      <c r="AI586" s="85"/>
      <c r="AJ586" s="85"/>
      <c r="AK586" s="83"/>
      <c r="AL586" s="83"/>
      <c r="AM586" s="83"/>
      <c r="AN586" s="83"/>
    </row>
    <row r="587" spans="2:40" ht="15.75" customHeight="1">
      <c r="B587" s="83"/>
      <c r="C587" s="80"/>
      <c r="D587" s="80"/>
      <c r="E587" s="80"/>
      <c r="F587" s="188"/>
      <c r="G587" s="80"/>
      <c r="H587" s="80"/>
      <c r="I587" s="80"/>
      <c r="J587" s="187"/>
      <c r="K587" s="80"/>
      <c r="L587" s="80"/>
      <c r="M587" s="80"/>
      <c r="N587" s="80"/>
      <c r="O587" s="80"/>
      <c r="P587" s="80"/>
      <c r="Q587" s="80"/>
      <c r="R587" s="80"/>
      <c r="S587" s="80"/>
      <c r="T587" s="83"/>
      <c r="U587" s="85"/>
      <c r="V587" s="85"/>
      <c r="W587" s="85"/>
      <c r="X587" s="85"/>
      <c r="Y587" s="85"/>
      <c r="Z587" s="85"/>
      <c r="AA587" s="85"/>
      <c r="AB587" s="85"/>
      <c r="AC587" s="85"/>
      <c r="AD587" s="85"/>
      <c r="AE587" s="85"/>
      <c r="AF587" s="85"/>
      <c r="AG587" s="85"/>
      <c r="AH587" s="85"/>
      <c r="AI587" s="85"/>
      <c r="AJ587" s="85"/>
      <c r="AK587" s="83"/>
      <c r="AL587" s="83"/>
      <c r="AM587" s="83"/>
      <c r="AN587" s="83"/>
    </row>
    <row r="588" spans="2:40" ht="15.75" customHeight="1">
      <c r="B588" s="83"/>
      <c r="C588" s="80"/>
      <c r="D588" s="80"/>
      <c r="E588" s="80"/>
      <c r="F588" s="188"/>
      <c r="G588" s="80"/>
      <c r="H588" s="80"/>
      <c r="I588" s="80"/>
      <c r="J588" s="187"/>
      <c r="K588" s="80"/>
      <c r="L588" s="80"/>
      <c r="M588" s="80"/>
      <c r="N588" s="80"/>
      <c r="O588" s="80"/>
      <c r="P588" s="80"/>
      <c r="Q588" s="80"/>
      <c r="R588" s="80"/>
      <c r="S588" s="80"/>
      <c r="T588" s="83"/>
      <c r="U588" s="85"/>
      <c r="V588" s="85"/>
      <c r="W588" s="85"/>
      <c r="X588" s="85"/>
      <c r="Y588" s="85"/>
      <c r="Z588" s="85"/>
      <c r="AA588" s="85"/>
      <c r="AB588" s="85"/>
      <c r="AC588" s="85"/>
      <c r="AD588" s="85"/>
      <c r="AE588" s="85"/>
      <c r="AF588" s="85"/>
      <c r="AG588" s="85"/>
      <c r="AH588" s="85"/>
      <c r="AI588" s="85"/>
      <c r="AJ588" s="85"/>
      <c r="AK588" s="83"/>
      <c r="AL588" s="83"/>
      <c r="AM588" s="83"/>
      <c r="AN588" s="83"/>
    </row>
    <row r="589" spans="2:40" ht="15.75" customHeight="1">
      <c r="B589" s="83"/>
      <c r="C589" s="80"/>
      <c r="D589" s="80"/>
      <c r="E589" s="80"/>
      <c r="F589" s="188"/>
      <c r="G589" s="80"/>
      <c r="H589" s="80"/>
      <c r="I589" s="80"/>
      <c r="J589" s="187"/>
      <c r="K589" s="80"/>
      <c r="L589" s="80"/>
      <c r="M589" s="80"/>
      <c r="N589" s="80"/>
      <c r="O589" s="80"/>
      <c r="P589" s="80"/>
      <c r="Q589" s="80"/>
      <c r="R589" s="80"/>
      <c r="S589" s="80"/>
      <c r="T589" s="83"/>
      <c r="U589" s="85"/>
      <c r="V589" s="85"/>
      <c r="W589" s="85"/>
      <c r="X589" s="85"/>
      <c r="Y589" s="85"/>
      <c r="Z589" s="85"/>
      <c r="AA589" s="85"/>
      <c r="AB589" s="85"/>
      <c r="AC589" s="85"/>
      <c r="AD589" s="85"/>
      <c r="AE589" s="85"/>
      <c r="AF589" s="85"/>
      <c r="AG589" s="85"/>
      <c r="AH589" s="85"/>
      <c r="AI589" s="85"/>
      <c r="AJ589" s="85"/>
      <c r="AK589" s="83"/>
      <c r="AL589" s="83"/>
      <c r="AM589" s="83"/>
      <c r="AN589" s="83"/>
    </row>
    <row r="590" spans="2:40" ht="15.75" customHeight="1">
      <c r="B590" s="83"/>
      <c r="C590" s="80"/>
      <c r="D590" s="80"/>
      <c r="E590" s="80"/>
      <c r="F590" s="188"/>
      <c r="G590" s="80"/>
      <c r="H590" s="80"/>
      <c r="I590" s="80"/>
      <c r="J590" s="187"/>
      <c r="K590" s="80"/>
      <c r="L590" s="80"/>
      <c r="M590" s="80"/>
      <c r="N590" s="80"/>
      <c r="O590" s="80"/>
      <c r="P590" s="80"/>
      <c r="Q590" s="80"/>
      <c r="R590" s="80"/>
      <c r="S590" s="80"/>
      <c r="T590" s="83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3"/>
      <c r="AL590" s="83"/>
      <c r="AM590" s="83"/>
      <c r="AN590" s="83"/>
    </row>
    <row r="591" spans="2:40" ht="15.75" customHeight="1">
      <c r="B591" s="83"/>
      <c r="C591" s="80"/>
      <c r="D591" s="80"/>
      <c r="E591" s="80"/>
      <c r="F591" s="188"/>
      <c r="G591" s="80"/>
      <c r="H591" s="80"/>
      <c r="I591" s="80"/>
      <c r="J591" s="187"/>
      <c r="K591" s="80"/>
      <c r="L591" s="80"/>
      <c r="M591" s="80"/>
      <c r="N591" s="80"/>
      <c r="O591" s="80"/>
      <c r="P591" s="80"/>
      <c r="Q591" s="80"/>
      <c r="R591" s="80"/>
      <c r="S591" s="80"/>
      <c r="T591" s="83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3"/>
      <c r="AL591" s="83"/>
      <c r="AM591" s="83"/>
      <c r="AN591" s="83"/>
    </row>
    <row r="592" spans="2:40" ht="15.75" customHeight="1">
      <c r="B592" s="83"/>
      <c r="C592" s="80"/>
      <c r="D592" s="80"/>
      <c r="E592" s="80"/>
      <c r="F592" s="188"/>
      <c r="G592" s="80"/>
      <c r="H592" s="80"/>
      <c r="I592" s="80"/>
      <c r="J592" s="187"/>
      <c r="K592" s="80"/>
      <c r="L592" s="80"/>
      <c r="M592" s="80"/>
      <c r="N592" s="80"/>
      <c r="O592" s="80"/>
      <c r="P592" s="80"/>
      <c r="Q592" s="80"/>
      <c r="R592" s="80"/>
      <c r="S592" s="80"/>
      <c r="T592" s="83"/>
      <c r="U592" s="85"/>
      <c r="V592" s="85"/>
      <c r="W592" s="85"/>
      <c r="X592" s="85"/>
      <c r="Y592" s="85"/>
      <c r="Z592" s="85"/>
      <c r="AA592" s="85"/>
      <c r="AB592" s="85"/>
      <c r="AC592" s="85"/>
      <c r="AD592" s="85"/>
      <c r="AE592" s="85"/>
      <c r="AF592" s="85"/>
      <c r="AG592" s="85"/>
      <c r="AH592" s="85"/>
      <c r="AI592" s="85"/>
      <c r="AJ592" s="85"/>
      <c r="AK592" s="83"/>
      <c r="AL592" s="83"/>
      <c r="AM592" s="83"/>
      <c r="AN592" s="83"/>
    </row>
    <row r="593" spans="2:40" ht="15.75" customHeight="1">
      <c r="B593" s="83"/>
      <c r="C593" s="80"/>
      <c r="D593" s="80"/>
      <c r="E593" s="80"/>
      <c r="F593" s="188"/>
      <c r="G593" s="80"/>
      <c r="H593" s="80"/>
      <c r="I593" s="80"/>
      <c r="J593" s="187"/>
      <c r="K593" s="80"/>
      <c r="L593" s="80"/>
      <c r="M593" s="80"/>
      <c r="N593" s="80"/>
      <c r="O593" s="80"/>
      <c r="P593" s="80"/>
      <c r="Q593" s="80"/>
      <c r="R593" s="80"/>
      <c r="S593" s="80"/>
      <c r="T593" s="83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3"/>
      <c r="AL593" s="83"/>
      <c r="AM593" s="83"/>
      <c r="AN593" s="83"/>
    </row>
    <row r="594" spans="2:40" ht="15.75" customHeight="1">
      <c r="B594" s="83"/>
      <c r="C594" s="80"/>
      <c r="D594" s="80"/>
      <c r="E594" s="80"/>
      <c r="F594" s="188"/>
      <c r="G594" s="80"/>
      <c r="H594" s="80"/>
      <c r="I594" s="80"/>
      <c r="J594" s="187"/>
      <c r="K594" s="80"/>
      <c r="L594" s="80"/>
      <c r="M594" s="80"/>
      <c r="N594" s="80"/>
      <c r="O594" s="80"/>
      <c r="P594" s="80"/>
      <c r="Q594" s="80"/>
      <c r="R594" s="80"/>
      <c r="S594" s="80"/>
      <c r="T594" s="83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3"/>
      <c r="AL594" s="83"/>
      <c r="AM594" s="83"/>
      <c r="AN594" s="83"/>
    </row>
    <row r="595" spans="2:40" ht="15.75" customHeight="1">
      <c r="B595" s="83"/>
      <c r="C595" s="80"/>
      <c r="D595" s="80"/>
      <c r="E595" s="80"/>
      <c r="F595" s="188"/>
      <c r="G595" s="80"/>
      <c r="H595" s="80"/>
      <c r="I595" s="80"/>
      <c r="J595" s="187"/>
      <c r="K595" s="80"/>
      <c r="L595" s="80"/>
      <c r="M595" s="80"/>
      <c r="N595" s="80"/>
      <c r="O595" s="80"/>
      <c r="P595" s="80"/>
      <c r="Q595" s="80"/>
      <c r="R595" s="80"/>
      <c r="S595" s="80"/>
      <c r="T595" s="83"/>
      <c r="U595" s="85"/>
      <c r="V595" s="85"/>
      <c r="W595" s="85"/>
      <c r="X595" s="85"/>
      <c r="Y595" s="85"/>
      <c r="Z595" s="85"/>
      <c r="AA595" s="85"/>
      <c r="AB595" s="85"/>
      <c r="AC595" s="85"/>
      <c r="AD595" s="85"/>
      <c r="AE595" s="85"/>
      <c r="AF595" s="85"/>
      <c r="AG595" s="85"/>
      <c r="AH595" s="85"/>
      <c r="AI595" s="85"/>
      <c r="AJ595" s="85"/>
      <c r="AK595" s="83"/>
      <c r="AL595" s="83"/>
      <c r="AM595" s="83"/>
      <c r="AN595" s="83"/>
    </row>
    <row r="596" spans="2:40" ht="15.75" customHeight="1">
      <c r="B596" s="83"/>
      <c r="C596" s="80"/>
      <c r="D596" s="80"/>
      <c r="E596" s="80"/>
      <c r="F596" s="188"/>
      <c r="G596" s="80"/>
      <c r="H596" s="80"/>
      <c r="I596" s="80"/>
      <c r="J596" s="187"/>
      <c r="K596" s="80"/>
      <c r="L596" s="80"/>
      <c r="M596" s="80"/>
      <c r="N596" s="80"/>
      <c r="O596" s="80"/>
      <c r="P596" s="80"/>
      <c r="Q596" s="80"/>
      <c r="R596" s="80"/>
      <c r="S596" s="80"/>
      <c r="T596" s="83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3"/>
      <c r="AL596" s="83"/>
      <c r="AM596" s="83"/>
      <c r="AN596" s="83"/>
    </row>
    <row r="597" spans="2:40" ht="15.75" customHeight="1">
      <c r="B597" s="83"/>
      <c r="C597" s="80"/>
      <c r="D597" s="80"/>
      <c r="E597" s="80"/>
      <c r="F597" s="188"/>
      <c r="G597" s="80"/>
      <c r="H597" s="80"/>
      <c r="I597" s="80"/>
      <c r="J597" s="187"/>
      <c r="K597" s="80"/>
      <c r="L597" s="80"/>
      <c r="M597" s="80"/>
      <c r="N597" s="80"/>
      <c r="O597" s="80"/>
      <c r="P597" s="80"/>
      <c r="Q597" s="80"/>
      <c r="R597" s="80"/>
      <c r="S597" s="80"/>
      <c r="T597" s="83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3"/>
      <c r="AL597" s="83"/>
      <c r="AM597" s="83"/>
      <c r="AN597" s="83"/>
    </row>
    <row r="598" spans="2:40" ht="15.75" customHeight="1">
      <c r="B598" s="83"/>
      <c r="C598" s="80"/>
      <c r="D598" s="80"/>
      <c r="E598" s="80"/>
      <c r="F598" s="188"/>
      <c r="G598" s="80"/>
      <c r="H598" s="80"/>
      <c r="I598" s="80"/>
      <c r="J598" s="187"/>
      <c r="K598" s="80"/>
      <c r="L598" s="80"/>
      <c r="M598" s="80"/>
      <c r="N598" s="80"/>
      <c r="O598" s="80"/>
      <c r="P598" s="80"/>
      <c r="Q598" s="80"/>
      <c r="R598" s="80"/>
      <c r="S598" s="80"/>
      <c r="T598" s="83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3"/>
      <c r="AL598" s="83"/>
      <c r="AM598" s="83"/>
      <c r="AN598" s="83"/>
    </row>
    <row r="599" spans="2:40" ht="15.75" customHeight="1">
      <c r="B599" s="83"/>
      <c r="C599" s="80"/>
      <c r="D599" s="80"/>
      <c r="E599" s="80"/>
      <c r="F599" s="188"/>
      <c r="G599" s="80"/>
      <c r="H599" s="80"/>
      <c r="I599" s="80"/>
      <c r="J599" s="187"/>
      <c r="K599" s="80"/>
      <c r="L599" s="80"/>
      <c r="M599" s="80"/>
      <c r="N599" s="80"/>
      <c r="O599" s="80"/>
      <c r="P599" s="80"/>
      <c r="Q599" s="80"/>
      <c r="R599" s="80"/>
      <c r="S599" s="80"/>
      <c r="T599" s="83"/>
      <c r="U599" s="85"/>
      <c r="V599" s="85"/>
      <c r="W599" s="85"/>
      <c r="X599" s="85"/>
      <c r="Y599" s="85"/>
      <c r="Z599" s="85"/>
      <c r="AA599" s="85"/>
      <c r="AB599" s="85"/>
      <c r="AC599" s="85"/>
      <c r="AD599" s="85"/>
      <c r="AE599" s="85"/>
      <c r="AF599" s="85"/>
      <c r="AG599" s="85"/>
      <c r="AH599" s="85"/>
      <c r="AI599" s="85"/>
      <c r="AJ599" s="85"/>
      <c r="AK599" s="83"/>
      <c r="AL599" s="83"/>
      <c r="AM599" s="83"/>
      <c r="AN599" s="83"/>
    </row>
    <row r="600" spans="2:40" ht="15.75" customHeight="1">
      <c r="B600" s="83"/>
      <c r="C600" s="80"/>
      <c r="D600" s="80"/>
      <c r="E600" s="80"/>
      <c r="F600" s="188"/>
      <c r="G600" s="80"/>
      <c r="H600" s="80"/>
      <c r="I600" s="80"/>
      <c r="J600" s="187"/>
      <c r="K600" s="80"/>
      <c r="L600" s="80"/>
      <c r="M600" s="80"/>
      <c r="N600" s="80"/>
      <c r="O600" s="80"/>
      <c r="P600" s="80"/>
      <c r="Q600" s="80"/>
      <c r="R600" s="80"/>
      <c r="S600" s="80"/>
      <c r="T600" s="83"/>
      <c r="U600" s="85"/>
      <c r="V600" s="85"/>
      <c r="W600" s="85"/>
      <c r="X600" s="85"/>
      <c r="Y600" s="85"/>
      <c r="Z600" s="85"/>
      <c r="AA600" s="85"/>
      <c r="AB600" s="85"/>
      <c r="AC600" s="85"/>
      <c r="AD600" s="85"/>
      <c r="AE600" s="85"/>
      <c r="AF600" s="85"/>
      <c r="AG600" s="85"/>
      <c r="AH600" s="85"/>
      <c r="AI600" s="85"/>
      <c r="AJ600" s="85"/>
      <c r="AK600" s="83"/>
      <c r="AL600" s="83"/>
      <c r="AM600" s="83"/>
      <c r="AN600" s="83"/>
    </row>
    <row r="601" spans="2:40" ht="15.75" customHeight="1">
      <c r="B601" s="83"/>
      <c r="C601" s="80"/>
      <c r="D601" s="80"/>
      <c r="E601" s="80"/>
      <c r="F601" s="188"/>
      <c r="G601" s="80"/>
      <c r="H601" s="80"/>
      <c r="I601" s="80"/>
      <c r="J601" s="187"/>
      <c r="K601" s="80"/>
      <c r="L601" s="80"/>
      <c r="M601" s="80"/>
      <c r="N601" s="80"/>
      <c r="O601" s="80"/>
      <c r="P601" s="80"/>
      <c r="Q601" s="80"/>
      <c r="R601" s="80"/>
      <c r="S601" s="80"/>
      <c r="T601" s="83"/>
      <c r="U601" s="85"/>
      <c r="V601" s="85"/>
      <c r="W601" s="85"/>
      <c r="X601" s="85"/>
      <c r="Y601" s="85"/>
      <c r="Z601" s="85"/>
      <c r="AA601" s="85"/>
      <c r="AB601" s="85"/>
      <c r="AC601" s="85"/>
      <c r="AD601" s="85"/>
      <c r="AE601" s="85"/>
      <c r="AF601" s="85"/>
      <c r="AG601" s="85"/>
      <c r="AH601" s="85"/>
      <c r="AI601" s="85"/>
      <c r="AJ601" s="85"/>
      <c r="AK601" s="83"/>
      <c r="AL601" s="83"/>
      <c r="AM601" s="83"/>
      <c r="AN601" s="83"/>
    </row>
    <row r="602" spans="2:40" ht="15.75" customHeight="1">
      <c r="B602" s="83"/>
      <c r="C602" s="80"/>
      <c r="D602" s="80"/>
      <c r="E602" s="80"/>
      <c r="F602" s="188"/>
      <c r="G602" s="80"/>
      <c r="H602" s="80"/>
      <c r="I602" s="80"/>
      <c r="J602" s="187"/>
      <c r="K602" s="80"/>
      <c r="L602" s="80"/>
      <c r="M602" s="80"/>
      <c r="N602" s="80"/>
      <c r="O602" s="80"/>
      <c r="P602" s="80"/>
      <c r="Q602" s="80"/>
      <c r="R602" s="80"/>
      <c r="S602" s="80"/>
      <c r="T602" s="83"/>
      <c r="U602" s="85"/>
      <c r="V602" s="85"/>
      <c r="W602" s="85"/>
      <c r="X602" s="85"/>
      <c r="Y602" s="85"/>
      <c r="Z602" s="85"/>
      <c r="AA602" s="85"/>
      <c r="AB602" s="85"/>
      <c r="AC602" s="85"/>
      <c r="AD602" s="85"/>
      <c r="AE602" s="85"/>
      <c r="AF602" s="85"/>
      <c r="AG602" s="85"/>
      <c r="AH602" s="85"/>
      <c r="AI602" s="85"/>
      <c r="AJ602" s="85"/>
      <c r="AK602" s="83"/>
      <c r="AL602" s="83"/>
      <c r="AM602" s="83"/>
      <c r="AN602" s="83"/>
    </row>
    <row r="603" spans="2:40" ht="15.75" customHeight="1">
      <c r="B603" s="83"/>
      <c r="C603" s="80"/>
      <c r="D603" s="80"/>
      <c r="E603" s="80"/>
      <c r="F603" s="188"/>
      <c r="G603" s="80"/>
      <c r="H603" s="80"/>
      <c r="I603" s="80"/>
      <c r="J603" s="187"/>
      <c r="K603" s="80"/>
      <c r="L603" s="80"/>
      <c r="M603" s="80"/>
      <c r="N603" s="80"/>
      <c r="O603" s="80"/>
      <c r="P603" s="80"/>
      <c r="Q603" s="80"/>
      <c r="R603" s="80"/>
      <c r="S603" s="80"/>
      <c r="T603" s="83"/>
      <c r="U603" s="85"/>
      <c r="V603" s="85"/>
      <c r="W603" s="85"/>
      <c r="X603" s="85"/>
      <c r="Y603" s="85"/>
      <c r="Z603" s="85"/>
      <c r="AA603" s="85"/>
      <c r="AB603" s="85"/>
      <c r="AC603" s="85"/>
      <c r="AD603" s="85"/>
      <c r="AE603" s="85"/>
      <c r="AF603" s="85"/>
      <c r="AG603" s="85"/>
      <c r="AH603" s="85"/>
      <c r="AI603" s="85"/>
      <c r="AJ603" s="85"/>
      <c r="AK603" s="83"/>
      <c r="AL603" s="83"/>
      <c r="AM603" s="83"/>
      <c r="AN603" s="83"/>
    </row>
    <row r="604" spans="2:40" ht="15.75" customHeight="1">
      <c r="B604" s="83"/>
      <c r="C604" s="80"/>
      <c r="D604" s="80"/>
      <c r="E604" s="80"/>
      <c r="F604" s="188"/>
      <c r="G604" s="80"/>
      <c r="H604" s="80"/>
      <c r="I604" s="80"/>
      <c r="J604" s="187"/>
      <c r="K604" s="80"/>
      <c r="L604" s="80"/>
      <c r="M604" s="80"/>
      <c r="N604" s="80"/>
      <c r="O604" s="80"/>
      <c r="P604" s="80"/>
      <c r="Q604" s="80"/>
      <c r="R604" s="80"/>
      <c r="S604" s="80"/>
      <c r="T604" s="83"/>
      <c r="U604" s="85"/>
      <c r="V604" s="85"/>
      <c r="W604" s="85"/>
      <c r="X604" s="85"/>
      <c r="Y604" s="85"/>
      <c r="Z604" s="85"/>
      <c r="AA604" s="85"/>
      <c r="AB604" s="85"/>
      <c r="AC604" s="85"/>
      <c r="AD604" s="85"/>
      <c r="AE604" s="85"/>
      <c r="AF604" s="85"/>
      <c r="AG604" s="85"/>
      <c r="AH604" s="85"/>
      <c r="AI604" s="85"/>
      <c r="AJ604" s="85"/>
      <c r="AK604" s="83"/>
      <c r="AL604" s="83"/>
      <c r="AM604" s="83"/>
      <c r="AN604" s="83"/>
    </row>
    <row r="605" spans="2:40" ht="15.75" customHeight="1">
      <c r="B605" s="83"/>
      <c r="C605" s="80"/>
      <c r="D605" s="80"/>
      <c r="E605" s="80"/>
      <c r="F605" s="188"/>
      <c r="G605" s="80"/>
      <c r="H605" s="80"/>
      <c r="I605" s="80"/>
      <c r="J605" s="187"/>
      <c r="K605" s="80"/>
      <c r="L605" s="80"/>
      <c r="M605" s="80"/>
      <c r="N605" s="80"/>
      <c r="O605" s="80"/>
      <c r="P605" s="80"/>
      <c r="Q605" s="80"/>
      <c r="R605" s="80"/>
      <c r="S605" s="80"/>
      <c r="T605" s="83"/>
      <c r="U605" s="85"/>
      <c r="V605" s="85"/>
      <c r="W605" s="85"/>
      <c r="X605" s="85"/>
      <c r="Y605" s="85"/>
      <c r="Z605" s="85"/>
      <c r="AA605" s="85"/>
      <c r="AB605" s="85"/>
      <c r="AC605" s="85"/>
      <c r="AD605" s="85"/>
      <c r="AE605" s="85"/>
      <c r="AF605" s="85"/>
      <c r="AG605" s="85"/>
      <c r="AH605" s="85"/>
      <c r="AI605" s="85"/>
      <c r="AJ605" s="85"/>
      <c r="AK605" s="83"/>
      <c r="AL605" s="83"/>
      <c r="AM605" s="83"/>
      <c r="AN605" s="83"/>
    </row>
    <row r="606" spans="2:40" ht="15.75" customHeight="1">
      <c r="B606" s="83"/>
      <c r="C606" s="80"/>
      <c r="D606" s="80"/>
      <c r="E606" s="80"/>
      <c r="F606" s="188"/>
      <c r="G606" s="80"/>
      <c r="H606" s="80"/>
      <c r="I606" s="80"/>
      <c r="J606" s="187"/>
      <c r="K606" s="80"/>
      <c r="L606" s="80"/>
      <c r="M606" s="80"/>
      <c r="N606" s="80"/>
      <c r="O606" s="80"/>
      <c r="P606" s="80"/>
      <c r="Q606" s="80"/>
      <c r="R606" s="80"/>
      <c r="S606" s="80"/>
      <c r="T606" s="83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3"/>
      <c r="AL606" s="83"/>
      <c r="AM606" s="83"/>
      <c r="AN606" s="83"/>
    </row>
    <row r="607" spans="2:40" ht="15.75" customHeight="1">
      <c r="B607" s="83"/>
      <c r="C607" s="80"/>
      <c r="D607" s="80"/>
      <c r="E607" s="80"/>
      <c r="F607" s="188"/>
      <c r="G607" s="80"/>
      <c r="H607" s="80"/>
      <c r="I607" s="80"/>
      <c r="J607" s="187"/>
      <c r="K607" s="80"/>
      <c r="L607" s="80"/>
      <c r="M607" s="80"/>
      <c r="N607" s="80"/>
      <c r="O607" s="80"/>
      <c r="P607" s="80"/>
      <c r="Q607" s="80"/>
      <c r="R607" s="80"/>
      <c r="S607" s="80"/>
      <c r="T607" s="83"/>
      <c r="U607" s="85"/>
      <c r="V607" s="85"/>
      <c r="W607" s="85"/>
      <c r="X607" s="85"/>
      <c r="Y607" s="85"/>
      <c r="Z607" s="85"/>
      <c r="AA607" s="85"/>
      <c r="AB607" s="85"/>
      <c r="AC607" s="85"/>
      <c r="AD607" s="85"/>
      <c r="AE607" s="85"/>
      <c r="AF607" s="85"/>
      <c r="AG607" s="85"/>
      <c r="AH607" s="85"/>
      <c r="AI607" s="85"/>
      <c r="AJ607" s="85"/>
      <c r="AK607" s="83"/>
      <c r="AL607" s="83"/>
      <c r="AM607" s="83"/>
      <c r="AN607" s="83"/>
    </row>
    <row r="608" spans="2:40" ht="15.75" customHeight="1">
      <c r="B608" s="83"/>
      <c r="C608" s="80"/>
      <c r="D608" s="80"/>
      <c r="E608" s="80"/>
      <c r="F608" s="188"/>
      <c r="G608" s="80"/>
      <c r="H608" s="80"/>
      <c r="I608" s="80"/>
      <c r="J608" s="187"/>
      <c r="K608" s="80"/>
      <c r="L608" s="80"/>
      <c r="M608" s="80"/>
      <c r="N608" s="80"/>
      <c r="O608" s="80"/>
      <c r="P608" s="80"/>
      <c r="Q608" s="80"/>
      <c r="R608" s="80"/>
      <c r="S608" s="80"/>
      <c r="T608" s="83"/>
      <c r="U608" s="85"/>
      <c r="V608" s="85"/>
      <c r="W608" s="85"/>
      <c r="X608" s="85"/>
      <c r="Y608" s="85"/>
      <c r="Z608" s="85"/>
      <c r="AA608" s="85"/>
      <c r="AB608" s="85"/>
      <c r="AC608" s="85"/>
      <c r="AD608" s="85"/>
      <c r="AE608" s="85"/>
      <c r="AF608" s="85"/>
      <c r="AG608" s="85"/>
      <c r="AH608" s="85"/>
      <c r="AI608" s="85"/>
      <c r="AJ608" s="85"/>
      <c r="AK608" s="83"/>
      <c r="AL608" s="83"/>
      <c r="AM608" s="83"/>
      <c r="AN608" s="83"/>
    </row>
    <row r="609" spans="2:40" ht="15.75" customHeight="1">
      <c r="B609" s="83"/>
      <c r="C609" s="80"/>
      <c r="D609" s="80"/>
      <c r="E609" s="80"/>
      <c r="F609" s="188"/>
      <c r="G609" s="80"/>
      <c r="H609" s="80"/>
      <c r="I609" s="80"/>
      <c r="J609" s="187"/>
      <c r="K609" s="80"/>
      <c r="L609" s="80"/>
      <c r="M609" s="80"/>
      <c r="N609" s="80"/>
      <c r="O609" s="80"/>
      <c r="P609" s="80"/>
      <c r="Q609" s="80"/>
      <c r="R609" s="80"/>
      <c r="S609" s="80"/>
      <c r="T609" s="83"/>
      <c r="U609" s="85"/>
      <c r="V609" s="85"/>
      <c r="W609" s="85"/>
      <c r="X609" s="85"/>
      <c r="Y609" s="85"/>
      <c r="Z609" s="85"/>
      <c r="AA609" s="85"/>
      <c r="AB609" s="85"/>
      <c r="AC609" s="85"/>
      <c r="AD609" s="85"/>
      <c r="AE609" s="85"/>
      <c r="AF609" s="85"/>
      <c r="AG609" s="85"/>
      <c r="AH609" s="85"/>
      <c r="AI609" s="85"/>
      <c r="AJ609" s="85"/>
      <c r="AK609" s="83"/>
      <c r="AL609" s="83"/>
      <c r="AM609" s="83"/>
      <c r="AN609" s="83"/>
    </row>
    <row r="610" spans="2:40" ht="15.75" customHeight="1">
      <c r="B610" s="83"/>
      <c r="C610" s="80"/>
      <c r="D610" s="80"/>
      <c r="E610" s="80"/>
      <c r="F610" s="188"/>
      <c r="G610" s="80"/>
      <c r="H610" s="80"/>
      <c r="I610" s="80"/>
      <c r="J610" s="187"/>
      <c r="K610" s="80"/>
      <c r="L610" s="80"/>
      <c r="M610" s="80"/>
      <c r="N610" s="80"/>
      <c r="O610" s="80"/>
      <c r="P610" s="80"/>
      <c r="Q610" s="80"/>
      <c r="R610" s="80"/>
      <c r="S610" s="80"/>
      <c r="T610" s="83"/>
      <c r="U610" s="85"/>
      <c r="V610" s="85"/>
      <c r="W610" s="85"/>
      <c r="X610" s="85"/>
      <c r="Y610" s="85"/>
      <c r="Z610" s="85"/>
      <c r="AA610" s="85"/>
      <c r="AB610" s="85"/>
      <c r="AC610" s="85"/>
      <c r="AD610" s="85"/>
      <c r="AE610" s="85"/>
      <c r="AF610" s="85"/>
      <c r="AG610" s="85"/>
      <c r="AH610" s="85"/>
      <c r="AI610" s="85"/>
      <c r="AJ610" s="85"/>
      <c r="AK610" s="83"/>
      <c r="AL610" s="83"/>
      <c r="AM610" s="83"/>
      <c r="AN610" s="83"/>
    </row>
    <row r="611" spans="2:40" ht="15.75" customHeight="1">
      <c r="B611" s="83"/>
      <c r="C611" s="80"/>
      <c r="D611" s="80"/>
      <c r="E611" s="80"/>
      <c r="F611" s="188"/>
      <c r="G611" s="80"/>
      <c r="H611" s="80"/>
      <c r="I611" s="80"/>
      <c r="J611" s="187"/>
      <c r="K611" s="80"/>
      <c r="L611" s="80"/>
      <c r="M611" s="80"/>
      <c r="N611" s="80"/>
      <c r="O611" s="80"/>
      <c r="P611" s="80"/>
      <c r="Q611" s="80"/>
      <c r="R611" s="80"/>
      <c r="S611" s="80"/>
      <c r="T611" s="83"/>
      <c r="U611" s="85"/>
      <c r="V611" s="85"/>
      <c r="W611" s="85"/>
      <c r="X611" s="85"/>
      <c r="Y611" s="85"/>
      <c r="Z611" s="85"/>
      <c r="AA611" s="85"/>
      <c r="AB611" s="85"/>
      <c r="AC611" s="85"/>
      <c r="AD611" s="85"/>
      <c r="AE611" s="85"/>
      <c r="AF611" s="85"/>
      <c r="AG611" s="85"/>
      <c r="AH611" s="85"/>
      <c r="AI611" s="85"/>
      <c r="AJ611" s="85"/>
      <c r="AK611" s="83"/>
      <c r="AL611" s="83"/>
      <c r="AM611" s="83"/>
      <c r="AN611" s="83"/>
    </row>
    <row r="612" spans="2:40" ht="15.75" customHeight="1">
      <c r="B612" s="83"/>
      <c r="C612" s="80"/>
      <c r="D612" s="80"/>
      <c r="E612" s="80"/>
      <c r="F612" s="188"/>
      <c r="G612" s="80"/>
      <c r="H612" s="80"/>
      <c r="I612" s="80"/>
      <c r="J612" s="187"/>
      <c r="K612" s="80"/>
      <c r="L612" s="80"/>
      <c r="M612" s="80"/>
      <c r="N612" s="80"/>
      <c r="O612" s="80"/>
      <c r="P612" s="80"/>
      <c r="Q612" s="80"/>
      <c r="R612" s="80"/>
      <c r="S612" s="80"/>
      <c r="T612" s="83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3"/>
      <c r="AL612" s="83"/>
      <c r="AM612" s="83"/>
      <c r="AN612" s="83"/>
    </row>
    <row r="613" spans="2:40" ht="15.75" customHeight="1">
      <c r="B613" s="83"/>
      <c r="C613" s="80"/>
      <c r="D613" s="80"/>
      <c r="E613" s="80"/>
      <c r="F613" s="188"/>
      <c r="G613" s="80"/>
      <c r="H613" s="80"/>
      <c r="I613" s="80"/>
      <c r="J613" s="187"/>
      <c r="K613" s="80"/>
      <c r="L613" s="80"/>
      <c r="M613" s="80"/>
      <c r="N613" s="80"/>
      <c r="O613" s="80"/>
      <c r="P613" s="80"/>
      <c r="Q613" s="80"/>
      <c r="R613" s="80"/>
      <c r="S613" s="80"/>
      <c r="T613" s="83"/>
      <c r="U613" s="85"/>
      <c r="V613" s="85"/>
      <c r="W613" s="85"/>
      <c r="X613" s="85"/>
      <c r="Y613" s="85"/>
      <c r="Z613" s="85"/>
      <c r="AA613" s="85"/>
      <c r="AB613" s="85"/>
      <c r="AC613" s="85"/>
      <c r="AD613" s="85"/>
      <c r="AE613" s="85"/>
      <c r="AF613" s="85"/>
      <c r="AG613" s="85"/>
      <c r="AH613" s="85"/>
      <c r="AI613" s="85"/>
      <c r="AJ613" s="85"/>
      <c r="AK613" s="83"/>
      <c r="AL613" s="83"/>
      <c r="AM613" s="83"/>
      <c r="AN613" s="83"/>
    </row>
    <row r="614" spans="2:40" ht="15.75" customHeight="1">
      <c r="B614" s="83"/>
      <c r="C614" s="80"/>
      <c r="D614" s="80"/>
      <c r="E614" s="80"/>
      <c r="F614" s="188"/>
      <c r="G614" s="80"/>
      <c r="H614" s="80"/>
      <c r="I614" s="80"/>
      <c r="J614" s="187"/>
      <c r="K614" s="80"/>
      <c r="L614" s="80"/>
      <c r="M614" s="80"/>
      <c r="N614" s="80"/>
      <c r="O614" s="80"/>
      <c r="P614" s="80"/>
      <c r="Q614" s="80"/>
      <c r="R614" s="80"/>
      <c r="S614" s="80"/>
      <c r="T614" s="83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3"/>
      <c r="AL614" s="83"/>
      <c r="AM614" s="83"/>
      <c r="AN614" s="83"/>
    </row>
    <row r="615" spans="2:40" ht="15.75" customHeight="1">
      <c r="B615" s="83"/>
      <c r="C615" s="80"/>
      <c r="D615" s="80"/>
      <c r="E615" s="80"/>
      <c r="F615" s="188"/>
      <c r="G615" s="80"/>
      <c r="H615" s="80"/>
      <c r="I615" s="80"/>
      <c r="J615" s="187"/>
      <c r="K615" s="80"/>
      <c r="L615" s="80"/>
      <c r="M615" s="80"/>
      <c r="N615" s="80"/>
      <c r="O615" s="80"/>
      <c r="P615" s="80"/>
      <c r="Q615" s="80"/>
      <c r="R615" s="80"/>
      <c r="S615" s="80"/>
      <c r="T615" s="83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3"/>
      <c r="AL615" s="83"/>
      <c r="AM615" s="83"/>
      <c r="AN615" s="83"/>
    </row>
    <row r="616" spans="2:40" ht="15.75" customHeight="1">
      <c r="B616" s="83"/>
      <c r="C616" s="80"/>
      <c r="D616" s="80"/>
      <c r="E616" s="80"/>
      <c r="F616" s="188"/>
      <c r="G616" s="80"/>
      <c r="H616" s="80"/>
      <c r="I616" s="80"/>
      <c r="J616" s="187"/>
      <c r="K616" s="80"/>
      <c r="L616" s="80"/>
      <c r="M616" s="80"/>
      <c r="N616" s="80"/>
      <c r="O616" s="80"/>
      <c r="P616" s="80"/>
      <c r="Q616" s="80"/>
      <c r="R616" s="80"/>
      <c r="S616" s="80"/>
      <c r="T616" s="83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3"/>
      <c r="AL616" s="83"/>
      <c r="AM616" s="83"/>
      <c r="AN616" s="83"/>
    </row>
    <row r="617" spans="2:40" ht="15.75" customHeight="1">
      <c r="B617" s="83"/>
      <c r="C617" s="80"/>
      <c r="D617" s="80"/>
      <c r="E617" s="80"/>
      <c r="F617" s="188"/>
      <c r="G617" s="80"/>
      <c r="H617" s="80"/>
      <c r="I617" s="80"/>
      <c r="J617" s="187"/>
      <c r="K617" s="80"/>
      <c r="L617" s="80"/>
      <c r="M617" s="80"/>
      <c r="N617" s="80"/>
      <c r="O617" s="80"/>
      <c r="P617" s="80"/>
      <c r="Q617" s="80"/>
      <c r="R617" s="80"/>
      <c r="S617" s="80"/>
      <c r="T617" s="83"/>
      <c r="U617" s="85"/>
      <c r="V617" s="85"/>
      <c r="W617" s="85"/>
      <c r="X617" s="85"/>
      <c r="Y617" s="85"/>
      <c r="Z617" s="85"/>
      <c r="AA617" s="85"/>
      <c r="AB617" s="85"/>
      <c r="AC617" s="85"/>
      <c r="AD617" s="85"/>
      <c r="AE617" s="85"/>
      <c r="AF617" s="85"/>
      <c r="AG617" s="85"/>
      <c r="AH617" s="85"/>
      <c r="AI617" s="85"/>
      <c r="AJ617" s="85"/>
      <c r="AK617" s="83"/>
      <c r="AL617" s="83"/>
      <c r="AM617" s="83"/>
      <c r="AN617" s="83"/>
    </row>
    <row r="618" spans="2:40" ht="15.75" customHeight="1">
      <c r="B618" s="83"/>
      <c r="C618" s="80"/>
      <c r="D618" s="80"/>
      <c r="E618" s="80"/>
      <c r="F618" s="188"/>
      <c r="G618" s="80"/>
      <c r="H618" s="80"/>
      <c r="I618" s="80"/>
      <c r="J618" s="187"/>
      <c r="K618" s="80"/>
      <c r="L618" s="80"/>
      <c r="M618" s="80"/>
      <c r="N618" s="80"/>
      <c r="O618" s="80"/>
      <c r="P618" s="80"/>
      <c r="Q618" s="80"/>
      <c r="R618" s="80"/>
      <c r="S618" s="80"/>
      <c r="T618" s="83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3"/>
      <c r="AL618" s="83"/>
      <c r="AM618" s="83"/>
      <c r="AN618" s="83"/>
    </row>
    <row r="619" spans="2:40" ht="15.75" customHeight="1">
      <c r="B619" s="83"/>
      <c r="C619" s="80"/>
      <c r="D619" s="80"/>
      <c r="E619" s="80"/>
      <c r="F619" s="188"/>
      <c r="G619" s="80"/>
      <c r="H619" s="80"/>
      <c r="I619" s="80"/>
      <c r="J619" s="187"/>
      <c r="K619" s="80"/>
      <c r="L619" s="80"/>
      <c r="M619" s="80"/>
      <c r="N619" s="80"/>
      <c r="O619" s="80"/>
      <c r="P619" s="80"/>
      <c r="Q619" s="80"/>
      <c r="R619" s="80"/>
      <c r="S619" s="80"/>
      <c r="T619" s="83"/>
      <c r="U619" s="85"/>
      <c r="V619" s="85"/>
      <c r="W619" s="85"/>
      <c r="X619" s="85"/>
      <c r="Y619" s="85"/>
      <c r="Z619" s="85"/>
      <c r="AA619" s="85"/>
      <c r="AB619" s="85"/>
      <c r="AC619" s="85"/>
      <c r="AD619" s="85"/>
      <c r="AE619" s="85"/>
      <c r="AF619" s="85"/>
      <c r="AG619" s="85"/>
      <c r="AH619" s="85"/>
      <c r="AI619" s="85"/>
      <c r="AJ619" s="85"/>
      <c r="AK619" s="83"/>
      <c r="AL619" s="83"/>
      <c r="AM619" s="83"/>
      <c r="AN619" s="83"/>
    </row>
    <row r="620" spans="2:40" ht="15.75" customHeight="1">
      <c r="B620" s="83"/>
      <c r="C620" s="80"/>
      <c r="D620" s="80"/>
      <c r="E620" s="80"/>
      <c r="F620" s="188"/>
      <c r="G620" s="80"/>
      <c r="H620" s="80"/>
      <c r="I620" s="80"/>
      <c r="J620" s="187"/>
      <c r="K620" s="80"/>
      <c r="L620" s="80"/>
      <c r="M620" s="80"/>
      <c r="N620" s="80"/>
      <c r="O620" s="80"/>
      <c r="P620" s="80"/>
      <c r="Q620" s="80"/>
      <c r="R620" s="80"/>
      <c r="S620" s="80"/>
      <c r="T620" s="83"/>
      <c r="U620" s="85"/>
      <c r="V620" s="85"/>
      <c r="W620" s="85"/>
      <c r="X620" s="85"/>
      <c r="Y620" s="85"/>
      <c r="Z620" s="85"/>
      <c r="AA620" s="85"/>
      <c r="AB620" s="85"/>
      <c r="AC620" s="85"/>
      <c r="AD620" s="85"/>
      <c r="AE620" s="85"/>
      <c r="AF620" s="85"/>
      <c r="AG620" s="85"/>
      <c r="AH620" s="85"/>
      <c r="AI620" s="85"/>
      <c r="AJ620" s="85"/>
      <c r="AK620" s="83"/>
      <c r="AL620" s="83"/>
      <c r="AM620" s="83"/>
      <c r="AN620" s="83"/>
    </row>
    <row r="621" spans="2:40" ht="15.75" customHeight="1">
      <c r="B621" s="83"/>
      <c r="C621" s="80"/>
      <c r="D621" s="80"/>
      <c r="E621" s="80"/>
      <c r="F621" s="188"/>
      <c r="G621" s="80"/>
      <c r="H621" s="80"/>
      <c r="I621" s="80"/>
      <c r="J621" s="187"/>
      <c r="K621" s="80"/>
      <c r="L621" s="80"/>
      <c r="M621" s="80"/>
      <c r="N621" s="80"/>
      <c r="O621" s="80"/>
      <c r="P621" s="80"/>
      <c r="Q621" s="80"/>
      <c r="R621" s="80"/>
      <c r="S621" s="80"/>
      <c r="T621" s="83"/>
      <c r="U621" s="85"/>
      <c r="V621" s="85"/>
      <c r="W621" s="85"/>
      <c r="X621" s="85"/>
      <c r="Y621" s="85"/>
      <c r="Z621" s="85"/>
      <c r="AA621" s="85"/>
      <c r="AB621" s="85"/>
      <c r="AC621" s="85"/>
      <c r="AD621" s="85"/>
      <c r="AE621" s="85"/>
      <c r="AF621" s="85"/>
      <c r="AG621" s="85"/>
      <c r="AH621" s="85"/>
      <c r="AI621" s="85"/>
      <c r="AJ621" s="85"/>
      <c r="AK621" s="83"/>
      <c r="AL621" s="83"/>
      <c r="AM621" s="83"/>
      <c r="AN621" s="83"/>
    </row>
    <row r="622" spans="2:40" ht="15.75" customHeight="1">
      <c r="B622" s="83"/>
      <c r="C622" s="80"/>
      <c r="D622" s="80"/>
      <c r="E622" s="80"/>
      <c r="F622" s="188"/>
      <c r="G622" s="80"/>
      <c r="H622" s="80"/>
      <c r="I622" s="80"/>
      <c r="J622" s="187"/>
      <c r="K622" s="80"/>
      <c r="L622" s="80"/>
      <c r="M622" s="80"/>
      <c r="N622" s="80"/>
      <c r="O622" s="80"/>
      <c r="P622" s="80"/>
      <c r="Q622" s="80"/>
      <c r="R622" s="80"/>
      <c r="S622" s="80"/>
      <c r="T622" s="83"/>
      <c r="U622" s="85"/>
      <c r="V622" s="85"/>
      <c r="W622" s="85"/>
      <c r="X622" s="85"/>
      <c r="Y622" s="85"/>
      <c r="Z622" s="85"/>
      <c r="AA622" s="85"/>
      <c r="AB622" s="85"/>
      <c r="AC622" s="85"/>
      <c r="AD622" s="85"/>
      <c r="AE622" s="85"/>
      <c r="AF622" s="85"/>
      <c r="AG622" s="85"/>
      <c r="AH622" s="85"/>
      <c r="AI622" s="85"/>
      <c r="AJ622" s="85"/>
      <c r="AK622" s="83"/>
      <c r="AL622" s="83"/>
      <c r="AM622" s="83"/>
      <c r="AN622" s="83"/>
    </row>
    <row r="623" spans="2:40" ht="15.75" customHeight="1">
      <c r="B623" s="83"/>
      <c r="C623" s="80"/>
      <c r="D623" s="80"/>
      <c r="E623" s="80"/>
      <c r="F623" s="188"/>
      <c r="G623" s="80"/>
      <c r="H623" s="80"/>
      <c r="I623" s="80"/>
      <c r="J623" s="187"/>
      <c r="K623" s="80"/>
      <c r="L623" s="80"/>
      <c r="M623" s="80"/>
      <c r="N623" s="80"/>
      <c r="O623" s="80"/>
      <c r="P623" s="80"/>
      <c r="Q623" s="80"/>
      <c r="R623" s="80"/>
      <c r="S623" s="80"/>
      <c r="T623" s="83"/>
      <c r="U623" s="85"/>
      <c r="V623" s="85"/>
      <c r="W623" s="85"/>
      <c r="X623" s="85"/>
      <c r="Y623" s="85"/>
      <c r="Z623" s="85"/>
      <c r="AA623" s="85"/>
      <c r="AB623" s="85"/>
      <c r="AC623" s="85"/>
      <c r="AD623" s="85"/>
      <c r="AE623" s="85"/>
      <c r="AF623" s="85"/>
      <c r="AG623" s="85"/>
      <c r="AH623" s="85"/>
      <c r="AI623" s="85"/>
      <c r="AJ623" s="85"/>
      <c r="AK623" s="83"/>
      <c r="AL623" s="83"/>
      <c r="AM623" s="83"/>
      <c r="AN623" s="83"/>
    </row>
    <row r="624" spans="2:40" ht="15.75" customHeight="1">
      <c r="B624" s="83"/>
      <c r="C624" s="80"/>
      <c r="D624" s="80"/>
      <c r="E624" s="80"/>
      <c r="F624" s="188"/>
      <c r="G624" s="80"/>
      <c r="H624" s="80"/>
      <c r="I624" s="80"/>
      <c r="J624" s="187"/>
      <c r="K624" s="80"/>
      <c r="L624" s="80"/>
      <c r="M624" s="80"/>
      <c r="N624" s="80"/>
      <c r="O624" s="80"/>
      <c r="P624" s="80"/>
      <c r="Q624" s="80"/>
      <c r="R624" s="80"/>
      <c r="S624" s="80"/>
      <c r="T624" s="83"/>
      <c r="U624" s="85"/>
      <c r="V624" s="85"/>
      <c r="W624" s="85"/>
      <c r="X624" s="85"/>
      <c r="Y624" s="85"/>
      <c r="Z624" s="85"/>
      <c r="AA624" s="85"/>
      <c r="AB624" s="85"/>
      <c r="AC624" s="85"/>
      <c r="AD624" s="85"/>
      <c r="AE624" s="85"/>
      <c r="AF624" s="85"/>
      <c r="AG624" s="85"/>
      <c r="AH624" s="85"/>
      <c r="AI624" s="85"/>
      <c r="AJ624" s="85"/>
      <c r="AK624" s="83"/>
      <c r="AL624" s="83"/>
      <c r="AM624" s="83"/>
      <c r="AN624" s="83"/>
    </row>
    <row r="625" spans="2:40" ht="15.75" customHeight="1">
      <c r="B625" s="83"/>
      <c r="C625" s="80"/>
      <c r="D625" s="80"/>
      <c r="E625" s="80"/>
      <c r="F625" s="188"/>
      <c r="G625" s="80"/>
      <c r="H625" s="80"/>
      <c r="I625" s="80"/>
      <c r="J625" s="187"/>
      <c r="K625" s="80"/>
      <c r="L625" s="80"/>
      <c r="M625" s="80"/>
      <c r="N625" s="80"/>
      <c r="O625" s="80"/>
      <c r="P625" s="80"/>
      <c r="Q625" s="80"/>
      <c r="R625" s="80"/>
      <c r="S625" s="80"/>
      <c r="T625" s="83"/>
      <c r="U625" s="85"/>
      <c r="V625" s="85"/>
      <c r="W625" s="85"/>
      <c r="X625" s="85"/>
      <c r="Y625" s="85"/>
      <c r="Z625" s="85"/>
      <c r="AA625" s="85"/>
      <c r="AB625" s="85"/>
      <c r="AC625" s="85"/>
      <c r="AD625" s="85"/>
      <c r="AE625" s="85"/>
      <c r="AF625" s="85"/>
      <c r="AG625" s="85"/>
      <c r="AH625" s="85"/>
      <c r="AI625" s="85"/>
      <c r="AJ625" s="85"/>
      <c r="AK625" s="83"/>
      <c r="AL625" s="83"/>
      <c r="AM625" s="83"/>
      <c r="AN625" s="83"/>
    </row>
    <row r="626" spans="2:40" ht="15.75" customHeight="1">
      <c r="B626" s="83"/>
      <c r="C626" s="80"/>
      <c r="D626" s="80"/>
      <c r="E626" s="80"/>
      <c r="F626" s="188"/>
      <c r="G626" s="80"/>
      <c r="H626" s="80"/>
      <c r="I626" s="80"/>
      <c r="J626" s="187"/>
      <c r="K626" s="80"/>
      <c r="L626" s="80"/>
      <c r="M626" s="80"/>
      <c r="N626" s="80"/>
      <c r="O626" s="80"/>
      <c r="P626" s="80"/>
      <c r="Q626" s="80"/>
      <c r="R626" s="80"/>
      <c r="S626" s="80"/>
      <c r="T626" s="83"/>
      <c r="U626" s="85"/>
      <c r="V626" s="85"/>
      <c r="W626" s="85"/>
      <c r="X626" s="85"/>
      <c r="Y626" s="85"/>
      <c r="Z626" s="85"/>
      <c r="AA626" s="85"/>
      <c r="AB626" s="85"/>
      <c r="AC626" s="85"/>
      <c r="AD626" s="85"/>
      <c r="AE626" s="85"/>
      <c r="AF626" s="85"/>
      <c r="AG626" s="85"/>
      <c r="AH626" s="85"/>
      <c r="AI626" s="85"/>
      <c r="AJ626" s="85"/>
      <c r="AK626" s="83"/>
      <c r="AL626" s="83"/>
      <c r="AM626" s="83"/>
      <c r="AN626" s="83"/>
    </row>
    <row r="627" spans="2:40" ht="15.75" customHeight="1">
      <c r="B627" s="83"/>
      <c r="C627" s="80"/>
      <c r="D627" s="80"/>
      <c r="E627" s="80"/>
      <c r="F627" s="188"/>
      <c r="G627" s="80"/>
      <c r="H627" s="80"/>
      <c r="I627" s="80"/>
      <c r="J627" s="187"/>
      <c r="K627" s="80"/>
      <c r="L627" s="80"/>
      <c r="M627" s="80"/>
      <c r="N627" s="80"/>
      <c r="O627" s="80"/>
      <c r="P627" s="80"/>
      <c r="Q627" s="80"/>
      <c r="R627" s="80"/>
      <c r="S627" s="80"/>
      <c r="T627" s="83"/>
      <c r="U627" s="85"/>
      <c r="V627" s="85"/>
      <c r="W627" s="85"/>
      <c r="X627" s="85"/>
      <c r="Y627" s="85"/>
      <c r="Z627" s="85"/>
      <c r="AA627" s="85"/>
      <c r="AB627" s="85"/>
      <c r="AC627" s="85"/>
      <c r="AD627" s="85"/>
      <c r="AE627" s="85"/>
      <c r="AF627" s="85"/>
      <c r="AG627" s="85"/>
      <c r="AH627" s="85"/>
      <c r="AI627" s="85"/>
      <c r="AJ627" s="85"/>
      <c r="AK627" s="83"/>
      <c r="AL627" s="83"/>
      <c r="AM627" s="83"/>
      <c r="AN627" s="83"/>
    </row>
    <row r="628" spans="2:40" ht="15.75" customHeight="1">
      <c r="B628" s="83"/>
      <c r="C628" s="80"/>
      <c r="D628" s="80"/>
      <c r="E628" s="80"/>
      <c r="F628" s="188"/>
      <c r="G628" s="80"/>
      <c r="H628" s="80"/>
      <c r="I628" s="80"/>
      <c r="J628" s="187"/>
      <c r="K628" s="80"/>
      <c r="L628" s="80"/>
      <c r="M628" s="80"/>
      <c r="N628" s="80"/>
      <c r="O628" s="80"/>
      <c r="P628" s="80"/>
      <c r="Q628" s="80"/>
      <c r="R628" s="80"/>
      <c r="S628" s="80"/>
      <c r="T628" s="83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3"/>
      <c r="AL628" s="83"/>
      <c r="AM628" s="83"/>
      <c r="AN628" s="83"/>
    </row>
    <row r="629" spans="2:40" ht="15.75" customHeight="1">
      <c r="B629" s="83"/>
      <c r="C629" s="80"/>
      <c r="D629" s="80"/>
      <c r="E629" s="80"/>
      <c r="F629" s="188"/>
      <c r="G629" s="80"/>
      <c r="H629" s="80"/>
      <c r="I629" s="80"/>
      <c r="J629" s="187"/>
      <c r="K629" s="80"/>
      <c r="L629" s="80"/>
      <c r="M629" s="80"/>
      <c r="N629" s="80"/>
      <c r="O629" s="80"/>
      <c r="P629" s="80"/>
      <c r="Q629" s="80"/>
      <c r="R629" s="80"/>
      <c r="S629" s="80"/>
      <c r="T629" s="83"/>
      <c r="U629" s="85"/>
      <c r="V629" s="85"/>
      <c r="W629" s="85"/>
      <c r="X629" s="85"/>
      <c r="Y629" s="85"/>
      <c r="Z629" s="85"/>
      <c r="AA629" s="85"/>
      <c r="AB629" s="85"/>
      <c r="AC629" s="85"/>
      <c r="AD629" s="85"/>
      <c r="AE629" s="85"/>
      <c r="AF629" s="85"/>
      <c r="AG629" s="85"/>
      <c r="AH629" s="85"/>
      <c r="AI629" s="85"/>
      <c r="AJ629" s="85"/>
      <c r="AK629" s="83"/>
      <c r="AL629" s="83"/>
      <c r="AM629" s="83"/>
      <c r="AN629" s="83"/>
    </row>
    <row r="630" spans="2:40" ht="15.75" customHeight="1">
      <c r="B630" s="83"/>
      <c r="C630" s="80"/>
      <c r="D630" s="80"/>
      <c r="E630" s="80"/>
      <c r="F630" s="188"/>
      <c r="G630" s="80"/>
      <c r="H630" s="80"/>
      <c r="I630" s="80"/>
      <c r="J630" s="187"/>
      <c r="K630" s="80"/>
      <c r="L630" s="80"/>
      <c r="M630" s="80"/>
      <c r="N630" s="80"/>
      <c r="O630" s="80"/>
      <c r="P630" s="80"/>
      <c r="Q630" s="80"/>
      <c r="R630" s="80"/>
      <c r="S630" s="80"/>
      <c r="T630" s="83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3"/>
      <c r="AL630" s="83"/>
      <c r="AM630" s="83"/>
      <c r="AN630" s="83"/>
    </row>
    <row r="631" spans="2:40" ht="15.75" customHeight="1">
      <c r="B631" s="83"/>
      <c r="C631" s="80"/>
      <c r="D631" s="80"/>
      <c r="E631" s="80"/>
      <c r="F631" s="188"/>
      <c r="G631" s="80"/>
      <c r="H631" s="80"/>
      <c r="I631" s="80"/>
      <c r="J631" s="187"/>
      <c r="K631" s="80"/>
      <c r="L631" s="80"/>
      <c r="M631" s="80"/>
      <c r="N631" s="80"/>
      <c r="O631" s="80"/>
      <c r="P631" s="80"/>
      <c r="Q631" s="80"/>
      <c r="R631" s="80"/>
      <c r="S631" s="80"/>
      <c r="T631" s="83"/>
      <c r="U631" s="85"/>
      <c r="V631" s="85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3"/>
      <c r="AL631" s="83"/>
      <c r="AM631" s="83"/>
      <c r="AN631" s="83"/>
    </row>
    <row r="632" spans="2:40" ht="15.75" customHeight="1">
      <c r="B632" s="83"/>
      <c r="C632" s="80"/>
      <c r="D632" s="80"/>
      <c r="E632" s="80"/>
      <c r="F632" s="188"/>
      <c r="G632" s="80"/>
      <c r="H632" s="80"/>
      <c r="I632" s="80"/>
      <c r="J632" s="187"/>
      <c r="K632" s="80"/>
      <c r="L632" s="80"/>
      <c r="M632" s="80"/>
      <c r="N632" s="80"/>
      <c r="O632" s="80"/>
      <c r="P632" s="80"/>
      <c r="Q632" s="80"/>
      <c r="R632" s="80"/>
      <c r="S632" s="80"/>
      <c r="T632" s="83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3"/>
      <c r="AL632" s="83"/>
      <c r="AM632" s="83"/>
      <c r="AN632" s="83"/>
    </row>
    <row r="633" spans="2:40" ht="15.75" customHeight="1">
      <c r="B633" s="83"/>
      <c r="C633" s="80"/>
      <c r="D633" s="80"/>
      <c r="E633" s="80"/>
      <c r="F633" s="188"/>
      <c r="G633" s="80"/>
      <c r="H633" s="80"/>
      <c r="I633" s="80"/>
      <c r="J633" s="187"/>
      <c r="K633" s="80"/>
      <c r="L633" s="80"/>
      <c r="M633" s="80"/>
      <c r="N633" s="80"/>
      <c r="O633" s="80"/>
      <c r="P633" s="80"/>
      <c r="Q633" s="80"/>
      <c r="R633" s="80"/>
      <c r="S633" s="80"/>
      <c r="T633" s="83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3"/>
      <c r="AL633" s="83"/>
      <c r="AM633" s="83"/>
      <c r="AN633" s="83"/>
    </row>
    <row r="634" spans="2:40" ht="15.75" customHeight="1">
      <c r="B634" s="83"/>
      <c r="C634" s="80"/>
      <c r="D634" s="80"/>
      <c r="E634" s="80"/>
      <c r="F634" s="188"/>
      <c r="G634" s="80"/>
      <c r="H634" s="80"/>
      <c r="I634" s="80"/>
      <c r="J634" s="187"/>
      <c r="K634" s="80"/>
      <c r="L634" s="80"/>
      <c r="M634" s="80"/>
      <c r="N634" s="80"/>
      <c r="O634" s="80"/>
      <c r="P634" s="80"/>
      <c r="Q634" s="80"/>
      <c r="R634" s="80"/>
      <c r="S634" s="80"/>
      <c r="T634" s="83"/>
      <c r="U634" s="85"/>
      <c r="V634" s="85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3"/>
      <c r="AL634" s="83"/>
      <c r="AM634" s="83"/>
      <c r="AN634" s="83"/>
    </row>
    <row r="635" spans="2:40" ht="15.75" customHeight="1">
      <c r="B635" s="83"/>
      <c r="C635" s="80"/>
      <c r="D635" s="80"/>
      <c r="E635" s="80"/>
      <c r="F635" s="188"/>
      <c r="G635" s="80"/>
      <c r="H635" s="80"/>
      <c r="I635" s="80"/>
      <c r="J635" s="187"/>
      <c r="K635" s="80"/>
      <c r="L635" s="80"/>
      <c r="M635" s="80"/>
      <c r="N635" s="80"/>
      <c r="O635" s="80"/>
      <c r="P635" s="80"/>
      <c r="Q635" s="80"/>
      <c r="R635" s="80"/>
      <c r="S635" s="80"/>
      <c r="T635" s="83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3"/>
      <c r="AL635" s="83"/>
      <c r="AM635" s="83"/>
      <c r="AN635" s="83"/>
    </row>
    <row r="636" spans="2:40" ht="15.75" customHeight="1">
      <c r="B636" s="83"/>
      <c r="C636" s="80"/>
      <c r="D636" s="80"/>
      <c r="E636" s="80"/>
      <c r="F636" s="188"/>
      <c r="G636" s="80"/>
      <c r="H636" s="80"/>
      <c r="I636" s="80"/>
      <c r="J636" s="187"/>
      <c r="K636" s="80"/>
      <c r="L636" s="80"/>
      <c r="M636" s="80"/>
      <c r="N636" s="80"/>
      <c r="O636" s="80"/>
      <c r="P636" s="80"/>
      <c r="Q636" s="80"/>
      <c r="R636" s="80"/>
      <c r="S636" s="80"/>
      <c r="T636" s="83"/>
      <c r="U636" s="85"/>
      <c r="V636" s="85"/>
      <c r="W636" s="85"/>
      <c r="X636" s="85"/>
      <c r="Y636" s="85"/>
      <c r="Z636" s="85"/>
      <c r="AA636" s="85"/>
      <c r="AB636" s="85"/>
      <c r="AC636" s="85"/>
      <c r="AD636" s="85"/>
      <c r="AE636" s="85"/>
      <c r="AF636" s="85"/>
      <c r="AG636" s="85"/>
      <c r="AH636" s="85"/>
      <c r="AI636" s="85"/>
      <c r="AJ636" s="85"/>
      <c r="AK636" s="83"/>
      <c r="AL636" s="83"/>
      <c r="AM636" s="83"/>
      <c r="AN636" s="83"/>
    </row>
    <row r="637" spans="2:40" ht="15.75" customHeight="1">
      <c r="B637" s="83"/>
      <c r="C637" s="80"/>
      <c r="D637" s="80"/>
      <c r="E637" s="80"/>
      <c r="F637" s="188"/>
      <c r="G637" s="80"/>
      <c r="H637" s="80"/>
      <c r="I637" s="80"/>
      <c r="J637" s="187"/>
      <c r="K637" s="80"/>
      <c r="L637" s="80"/>
      <c r="M637" s="80"/>
      <c r="N637" s="80"/>
      <c r="O637" s="80"/>
      <c r="P637" s="80"/>
      <c r="Q637" s="80"/>
      <c r="R637" s="80"/>
      <c r="S637" s="80"/>
      <c r="T637" s="83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3"/>
      <c r="AL637" s="83"/>
      <c r="AM637" s="83"/>
      <c r="AN637" s="83"/>
    </row>
    <row r="638" spans="2:40" ht="15.75" customHeight="1">
      <c r="B638" s="83"/>
      <c r="C638" s="80"/>
      <c r="D638" s="80"/>
      <c r="E638" s="80"/>
      <c r="F638" s="188"/>
      <c r="G638" s="80"/>
      <c r="H638" s="80"/>
      <c r="I638" s="80"/>
      <c r="J638" s="187"/>
      <c r="K638" s="80"/>
      <c r="L638" s="80"/>
      <c r="M638" s="80"/>
      <c r="N638" s="80"/>
      <c r="O638" s="80"/>
      <c r="P638" s="80"/>
      <c r="Q638" s="80"/>
      <c r="R638" s="80"/>
      <c r="S638" s="80"/>
      <c r="T638" s="83"/>
      <c r="U638" s="85"/>
      <c r="V638" s="85"/>
      <c r="W638" s="85"/>
      <c r="X638" s="85"/>
      <c r="Y638" s="85"/>
      <c r="Z638" s="85"/>
      <c r="AA638" s="85"/>
      <c r="AB638" s="85"/>
      <c r="AC638" s="85"/>
      <c r="AD638" s="85"/>
      <c r="AE638" s="85"/>
      <c r="AF638" s="85"/>
      <c r="AG638" s="85"/>
      <c r="AH638" s="85"/>
      <c r="AI638" s="85"/>
      <c r="AJ638" s="85"/>
      <c r="AK638" s="83"/>
      <c r="AL638" s="83"/>
      <c r="AM638" s="83"/>
      <c r="AN638" s="83"/>
    </row>
    <row r="639" spans="2:40" ht="15.75" customHeight="1">
      <c r="B639" s="83"/>
      <c r="C639" s="80"/>
      <c r="D639" s="80"/>
      <c r="E639" s="80"/>
      <c r="F639" s="188"/>
      <c r="G639" s="80"/>
      <c r="H639" s="80"/>
      <c r="I639" s="80"/>
      <c r="J639" s="187"/>
      <c r="K639" s="80"/>
      <c r="L639" s="80"/>
      <c r="M639" s="80"/>
      <c r="N639" s="80"/>
      <c r="O639" s="80"/>
      <c r="P639" s="80"/>
      <c r="Q639" s="80"/>
      <c r="R639" s="80"/>
      <c r="S639" s="80"/>
      <c r="T639" s="83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3"/>
      <c r="AL639" s="83"/>
      <c r="AM639" s="83"/>
      <c r="AN639" s="83"/>
    </row>
    <row r="640" spans="2:40" ht="15.75" customHeight="1">
      <c r="B640" s="83"/>
      <c r="C640" s="80"/>
      <c r="D640" s="80"/>
      <c r="E640" s="80"/>
      <c r="F640" s="188"/>
      <c r="G640" s="80"/>
      <c r="H640" s="80"/>
      <c r="I640" s="80"/>
      <c r="J640" s="187"/>
      <c r="K640" s="80"/>
      <c r="L640" s="80"/>
      <c r="M640" s="80"/>
      <c r="N640" s="80"/>
      <c r="O640" s="80"/>
      <c r="P640" s="80"/>
      <c r="Q640" s="80"/>
      <c r="R640" s="80"/>
      <c r="S640" s="80"/>
      <c r="T640" s="83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3"/>
      <c r="AL640" s="83"/>
      <c r="AM640" s="83"/>
      <c r="AN640" s="83"/>
    </row>
    <row r="641" spans="2:40" ht="15.75" customHeight="1">
      <c r="B641" s="83"/>
      <c r="C641" s="80"/>
      <c r="D641" s="80"/>
      <c r="E641" s="80"/>
      <c r="F641" s="188"/>
      <c r="G641" s="80"/>
      <c r="H641" s="80"/>
      <c r="I641" s="80"/>
      <c r="J641" s="187"/>
      <c r="K641" s="80"/>
      <c r="L641" s="80"/>
      <c r="M641" s="80"/>
      <c r="N641" s="80"/>
      <c r="O641" s="80"/>
      <c r="P641" s="80"/>
      <c r="Q641" s="80"/>
      <c r="R641" s="80"/>
      <c r="S641" s="80"/>
      <c r="T641" s="83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3"/>
      <c r="AL641" s="83"/>
      <c r="AM641" s="83"/>
      <c r="AN641" s="83"/>
    </row>
    <row r="642" spans="2:40" ht="15.75" customHeight="1">
      <c r="B642" s="83"/>
      <c r="C642" s="80"/>
      <c r="D642" s="80"/>
      <c r="E642" s="80"/>
      <c r="F642" s="188"/>
      <c r="G642" s="80"/>
      <c r="H642" s="80"/>
      <c r="I642" s="80"/>
      <c r="J642" s="187"/>
      <c r="K642" s="80"/>
      <c r="L642" s="80"/>
      <c r="M642" s="80"/>
      <c r="N642" s="80"/>
      <c r="O642" s="80"/>
      <c r="P642" s="80"/>
      <c r="Q642" s="80"/>
      <c r="R642" s="80"/>
      <c r="S642" s="80"/>
      <c r="T642" s="83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3"/>
      <c r="AL642" s="83"/>
      <c r="AM642" s="83"/>
      <c r="AN642" s="83"/>
    </row>
    <row r="643" spans="2:40" ht="15.75" customHeight="1">
      <c r="B643" s="83"/>
      <c r="C643" s="80"/>
      <c r="D643" s="80"/>
      <c r="E643" s="80"/>
      <c r="F643" s="188"/>
      <c r="G643" s="80"/>
      <c r="H643" s="80"/>
      <c r="I643" s="80"/>
      <c r="J643" s="187"/>
      <c r="K643" s="80"/>
      <c r="L643" s="80"/>
      <c r="M643" s="80"/>
      <c r="N643" s="80"/>
      <c r="O643" s="80"/>
      <c r="P643" s="80"/>
      <c r="Q643" s="80"/>
      <c r="R643" s="80"/>
      <c r="S643" s="80"/>
      <c r="T643" s="83"/>
      <c r="U643" s="85"/>
      <c r="V643" s="85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3"/>
      <c r="AL643" s="83"/>
      <c r="AM643" s="83"/>
      <c r="AN643" s="83"/>
    </row>
    <row r="644" spans="2:40" ht="15.75" customHeight="1">
      <c r="B644" s="83"/>
      <c r="C644" s="80"/>
      <c r="D644" s="80"/>
      <c r="E644" s="80"/>
      <c r="F644" s="188"/>
      <c r="G644" s="80"/>
      <c r="H644" s="80"/>
      <c r="I644" s="80"/>
      <c r="J644" s="187"/>
      <c r="K644" s="80"/>
      <c r="L644" s="80"/>
      <c r="M644" s="80"/>
      <c r="N644" s="80"/>
      <c r="O644" s="80"/>
      <c r="P644" s="80"/>
      <c r="Q644" s="80"/>
      <c r="R644" s="80"/>
      <c r="S644" s="80"/>
      <c r="T644" s="83"/>
      <c r="U644" s="85"/>
      <c r="V644" s="85"/>
      <c r="W644" s="85"/>
      <c r="X644" s="85"/>
      <c r="Y644" s="85"/>
      <c r="Z644" s="85"/>
      <c r="AA644" s="85"/>
      <c r="AB644" s="85"/>
      <c r="AC644" s="85"/>
      <c r="AD644" s="85"/>
      <c r="AE644" s="85"/>
      <c r="AF644" s="85"/>
      <c r="AG644" s="85"/>
      <c r="AH644" s="85"/>
      <c r="AI644" s="85"/>
      <c r="AJ644" s="85"/>
      <c r="AK644" s="83"/>
      <c r="AL644" s="83"/>
      <c r="AM644" s="83"/>
      <c r="AN644" s="83"/>
    </row>
    <row r="645" spans="2:40" ht="15.75" customHeight="1">
      <c r="B645" s="83"/>
      <c r="C645" s="80"/>
      <c r="D645" s="80"/>
      <c r="E645" s="80"/>
      <c r="F645" s="188"/>
      <c r="G645" s="80"/>
      <c r="H645" s="80"/>
      <c r="I645" s="80"/>
      <c r="J645" s="187"/>
      <c r="K645" s="80"/>
      <c r="L645" s="80"/>
      <c r="M645" s="80"/>
      <c r="N645" s="80"/>
      <c r="O645" s="80"/>
      <c r="P645" s="80"/>
      <c r="Q645" s="80"/>
      <c r="R645" s="80"/>
      <c r="S645" s="80"/>
      <c r="T645" s="83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3"/>
      <c r="AL645" s="83"/>
      <c r="AM645" s="83"/>
      <c r="AN645" s="83"/>
    </row>
    <row r="646" spans="2:40" ht="15.75" customHeight="1">
      <c r="B646" s="83"/>
      <c r="C646" s="80"/>
      <c r="D646" s="80"/>
      <c r="E646" s="80"/>
      <c r="F646" s="188"/>
      <c r="G646" s="80"/>
      <c r="H646" s="80"/>
      <c r="I646" s="80"/>
      <c r="J646" s="187"/>
      <c r="K646" s="80"/>
      <c r="L646" s="80"/>
      <c r="M646" s="80"/>
      <c r="N646" s="80"/>
      <c r="O646" s="80"/>
      <c r="P646" s="80"/>
      <c r="Q646" s="80"/>
      <c r="R646" s="80"/>
      <c r="S646" s="80"/>
      <c r="T646" s="83"/>
      <c r="U646" s="85"/>
      <c r="V646" s="85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3"/>
      <c r="AL646" s="83"/>
      <c r="AM646" s="83"/>
      <c r="AN646" s="83"/>
    </row>
    <row r="647" spans="2:40" ht="15.75" customHeight="1">
      <c r="B647" s="83"/>
      <c r="C647" s="80"/>
      <c r="D647" s="80"/>
      <c r="E647" s="80"/>
      <c r="F647" s="188"/>
      <c r="G647" s="80"/>
      <c r="H647" s="80"/>
      <c r="I647" s="80"/>
      <c r="J647" s="187"/>
      <c r="K647" s="80"/>
      <c r="L647" s="80"/>
      <c r="M647" s="80"/>
      <c r="N647" s="80"/>
      <c r="O647" s="80"/>
      <c r="P647" s="80"/>
      <c r="Q647" s="80"/>
      <c r="R647" s="80"/>
      <c r="S647" s="80"/>
      <c r="T647" s="83"/>
      <c r="U647" s="85"/>
      <c r="V647" s="85"/>
      <c r="W647" s="85"/>
      <c r="X647" s="85"/>
      <c r="Y647" s="85"/>
      <c r="Z647" s="85"/>
      <c r="AA647" s="85"/>
      <c r="AB647" s="85"/>
      <c r="AC647" s="85"/>
      <c r="AD647" s="85"/>
      <c r="AE647" s="85"/>
      <c r="AF647" s="85"/>
      <c r="AG647" s="85"/>
      <c r="AH647" s="85"/>
      <c r="AI647" s="85"/>
      <c r="AJ647" s="85"/>
      <c r="AK647" s="83"/>
      <c r="AL647" s="83"/>
      <c r="AM647" s="83"/>
      <c r="AN647" s="83"/>
    </row>
    <row r="648" spans="2:40" ht="15.75" customHeight="1">
      <c r="B648" s="83"/>
      <c r="C648" s="80"/>
      <c r="D648" s="80"/>
      <c r="E648" s="80"/>
      <c r="F648" s="188"/>
      <c r="G648" s="80"/>
      <c r="H648" s="80"/>
      <c r="I648" s="80"/>
      <c r="J648" s="187"/>
      <c r="K648" s="80"/>
      <c r="L648" s="80"/>
      <c r="M648" s="80"/>
      <c r="N648" s="80"/>
      <c r="O648" s="80"/>
      <c r="P648" s="80"/>
      <c r="Q648" s="80"/>
      <c r="R648" s="80"/>
      <c r="S648" s="80"/>
      <c r="T648" s="83"/>
      <c r="U648" s="85"/>
      <c r="V648" s="85"/>
      <c r="W648" s="85"/>
      <c r="X648" s="85"/>
      <c r="Y648" s="85"/>
      <c r="Z648" s="85"/>
      <c r="AA648" s="85"/>
      <c r="AB648" s="85"/>
      <c r="AC648" s="85"/>
      <c r="AD648" s="85"/>
      <c r="AE648" s="85"/>
      <c r="AF648" s="85"/>
      <c r="AG648" s="85"/>
      <c r="AH648" s="85"/>
      <c r="AI648" s="85"/>
      <c r="AJ648" s="85"/>
      <c r="AK648" s="83"/>
      <c r="AL648" s="83"/>
      <c r="AM648" s="83"/>
      <c r="AN648" s="83"/>
    </row>
    <row r="649" spans="2:40" ht="15.75" customHeight="1">
      <c r="B649" s="83"/>
      <c r="C649" s="80"/>
      <c r="D649" s="80"/>
      <c r="E649" s="80"/>
      <c r="F649" s="188"/>
      <c r="G649" s="80"/>
      <c r="H649" s="80"/>
      <c r="I649" s="80"/>
      <c r="J649" s="187"/>
      <c r="K649" s="80"/>
      <c r="L649" s="80"/>
      <c r="M649" s="80"/>
      <c r="N649" s="80"/>
      <c r="O649" s="80"/>
      <c r="P649" s="80"/>
      <c r="Q649" s="80"/>
      <c r="R649" s="80"/>
      <c r="S649" s="80"/>
      <c r="T649" s="83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3"/>
      <c r="AL649" s="83"/>
      <c r="AM649" s="83"/>
      <c r="AN649" s="83"/>
    </row>
    <row r="650" spans="2:40" ht="15.75" customHeight="1">
      <c r="B650" s="83"/>
      <c r="C650" s="80"/>
      <c r="D650" s="80"/>
      <c r="E650" s="80"/>
      <c r="F650" s="188"/>
      <c r="G650" s="80"/>
      <c r="H650" s="80"/>
      <c r="I650" s="80"/>
      <c r="J650" s="187"/>
      <c r="K650" s="80"/>
      <c r="L650" s="80"/>
      <c r="M650" s="80"/>
      <c r="N650" s="80"/>
      <c r="O650" s="80"/>
      <c r="P650" s="80"/>
      <c r="Q650" s="80"/>
      <c r="R650" s="80"/>
      <c r="S650" s="80"/>
      <c r="T650" s="83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3"/>
      <c r="AL650" s="83"/>
      <c r="AM650" s="83"/>
      <c r="AN650" s="83"/>
    </row>
    <row r="651" spans="2:40" ht="15.75" customHeight="1">
      <c r="B651" s="83"/>
      <c r="C651" s="80"/>
      <c r="D651" s="80"/>
      <c r="E651" s="80"/>
      <c r="F651" s="188"/>
      <c r="G651" s="80"/>
      <c r="H651" s="80"/>
      <c r="I651" s="80"/>
      <c r="J651" s="187"/>
      <c r="K651" s="80"/>
      <c r="L651" s="80"/>
      <c r="M651" s="80"/>
      <c r="N651" s="80"/>
      <c r="O651" s="80"/>
      <c r="P651" s="80"/>
      <c r="Q651" s="80"/>
      <c r="R651" s="80"/>
      <c r="S651" s="80"/>
      <c r="T651" s="83"/>
      <c r="U651" s="85"/>
      <c r="V651" s="85"/>
      <c r="W651" s="85"/>
      <c r="X651" s="85"/>
      <c r="Y651" s="85"/>
      <c r="Z651" s="85"/>
      <c r="AA651" s="85"/>
      <c r="AB651" s="85"/>
      <c r="AC651" s="85"/>
      <c r="AD651" s="85"/>
      <c r="AE651" s="85"/>
      <c r="AF651" s="85"/>
      <c r="AG651" s="85"/>
      <c r="AH651" s="85"/>
      <c r="AI651" s="85"/>
      <c r="AJ651" s="85"/>
      <c r="AK651" s="83"/>
      <c r="AL651" s="83"/>
      <c r="AM651" s="83"/>
      <c r="AN651" s="83"/>
    </row>
    <row r="652" spans="2:40" ht="15.75" customHeight="1">
      <c r="B652" s="83"/>
      <c r="C652" s="80"/>
      <c r="D652" s="80"/>
      <c r="E652" s="80"/>
      <c r="F652" s="188"/>
      <c r="G652" s="80"/>
      <c r="H652" s="80"/>
      <c r="I652" s="80"/>
      <c r="J652" s="187"/>
      <c r="K652" s="80"/>
      <c r="L652" s="80"/>
      <c r="M652" s="80"/>
      <c r="N652" s="80"/>
      <c r="O652" s="80"/>
      <c r="P652" s="80"/>
      <c r="Q652" s="80"/>
      <c r="R652" s="80"/>
      <c r="S652" s="80"/>
      <c r="T652" s="83"/>
      <c r="U652" s="85"/>
      <c r="V652" s="85"/>
      <c r="W652" s="85"/>
      <c r="X652" s="85"/>
      <c r="Y652" s="85"/>
      <c r="Z652" s="85"/>
      <c r="AA652" s="85"/>
      <c r="AB652" s="85"/>
      <c r="AC652" s="85"/>
      <c r="AD652" s="85"/>
      <c r="AE652" s="85"/>
      <c r="AF652" s="85"/>
      <c r="AG652" s="85"/>
      <c r="AH652" s="85"/>
      <c r="AI652" s="85"/>
      <c r="AJ652" s="85"/>
      <c r="AK652" s="83"/>
      <c r="AL652" s="83"/>
      <c r="AM652" s="83"/>
      <c r="AN652" s="83"/>
    </row>
    <row r="653" spans="2:40" ht="15.75" customHeight="1">
      <c r="B653" s="83"/>
      <c r="C653" s="80"/>
      <c r="D653" s="80"/>
      <c r="E653" s="80"/>
      <c r="F653" s="188"/>
      <c r="G653" s="80"/>
      <c r="H653" s="80"/>
      <c r="I653" s="80"/>
      <c r="J653" s="187"/>
      <c r="K653" s="80"/>
      <c r="L653" s="80"/>
      <c r="M653" s="80"/>
      <c r="N653" s="80"/>
      <c r="O653" s="80"/>
      <c r="P653" s="80"/>
      <c r="Q653" s="80"/>
      <c r="R653" s="80"/>
      <c r="S653" s="80"/>
      <c r="T653" s="83"/>
      <c r="U653" s="85"/>
      <c r="V653" s="85"/>
      <c r="W653" s="85"/>
      <c r="X653" s="85"/>
      <c r="Y653" s="85"/>
      <c r="Z653" s="85"/>
      <c r="AA653" s="85"/>
      <c r="AB653" s="85"/>
      <c r="AC653" s="85"/>
      <c r="AD653" s="85"/>
      <c r="AE653" s="85"/>
      <c r="AF653" s="85"/>
      <c r="AG653" s="85"/>
      <c r="AH653" s="85"/>
      <c r="AI653" s="85"/>
      <c r="AJ653" s="85"/>
      <c r="AK653" s="83"/>
      <c r="AL653" s="83"/>
      <c r="AM653" s="83"/>
      <c r="AN653" s="83"/>
    </row>
    <row r="654" spans="2:40" ht="15.75" customHeight="1">
      <c r="B654" s="83"/>
      <c r="C654" s="80"/>
      <c r="D654" s="80"/>
      <c r="E654" s="80"/>
      <c r="F654" s="188"/>
      <c r="G654" s="80"/>
      <c r="H654" s="80"/>
      <c r="I654" s="80"/>
      <c r="J654" s="187"/>
      <c r="K654" s="80"/>
      <c r="L654" s="80"/>
      <c r="M654" s="80"/>
      <c r="N654" s="80"/>
      <c r="O654" s="80"/>
      <c r="P654" s="80"/>
      <c r="Q654" s="80"/>
      <c r="R654" s="80"/>
      <c r="S654" s="80"/>
      <c r="T654" s="83"/>
      <c r="U654" s="85"/>
      <c r="V654" s="85"/>
      <c r="W654" s="85"/>
      <c r="X654" s="85"/>
      <c r="Y654" s="85"/>
      <c r="Z654" s="85"/>
      <c r="AA654" s="85"/>
      <c r="AB654" s="85"/>
      <c r="AC654" s="85"/>
      <c r="AD654" s="85"/>
      <c r="AE654" s="85"/>
      <c r="AF654" s="85"/>
      <c r="AG654" s="85"/>
      <c r="AH654" s="85"/>
      <c r="AI654" s="85"/>
      <c r="AJ654" s="85"/>
      <c r="AK654" s="83"/>
      <c r="AL654" s="83"/>
      <c r="AM654" s="83"/>
      <c r="AN654" s="83"/>
    </row>
    <row r="655" spans="2:40" ht="15.75" customHeight="1">
      <c r="B655" s="83"/>
      <c r="C655" s="80"/>
      <c r="D655" s="80"/>
      <c r="E655" s="80"/>
      <c r="F655" s="188"/>
      <c r="G655" s="80"/>
      <c r="H655" s="80"/>
      <c r="I655" s="80"/>
      <c r="J655" s="187"/>
      <c r="K655" s="80"/>
      <c r="L655" s="80"/>
      <c r="M655" s="80"/>
      <c r="N655" s="80"/>
      <c r="O655" s="80"/>
      <c r="P655" s="80"/>
      <c r="Q655" s="80"/>
      <c r="R655" s="80"/>
      <c r="S655" s="80"/>
      <c r="T655" s="83"/>
      <c r="U655" s="85"/>
      <c r="V655" s="85"/>
      <c r="W655" s="85"/>
      <c r="X655" s="85"/>
      <c r="Y655" s="85"/>
      <c r="Z655" s="85"/>
      <c r="AA655" s="85"/>
      <c r="AB655" s="85"/>
      <c r="AC655" s="85"/>
      <c r="AD655" s="85"/>
      <c r="AE655" s="85"/>
      <c r="AF655" s="85"/>
      <c r="AG655" s="85"/>
      <c r="AH655" s="85"/>
      <c r="AI655" s="85"/>
      <c r="AJ655" s="85"/>
      <c r="AK655" s="83"/>
      <c r="AL655" s="83"/>
      <c r="AM655" s="83"/>
      <c r="AN655" s="83"/>
    </row>
    <row r="656" spans="2:40" ht="15.75" customHeight="1">
      <c r="B656" s="83"/>
      <c r="C656" s="80"/>
      <c r="D656" s="80"/>
      <c r="E656" s="80"/>
      <c r="F656" s="188"/>
      <c r="G656" s="80"/>
      <c r="H656" s="80"/>
      <c r="I656" s="80"/>
      <c r="J656" s="187"/>
      <c r="K656" s="80"/>
      <c r="L656" s="80"/>
      <c r="M656" s="80"/>
      <c r="N656" s="80"/>
      <c r="O656" s="80"/>
      <c r="P656" s="80"/>
      <c r="Q656" s="80"/>
      <c r="R656" s="80"/>
      <c r="S656" s="80"/>
      <c r="T656" s="83"/>
      <c r="U656" s="85"/>
      <c r="V656" s="85"/>
      <c r="W656" s="85"/>
      <c r="X656" s="85"/>
      <c r="Y656" s="85"/>
      <c r="Z656" s="85"/>
      <c r="AA656" s="85"/>
      <c r="AB656" s="85"/>
      <c r="AC656" s="85"/>
      <c r="AD656" s="85"/>
      <c r="AE656" s="85"/>
      <c r="AF656" s="85"/>
      <c r="AG656" s="85"/>
      <c r="AH656" s="85"/>
      <c r="AI656" s="85"/>
      <c r="AJ656" s="85"/>
      <c r="AK656" s="83"/>
      <c r="AL656" s="83"/>
      <c r="AM656" s="83"/>
      <c r="AN656" s="83"/>
    </row>
    <row r="657" spans="2:40" ht="15.75" customHeight="1">
      <c r="B657" s="83"/>
      <c r="C657" s="80"/>
      <c r="D657" s="80"/>
      <c r="E657" s="80"/>
      <c r="F657" s="188"/>
      <c r="G657" s="80"/>
      <c r="H657" s="80"/>
      <c r="I657" s="80"/>
      <c r="J657" s="187"/>
      <c r="K657" s="80"/>
      <c r="L657" s="80"/>
      <c r="M657" s="80"/>
      <c r="N657" s="80"/>
      <c r="O657" s="80"/>
      <c r="P657" s="80"/>
      <c r="Q657" s="80"/>
      <c r="R657" s="80"/>
      <c r="S657" s="80"/>
      <c r="T657" s="83"/>
      <c r="U657" s="85"/>
      <c r="V657" s="85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3"/>
      <c r="AL657" s="83"/>
      <c r="AM657" s="83"/>
      <c r="AN657" s="83"/>
    </row>
    <row r="658" spans="2:40" ht="15.75" customHeight="1">
      <c r="B658" s="83"/>
      <c r="C658" s="80"/>
      <c r="D658" s="80"/>
      <c r="E658" s="80"/>
      <c r="F658" s="188"/>
      <c r="G658" s="80"/>
      <c r="H658" s="80"/>
      <c r="I658" s="80"/>
      <c r="J658" s="187"/>
      <c r="K658" s="80"/>
      <c r="L658" s="80"/>
      <c r="M658" s="80"/>
      <c r="N658" s="80"/>
      <c r="O658" s="80"/>
      <c r="P658" s="80"/>
      <c r="Q658" s="80"/>
      <c r="R658" s="80"/>
      <c r="S658" s="80"/>
      <c r="T658" s="83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3"/>
      <c r="AL658" s="83"/>
      <c r="AM658" s="83"/>
      <c r="AN658" s="83"/>
    </row>
    <row r="659" spans="2:40" ht="15.75" customHeight="1">
      <c r="B659" s="83"/>
      <c r="C659" s="80"/>
      <c r="D659" s="80"/>
      <c r="E659" s="80"/>
      <c r="F659" s="188"/>
      <c r="G659" s="80"/>
      <c r="H659" s="80"/>
      <c r="I659" s="80"/>
      <c r="J659" s="187"/>
      <c r="K659" s="80"/>
      <c r="L659" s="80"/>
      <c r="M659" s="80"/>
      <c r="N659" s="80"/>
      <c r="O659" s="80"/>
      <c r="P659" s="80"/>
      <c r="Q659" s="80"/>
      <c r="R659" s="80"/>
      <c r="S659" s="80"/>
      <c r="T659" s="83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3"/>
      <c r="AL659" s="83"/>
      <c r="AM659" s="83"/>
      <c r="AN659" s="83"/>
    </row>
    <row r="660" spans="2:40" ht="15.75" customHeight="1">
      <c r="B660" s="83"/>
      <c r="C660" s="80"/>
      <c r="D660" s="80"/>
      <c r="E660" s="80"/>
      <c r="F660" s="188"/>
      <c r="G660" s="80"/>
      <c r="H660" s="80"/>
      <c r="I660" s="80"/>
      <c r="J660" s="187"/>
      <c r="K660" s="80"/>
      <c r="L660" s="80"/>
      <c r="M660" s="80"/>
      <c r="N660" s="80"/>
      <c r="O660" s="80"/>
      <c r="P660" s="80"/>
      <c r="Q660" s="80"/>
      <c r="R660" s="80"/>
      <c r="S660" s="80"/>
      <c r="T660" s="83"/>
      <c r="U660" s="85"/>
      <c r="V660" s="85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3"/>
      <c r="AL660" s="83"/>
      <c r="AM660" s="83"/>
      <c r="AN660" s="83"/>
    </row>
    <row r="661" spans="2:40" ht="15.75" customHeight="1">
      <c r="B661" s="83"/>
      <c r="C661" s="80"/>
      <c r="D661" s="80"/>
      <c r="E661" s="80"/>
      <c r="F661" s="188"/>
      <c r="G661" s="80"/>
      <c r="H661" s="80"/>
      <c r="I661" s="80"/>
      <c r="J661" s="187"/>
      <c r="K661" s="80"/>
      <c r="L661" s="80"/>
      <c r="M661" s="80"/>
      <c r="N661" s="80"/>
      <c r="O661" s="80"/>
      <c r="P661" s="80"/>
      <c r="Q661" s="80"/>
      <c r="R661" s="80"/>
      <c r="S661" s="80"/>
      <c r="T661" s="83"/>
      <c r="U661" s="85"/>
      <c r="V661" s="85"/>
      <c r="W661" s="85"/>
      <c r="X661" s="85"/>
      <c r="Y661" s="85"/>
      <c r="Z661" s="85"/>
      <c r="AA661" s="85"/>
      <c r="AB661" s="85"/>
      <c r="AC661" s="85"/>
      <c r="AD661" s="85"/>
      <c r="AE661" s="85"/>
      <c r="AF661" s="85"/>
      <c r="AG661" s="85"/>
      <c r="AH661" s="85"/>
      <c r="AI661" s="85"/>
      <c r="AJ661" s="85"/>
      <c r="AK661" s="83"/>
      <c r="AL661" s="83"/>
      <c r="AM661" s="83"/>
      <c r="AN661" s="83"/>
    </row>
    <row r="662" spans="2:40" ht="15.75" customHeight="1">
      <c r="B662" s="83"/>
      <c r="C662" s="80"/>
      <c r="D662" s="80"/>
      <c r="E662" s="80"/>
      <c r="F662" s="188"/>
      <c r="G662" s="80"/>
      <c r="H662" s="80"/>
      <c r="I662" s="80"/>
      <c r="J662" s="187"/>
      <c r="K662" s="80"/>
      <c r="L662" s="80"/>
      <c r="M662" s="80"/>
      <c r="N662" s="80"/>
      <c r="O662" s="80"/>
      <c r="P662" s="80"/>
      <c r="Q662" s="80"/>
      <c r="R662" s="80"/>
      <c r="S662" s="80"/>
      <c r="T662" s="83"/>
      <c r="U662" s="85"/>
      <c r="V662" s="85"/>
      <c r="W662" s="85"/>
      <c r="X662" s="85"/>
      <c r="Y662" s="85"/>
      <c r="Z662" s="85"/>
      <c r="AA662" s="85"/>
      <c r="AB662" s="85"/>
      <c r="AC662" s="85"/>
      <c r="AD662" s="85"/>
      <c r="AE662" s="85"/>
      <c r="AF662" s="85"/>
      <c r="AG662" s="85"/>
      <c r="AH662" s="85"/>
      <c r="AI662" s="85"/>
      <c r="AJ662" s="85"/>
      <c r="AK662" s="83"/>
      <c r="AL662" s="83"/>
      <c r="AM662" s="83"/>
      <c r="AN662" s="83"/>
    </row>
    <row r="663" spans="2:40" ht="15.75" customHeight="1">
      <c r="B663" s="83"/>
      <c r="C663" s="80"/>
      <c r="D663" s="80"/>
      <c r="E663" s="80"/>
      <c r="F663" s="188"/>
      <c r="G663" s="80"/>
      <c r="H663" s="80"/>
      <c r="I663" s="80"/>
      <c r="J663" s="187"/>
      <c r="K663" s="80"/>
      <c r="L663" s="80"/>
      <c r="M663" s="80"/>
      <c r="N663" s="80"/>
      <c r="O663" s="80"/>
      <c r="P663" s="80"/>
      <c r="Q663" s="80"/>
      <c r="R663" s="80"/>
      <c r="S663" s="80"/>
      <c r="T663" s="83"/>
      <c r="U663" s="85"/>
      <c r="V663" s="85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3"/>
      <c r="AL663" s="83"/>
      <c r="AM663" s="83"/>
      <c r="AN663" s="83"/>
    </row>
    <row r="664" spans="2:40" ht="15.75" customHeight="1">
      <c r="B664" s="83"/>
      <c r="C664" s="80"/>
      <c r="D664" s="80"/>
      <c r="E664" s="80"/>
      <c r="F664" s="188"/>
      <c r="G664" s="80"/>
      <c r="H664" s="80"/>
      <c r="I664" s="80"/>
      <c r="J664" s="187"/>
      <c r="K664" s="80"/>
      <c r="L664" s="80"/>
      <c r="M664" s="80"/>
      <c r="N664" s="80"/>
      <c r="O664" s="80"/>
      <c r="P664" s="80"/>
      <c r="Q664" s="80"/>
      <c r="R664" s="80"/>
      <c r="S664" s="80"/>
      <c r="T664" s="83"/>
      <c r="U664" s="85"/>
      <c r="V664" s="85"/>
      <c r="W664" s="85"/>
      <c r="X664" s="85"/>
      <c r="Y664" s="85"/>
      <c r="Z664" s="85"/>
      <c r="AA664" s="85"/>
      <c r="AB664" s="85"/>
      <c r="AC664" s="85"/>
      <c r="AD664" s="85"/>
      <c r="AE664" s="85"/>
      <c r="AF664" s="85"/>
      <c r="AG664" s="85"/>
      <c r="AH664" s="85"/>
      <c r="AI664" s="85"/>
      <c r="AJ664" s="85"/>
      <c r="AK664" s="83"/>
      <c r="AL664" s="83"/>
      <c r="AM664" s="83"/>
      <c r="AN664" s="83"/>
    </row>
    <row r="665" spans="2:40" ht="15.75" customHeight="1">
      <c r="B665" s="83"/>
      <c r="C665" s="80"/>
      <c r="D665" s="80"/>
      <c r="E665" s="80"/>
      <c r="F665" s="188"/>
      <c r="G665" s="80"/>
      <c r="H665" s="80"/>
      <c r="I665" s="80"/>
      <c r="J665" s="187"/>
      <c r="K665" s="80"/>
      <c r="L665" s="80"/>
      <c r="M665" s="80"/>
      <c r="N665" s="80"/>
      <c r="O665" s="80"/>
      <c r="P665" s="80"/>
      <c r="Q665" s="80"/>
      <c r="R665" s="80"/>
      <c r="S665" s="80"/>
      <c r="T665" s="83"/>
      <c r="U665" s="85"/>
      <c r="V665" s="85"/>
      <c r="W665" s="85"/>
      <c r="X665" s="85"/>
      <c r="Y665" s="85"/>
      <c r="Z665" s="85"/>
      <c r="AA665" s="85"/>
      <c r="AB665" s="85"/>
      <c r="AC665" s="85"/>
      <c r="AD665" s="85"/>
      <c r="AE665" s="85"/>
      <c r="AF665" s="85"/>
      <c r="AG665" s="85"/>
      <c r="AH665" s="85"/>
      <c r="AI665" s="85"/>
      <c r="AJ665" s="85"/>
      <c r="AK665" s="83"/>
      <c r="AL665" s="83"/>
      <c r="AM665" s="83"/>
      <c r="AN665" s="83"/>
    </row>
    <row r="666" spans="2:40" ht="15.75" customHeight="1">
      <c r="B666" s="83"/>
      <c r="C666" s="80"/>
      <c r="D666" s="80"/>
      <c r="E666" s="80"/>
      <c r="F666" s="188"/>
      <c r="G666" s="80"/>
      <c r="H666" s="80"/>
      <c r="I666" s="80"/>
      <c r="J666" s="187"/>
      <c r="K666" s="80"/>
      <c r="L666" s="80"/>
      <c r="M666" s="80"/>
      <c r="N666" s="80"/>
      <c r="O666" s="80"/>
      <c r="P666" s="80"/>
      <c r="Q666" s="80"/>
      <c r="R666" s="80"/>
      <c r="S666" s="80"/>
      <c r="T666" s="83"/>
      <c r="U666" s="85"/>
      <c r="V666" s="85"/>
      <c r="W666" s="85"/>
      <c r="X666" s="85"/>
      <c r="Y666" s="85"/>
      <c r="Z666" s="85"/>
      <c r="AA666" s="85"/>
      <c r="AB666" s="85"/>
      <c r="AC666" s="85"/>
      <c r="AD666" s="85"/>
      <c r="AE666" s="85"/>
      <c r="AF666" s="85"/>
      <c r="AG666" s="85"/>
      <c r="AH666" s="85"/>
      <c r="AI666" s="85"/>
      <c r="AJ666" s="85"/>
      <c r="AK666" s="83"/>
      <c r="AL666" s="83"/>
      <c r="AM666" s="83"/>
      <c r="AN666" s="83"/>
    </row>
    <row r="667" spans="2:40" ht="15.75" customHeight="1">
      <c r="B667" s="83"/>
      <c r="C667" s="80"/>
      <c r="D667" s="80"/>
      <c r="E667" s="80"/>
      <c r="F667" s="188"/>
      <c r="G667" s="80"/>
      <c r="H667" s="80"/>
      <c r="I667" s="80"/>
      <c r="J667" s="187"/>
      <c r="K667" s="80"/>
      <c r="L667" s="80"/>
      <c r="M667" s="80"/>
      <c r="N667" s="80"/>
      <c r="O667" s="80"/>
      <c r="P667" s="80"/>
      <c r="Q667" s="80"/>
      <c r="R667" s="80"/>
      <c r="S667" s="80"/>
      <c r="T667" s="83"/>
      <c r="U667" s="85"/>
      <c r="V667" s="85"/>
      <c r="W667" s="85"/>
      <c r="X667" s="85"/>
      <c r="Y667" s="85"/>
      <c r="Z667" s="85"/>
      <c r="AA667" s="85"/>
      <c r="AB667" s="85"/>
      <c r="AC667" s="85"/>
      <c r="AD667" s="85"/>
      <c r="AE667" s="85"/>
      <c r="AF667" s="85"/>
      <c r="AG667" s="85"/>
      <c r="AH667" s="85"/>
      <c r="AI667" s="85"/>
      <c r="AJ667" s="85"/>
      <c r="AK667" s="83"/>
      <c r="AL667" s="83"/>
      <c r="AM667" s="83"/>
      <c r="AN667" s="83"/>
    </row>
    <row r="668" spans="2:40" ht="15.75" customHeight="1">
      <c r="B668" s="83"/>
      <c r="C668" s="80"/>
      <c r="D668" s="80"/>
      <c r="E668" s="80"/>
      <c r="F668" s="188"/>
      <c r="G668" s="80"/>
      <c r="H668" s="80"/>
      <c r="I668" s="80"/>
      <c r="J668" s="187"/>
      <c r="K668" s="80"/>
      <c r="L668" s="80"/>
      <c r="M668" s="80"/>
      <c r="N668" s="80"/>
      <c r="O668" s="80"/>
      <c r="P668" s="80"/>
      <c r="Q668" s="80"/>
      <c r="R668" s="80"/>
      <c r="S668" s="80"/>
      <c r="T668" s="83"/>
      <c r="U668" s="85"/>
      <c r="V668" s="85"/>
      <c r="W668" s="85"/>
      <c r="X668" s="85"/>
      <c r="Y668" s="85"/>
      <c r="Z668" s="85"/>
      <c r="AA668" s="85"/>
      <c r="AB668" s="85"/>
      <c r="AC668" s="85"/>
      <c r="AD668" s="85"/>
      <c r="AE668" s="85"/>
      <c r="AF668" s="85"/>
      <c r="AG668" s="85"/>
      <c r="AH668" s="85"/>
      <c r="AI668" s="85"/>
      <c r="AJ668" s="85"/>
      <c r="AK668" s="83"/>
      <c r="AL668" s="83"/>
      <c r="AM668" s="83"/>
      <c r="AN668" s="83"/>
    </row>
    <row r="669" spans="2:40" ht="15.75" customHeight="1">
      <c r="B669" s="83"/>
      <c r="C669" s="80"/>
      <c r="D669" s="80"/>
      <c r="E669" s="80"/>
      <c r="F669" s="188"/>
      <c r="G669" s="80"/>
      <c r="H669" s="80"/>
      <c r="I669" s="80"/>
      <c r="J669" s="187"/>
      <c r="K669" s="80"/>
      <c r="L669" s="80"/>
      <c r="M669" s="80"/>
      <c r="N669" s="80"/>
      <c r="O669" s="80"/>
      <c r="P669" s="80"/>
      <c r="Q669" s="80"/>
      <c r="R669" s="80"/>
      <c r="S669" s="80"/>
      <c r="T669" s="83"/>
      <c r="U669" s="85"/>
      <c r="V669" s="85"/>
      <c r="W669" s="85"/>
      <c r="X669" s="85"/>
      <c r="Y669" s="85"/>
      <c r="Z669" s="85"/>
      <c r="AA669" s="85"/>
      <c r="AB669" s="85"/>
      <c r="AC669" s="85"/>
      <c r="AD669" s="85"/>
      <c r="AE669" s="85"/>
      <c r="AF669" s="85"/>
      <c r="AG669" s="85"/>
      <c r="AH669" s="85"/>
      <c r="AI669" s="85"/>
      <c r="AJ669" s="85"/>
      <c r="AK669" s="83"/>
      <c r="AL669" s="83"/>
      <c r="AM669" s="83"/>
      <c r="AN669" s="83"/>
    </row>
    <row r="670" spans="2:40" ht="15.75" customHeight="1">
      <c r="B670" s="83"/>
      <c r="C670" s="80"/>
      <c r="D670" s="80"/>
      <c r="E670" s="80"/>
      <c r="F670" s="188"/>
      <c r="G670" s="80"/>
      <c r="H670" s="80"/>
      <c r="I670" s="80"/>
      <c r="J670" s="187"/>
      <c r="K670" s="80"/>
      <c r="L670" s="80"/>
      <c r="M670" s="80"/>
      <c r="N670" s="80"/>
      <c r="O670" s="80"/>
      <c r="P670" s="80"/>
      <c r="Q670" s="80"/>
      <c r="R670" s="80"/>
      <c r="S670" s="80"/>
      <c r="T670" s="83"/>
      <c r="U670" s="85"/>
      <c r="V670" s="85"/>
      <c r="W670" s="85"/>
      <c r="X670" s="85"/>
      <c r="Y670" s="85"/>
      <c r="Z670" s="85"/>
      <c r="AA670" s="85"/>
      <c r="AB670" s="85"/>
      <c r="AC670" s="85"/>
      <c r="AD670" s="85"/>
      <c r="AE670" s="85"/>
      <c r="AF670" s="85"/>
      <c r="AG670" s="85"/>
      <c r="AH670" s="85"/>
      <c r="AI670" s="85"/>
      <c r="AJ670" s="85"/>
      <c r="AK670" s="83"/>
      <c r="AL670" s="83"/>
      <c r="AM670" s="83"/>
      <c r="AN670" s="83"/>
    </row>
    <row r="671" spans="2:40" ht="15.75" customHeight="1">
      <c r="B671" s="83"/>
      <c r="C671" s="80"/>
      <c r="D671" s="80"/>
      <c r="E671" s="80"/>
      <c r="F671" s="188"/>
      <c r="G671" s="80"/>
      <c r="H671" s="80"/>
      <c r="I671" s="80"/>
      <c r="J671" s="187"/>
      <c r="K671" s="80"/>
      <c r="L671" s="80"/>
      <c r="M671" s="80"/>
      <c r="N671" s="80"/>
      <c r="O671" s="80"/>
      <c r="P671" s="80"/>
      <c r="Q671" s="80"/>
      <c r="R671" s="80"/>
      <c r="S671" s="80"/>
      <c r="T671" s="83"/>
      <c r="U671" s="85"/>
      <c r="V671" s="85"/>
      <c r="W671" s="85"/>
      <c r="X671" s="85"/>
      <c r="Y671" s="85"/>
      <c r="Z671" s="85"/>
      <c r="AA671" s="85"/>
      <c r="AB671" s="85"/>
      <c r="AC671" s="85"/>
      <c r="AD671" s="85"/>
      <c r="AE671" s="85"/>
      <c r="AF671" s="85"/>
      <c r="AG671" s="85"/>
      <c r="AH671" s="85"/>
      <c r="AI671" s="85"/>
      <c r="AJ671" s="85"/>
      <c r="AK671" s="83"/>
      <c r="AL671" s="83"/>
      <c r="AM671" s="83"/>
      <c r="AN671" s="83"/>
    </row>
    <row r="672" spans="2:40" ht="15.75" customHeight="1">
      <c r="B672" s="83"/>
      <c r="C672" s="80"/>
      <c r="D672" s="80"/>
      <c r="E672" s="80"/>
      <c r="F672" s="188"/>
      <c r="G672" s="80"/>
      <c r="H672" s="80"/>
      <c r="I672" s="80"/>
      <c r="J672" s="187"/>
      <c r="K672" s="80"/>
      <c r="L672" s="80"/>
      <c r="M672" s="80"/>
      <c r="N672" s="80"/>
      <c r="O672" s="80"/>
      <c r="P672" s="80"/>
      <c r="Q672" s="80"/>
      <c r="R672" s="80"/>
      <c r="S672" s="80"/>
      <c r="T672" s="83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3"/>
      <c r="AL672" s="83"/>
      <c r="AM672" s="83"/>
      <c r="AN672" s="83"/>
    </row>
    <row r="673" spans="2:40" ht="15.75" customHeight="1">
      <c r="B673" s="83"/>
      <c r="C673" s="80"/>
      <c r="D673" s="80"/>
      <c r="E673" s="80"/>
      <c r="F673" s="188"/>
      <c r="G673" s="80"/>
      <c r="H673" s="80"/>
      <c r="I673" s="80"/>
      <c r="J673" s="187"/>
      <c r="K673" s="80"/>
      <c r="L673" s="80"/>
      <c r="M673" s="80"/>
      <c r="N673" s="80"/>
      <c r="O673" s="80"/>
      <c r="P673" s="80"/>
      <c r="Q673" s="80"/>
      <c r="R673" s="80"/>
      <c r="S673" s="80"/>
      <c r="T673" s="83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3"/>
      <c r="AL673" s="83"/>
      <c r="AM673" s="83"/>
      <c r="AN673" s="83"/>
    </row>
    <row r="674" spans="2:40" ht="15.75" customHeight="1">
      <c r="B674" s="83"/>
      <c r="C674" s="80"/>
      <c r="D674" s="80"/>
      <c r="E674" s="80"/>
      <c r="F674" s="188"/>
      <c r="G674" s="80"/>
      <c r="H674" s="80"/>
      <c r="I674" s="80"/>
      <c r="J674" s="187"/>
      <c r="K674" s="80"/>
      <c r="L674" s="80"/>
      <c r="M674" s="80"/>
      <c r="N674" s="80"/>
      <c r="O674" s="80"/>
      <c r="P674" s="80"/>
      <c r="Q674" s="80"/>
      <c r="R674" s="80"/>
      <c r="S674" s="80"/>
      <c r="T674" s="83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3"/>
      <c r="AL674" s="83"/>
      <c r="AM674" s="83"/>
      <c r="AN674" s="83"/>
    </row>
    <row r="675" spans="2:40" ht="15.75" customHeight="1">
      <c r="B675" s="83"/>
      <c r="C675" s="80"/>
      <c r="D675" s="80"/>
      <c r="E675" s="80"/>
      <c r="F675" s="188"/>
      <c r="G675" s="80"/>
      <c r="H675" s="80"/>
      <c r="I675" s="80"/>
      <c r="J675" s="187"/>
      <c r="K675" s="80"/>
      <c r="L675" s="80"/>
      <c r="M675" s="80"/>
      <c r="N675" s="80"/>
      <c r="O675" s="80"/>
      <c r="P675" s="80"/>
      <c r="Q675" s="80"/>
      <c r="R675" s="80"/>
      <c r="S675" s="80"/>
      <c r="T675" s="83"/>
      <c r="U675" s="85"/>
      <c r="V675" s="85"/>
      <c r="W675" s="85"/>
      <c r="X675" s="85"/>
      <c r="Y675" s="85"/>
      <c r="Z675" s="85"/>
      <c r="AA675" s="85"/>
      <c r="AB675" s="85"/>
      <c r="AC675" s="85"/>
      <c r="AD675" s="85"/>
      <c r="AE675" s="85"/>
      <c r="AF675" s="85"/>
      <c r="AG675" s="85"/>
      <c r="AH675" s="85"/>
      <c r="AI675" s="85"/>
      <c r="AJ675" s="85"/>
      <c r="AK675" s="83"/>
      <c r="AL675" s="83"/>
      <c r="AM675" s="83"/>
      <c r="AN675" s="83"/>
    </row>
    <row r="676" spans="2:40" ht="15.75" customHeight="1">
      <c r="B676" s="83"/>
      <c r="C676" s="80"/>
      <c r="D676" s="80"/>
      <c r="E676" s="80"/>
      <c r="F676" s="188"/>
      <c r="G676" s="80"/>
      <c r="H676" s="80"/>
      <c r="I676" s="80"/>
      <c r="J676" s="187"/>
      <c r="K676" s="80"/>
      <c r="L676" s="80"/>
      <c r="M676" s="80"/>
      <c r="N676" s="80"/>
      <c r="O676" s="80"/>
      <c r="P676" s="80"/>
      <c r="Q676" s="80"/>
      <c r="R676" s="80"/>
      <c r="S676" s="80"/>
      <c r="T676" s="83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3"/>
      <c r="AL676" s="83"/>
      <c r="AM676" s="83"/>
      <c r="AN676" s="83"/>
    </row>
    <row r="677" spans="2:40" ht="15.75" customHeight="1">
      <c r="B677" s="83"/>
      <c r="C677" s="80"/>
      <c r="D677" s="80"/>
      <c r="E677" s="80"/>
      <c r="F677" s="188"/>
      <c r="G677" s="80"/>
      <c r="H677" s="80"/>
      <c r="I677" s="80"/>
      <c r="J677" s="187"/>
      <c r="K677" s="80"/>
      <c r="L677" s="80"/>
      <c r="M677" s="80"/>
      <c r="N677" s="80"/>
      <c r="O677" s="80"/>
      <c r="P677" s="80"/>
      <c r="Q677" s="80"/>
      <c r="R677" s="80"/>
      <c r="S677" s="80"/>
      <c r="T677" s="83"/>
      <c r="U677" s="85"/>
      <c r="V677" s="85"/>
      <c r="W677" s="85"/>
      <c r="X677" s="85"/>
      <c r="Y677" s="85"/>
      <c r="Z677" s="85"/>
      <c r="AA677" s="85"/>
      <c r="AB677" s="85"/>
      <c r="AC677" s="85"/>
      <c r="AD677" s="85"/>
      <c r="AE677" s="85"/>
      <c r="AF677" s="85"/>
      <c r="AG677" s="85"/>
      <c r="AH677" s="85"/>
      <c r="AI677" s="85"/>
      <c r="AJ677" s="85"/>
      <c r="AK677" s="83"/>
      <c r="AL677" s="83"/>
      <c r="AM677" s="83"/>
      <c r="AN677" s="83"/>
    </row>
    <row r="678" spans="2:40" ht="15.75" customHeight="1">
      <c r="B678" s="83"/>
      <c r="C678" s="80"/>
      <c r="D678" s="80"/>
      <c r="E678" s="80"/>
      <c r="F678" s="188"/>
      <c r="G678" s="80"/>
      <c r="H678" s="80"/>
      <c r="I678" s="80"/>
      <c r="J678" s="187"/>
      <c r="K678" s="80"/>
      <c r="L678" s="80"/>
      <c r="M678" s="80"/>
      <c r="N678" s="80"/>
      <c r="O678" s="80"/>
      <c r="P678" s="80"/>
      <c r="Q678" s="80"/>
      <c r="R678" s="80"/>
      <c r="S678" s="80"/>
      <c r="T678" s="83"/>
      <c r="U678" s="85"/>
      <c r="V678" s="85"/>
      <c r="W678" s="85"/>
      <c r="X678" s="85"/>
      <c r="Y678" s="85"/>
      <c r="Z678" s="85"/>
      <c r="AA678" s="85"/>
      <c r="AB678" s="85"/>
      <c r="AC678" s="85"/>
      <c r="AD678" s="85"/>
      <c r="AE678" s="85"/>
      <c r="AF678" s="85"/>
      <c r="AG678" s="85"/>
      <c r="AH678" s="85"/>
      <c r="AI678" s="85"/>
      <c r="AJ678" s="85"/>
      <c r="AK678" s="83"/>
      <c r="AL678" s="83"/>
      <c r="AM678" s="83"/>
      <c r="AN678" s="83"/>
    </row>
    <row r="679" spans="2:40" ht="15.75" customHeight="1">
      <c r="B679" s="83"/>
      <c r="C679" s="80"/>
      <c r="D679" s="80"/>
      <c r="E679" s="80"/>
      <c r="F679" s="188"/>
      <c r="G679" s="80"/>
      <c r="H679" s="80"/>
      <c r="I679" s="80"/>
      <c r="J679" s="187"/>
      <c r="K679" s="80"/>
      <c r="L679" s="80"/>
      <c r="M679" s="80"/>
      <c r="N679" s="80"/>
      <c r="O679" s="80"/>
      <c r="P679" s="80"/>
      <c r="Q679" s="80"/>
      <c r="R679" s="80"/>
      <c r="S679" s="80"/>
      <c r="T679" s="83"/>
      <c r="U679" s="85"/>
      <c r="V679" s="85"/>
      <c r="W679" s="85"/>
      <c r="X679" s="85"/>
      <c r="Y679" s="85"/>
      <c r="Z679" s="85"/>
      <c r="AA679" s="85"/>
      <c r="AB679" s="85"/>
      <c r="AC679" s="85"/>
      <c r="AD679" s="85"/>
      <c r="AE679" s="85"/>
      <c r="AF679" s="85"/>
      <c r="AG679" s="85"/>
      <c r="AH679" s="85"/>
      <c r="AI679" s="85"/>
      <c r="AJ679" s="85"/>
      <c r="AK679" s="83"/>
      <c r="AL679" s="83"/>
      <c r="AM679" s="83"/>
      <c r="AN679" s="83"/>
    </row>
    <row r="680" spans="2:40" ht="15.75" customHeight="1">
      <c r="B680" s="83"/>
      <c r="C680" s="80"/>
      <c r="D680" s="80"/>
      <c r="E680" s="80"/>
      <c r="F680" s="188"/>
      <c r="G680" s="80"/>
      <c r="H680" s="80"/>
      <c r="I680" s="80"/>
      <c r="J680" s="187"/>
      <c r="K680" s="80"/>
      <c r="L680" s="80"/>
      <c r="M680" s="80"/>
      <c r="N680" s="80"/>
      <c r="O680" s="80"/>
      <c r="P680" s="80"/>
      <c r="Q680" s="80"/>
      <c r="R680" s="80"/>
      <c r="S680" s="80"/>
      <c r="T680" s="83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3"/>
      <c r="AL680" s="83"/>
      <c r="AM680" s="83"/>
      <c r="AN680" s="83"/>
    </row>
    <row r="681" spans="2:40" ht="15.75" customHeight="1">
      <c r="B681" s="83"/>
      <c r="C681" s="80"/>
      <c r="D681" s="80"/>
      <c r="E681" s="80"/>
      <c r="F681" s="188"/>
      <c r="G681" s="80"/>
      <c r="H681" s="80"/>
      <c r="I681" s="80"/>
      <c r="J681" s="187"/>
      <c r="K681" s="80"/>
      <c r="L681" s="80"/>
      <c r="M681" s="80"/>
      <c r="N681" s="80"/>
      <c r="O681" s="80"/>
      <c r="P681" s="80"/>
      <c r="Q681" s="80"/>
      <c r="R681" s="80"/>
      <c r="S681" s="80"/>
      <c r="T681" s="83"/>
      <c r="U681" s="85"/>
      <c r="V681" s="85"/>
      <c r="W681" s="85"/>
      <c r="X681" s="85"/>
      <c r="Y681" s="85"/>
      <c r="Z681" s="85"/>
      <c r="AA681" s="85"/>
      <c r="AB681" s="85"/>
      <c r="AC681" s="85"/>
      <c r="AD681" s="85"/>
      <c r="AE681" s="85"/>
      <c r="AF681" s="85"/>
      <c r="AG681" s="85"/>
      <c r="AH681" s="85"/>
      <c r="AI681" s="85"/>
      <c r="AJ681" s="85"/>
      <c r="AK681" s="83"/>
      <c r="AL681" s="83"/>
      <c r="AM681" s="83"/>
      <c r="AN681" s="83"/>
    </row>
    <row r="682" spans="2:40" ht="15.75" customHeight="1">
      <c r="B682" s="83"/>
      <c r="C682" s="80"/>
      <c r="D682" s="80"/>
      <c r="E682" s="80"/>
      <c r="F682" s="188"/>
      <c r="G682" s="80"/>
      <c r="H682" s="80"/>
      <c r="I682" s="80"/>
      <c r="J682" s="187"/>
      <c r="K682" s="80"/>
      <c r="L682" s="80"/>
      <c r="M682" s="80"/>
      <c r="N682" s="80"/>
      <c r="O682" s="80"/>
      <c r="P682" s="80"/>
      <c r="Q682" s="80"/>
      <c r="R682" s="80"/>
      <c r="S682" s="80"/>
      <c r="T682" s="83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3"/>
      <c r="AL682" s="83"/>
      <c r="AM682" s="83"/>
      <c r="AN682" s="83"/>
    </row>
    <row r="683" spans="2:40" ht="15.75" customHeight="1">
      <c r="B683" s="83"/>
      <c r="C683" s="80"/>
      <c r="D683" s="80"/>
      <c r="E683" s="80"/>
      <c r="F683" s="188"/>
      <c r="G683" s="80"/>
      <c r="H683" s="80"/>
      <c r="I683" s="80"/>
      <c r="J683" s="187"/>
      <c r="K683" s="80"/>
      <c r="L683" s="80"/>
      <c r="M683" s="80"/>
      <c r="N683" s="80"/>
      <c r="O683" s="80"/>
      <c r="P683" s="80"/>
      <c r="Q683" s="80"/>
      <c r="R683" s="80"/>
      <c r="S683" s="80"/>
      <c r="T683" s="83"/>
      <c r="U683" s="85"/>
      <c r="V683" s="85"/>
      <c r="W683" s="85"/>
      <c r="X683" s="85"/>
      <c r="Y683" s="85"/>
      <c r="Z683" s="85"/>
      <c r="AA683" s="85"/>
      <c r="AB683" s="85"/>
      <c r="AC683" s="85"/>
      <c r="AD683" s="85"/>
      <c r="AE683" s="85"/>
      <c r="AF683" s="85"/>
      <c r="AG683" s="85"/>
      <c r="AH683" s="85"/>
      <c r="AI683" s="85"/>
      <c r="AJ683" s="85"/>
      <c r="AK683" s="83"/>
      <c r="AL683" s="83"/>
      <c r="AM683" s="83"/>
      <c r="AN683" s="83"/>
    </row>
    <row r="684" spans="2:40" ht="15.75" customHeight="1">
      <c r="B684" s="83"/>
      <c r="C684" s="80"/>
      <c r="D684" s="80"/>
      <c r="E684" s="80"/>
      <c r="F684" s="188"/>
      <c r="G684" s="80"/>
      <c r="H684" s="80"/>
      <c r="I684" s="80"/>
      <c r="J684" s="187"/>
      <c r="K684" s="80"/>
      <c r="L684" s="80"/>
      <c r="M684" s="80"/>
      <c r="N684" s="80"/>
      <c r="O684" s="80"/>
      <c r="P684" s="80"/>
      <c r="Q684" s="80"/>
      <c r="R684" s="80"/>
      <c r="S684" s="80"/>
      <c r="T684" s="83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3"/>
      <c r="AL684" s="83"/>
      <c r="AM684" s="83"/>
      <c r="AN684" s="83"/>
    </row>
    <row r="685" spans="2:40" ht="15.75" customHeight="1">
      <c r="B685" s="83"/>
      <c r="C685" s="80"/>
      <c r="D685" s="80"/>
      <c r="E685" s="80"/>
      <c r="F685" s="188"/>
      <c r="G685" s="80"/>
      <c r="H685" s="80"/>
      <c r="I685" s="80"/>
      <c r="J685" s="187"/>
      <c r="K685" s="80"/>
      <c r="L685" s="80"/>
      <c r="M685" s="80"/>
      <c r="N685" s="80"/>
      <c r="O685" s="80"/>
      <c r="P685" s="80"/>
      <c r="Q685" s="80"/>
      <c r="R685" s="80"/>
      <c r="S685" s="80"/>
      <c r="T685" s="83"/>
      <c r="U685" s="85"/>
      <c r="V685" s="85"/>
      <c r="W685" s="85"/>
      <c r="X685" s="85"/>
      <c r="Y685" s="85"/>
      <c r="Z685" s="85"/>
      <c r="AA685" s="85"/>
      <c r="AB685" s="85"/>
      <c r="AC685" s="85"/>
      <c r="AD685" s="85"/>
      <c r="AE685" s="85"/>
      <c r="AF685" s="85"/>
      <c r="AG685" s="85"/>
      <c r="AH685" s="85"/>
      <c r="AI685" s="85"/>
      <c r="AJ685" s="85"/>
      <c r="AK685" s="83"/>
      <c r="AL685" s="83"/>
      <c r="AM685" s="83"/>
      <c r="AN685" s="83"/>
    </row>
    <row r="686" spans="2:40" ht="15.75" customHeight="1">
      <c r="B686" s="83"/>
      <c r="C686" s="80"/>
      <c r="D686" s="80"/>
      <c r="E686" s="80"/>
      <c r="F686" s="188"/>
      <c r="G686" s="80"/>
      <c r="H686" s="80"/>
      <c r="I686" s="80"/>
      <c r="J686" s="187"/>
      <c r="K686" s="80"/>
      <c r="L686" s="80"/>
      <c r="M686" s="80"/>
      <c r="N686" s="80"/>
      <c r="O686" s="80"/>
      <c r="P686" s="80"/>
      <c r="Q686" s="80"/>
      <c r="R686" s="80"/>
      <c r="S686" s="80"/>
      <c r="T686" s="83"/>
      <c r="U686" s="85"/>
      <c r="V686" s="85"/>
      <c r="W686" s="85"/>
      <c r="X686" s="85"/>
      <c r="Y686" s="85"/>
      <c r="Z686" s="85"/>
      <c r="AA686" s="85"/>
      <c r="AB686" s="85"/>
      <c r="AC686" s="85"/>
      <c r="AD686" s="85"/>
      <c r="AE686" s="85"/>
      <c r="AF686" s="85"/>
      <c r="AG686" s="85"/>
      <c r="AH686" s="85"/>
      <c r="AI686" s="85"/>
      <c r="AJ686" s="85"/>
      <c r="AK686" s="83"/>
      <c r="AL686" s="83"/>
      <c r="AM686" s="83"/>
      <c r="AN686" s="83"/>
    </row>
    <row r="687" spans="2:40" ht="15.75" customHeight="1">
      <c r="B687" s="83"/>
      <c r="C687" s="80"/>
      <c r="D687" s="80"/>
      <c r="E687" s="80"/>
      <c r="F687" s="188"/>
      <c r="G687" s="80"/>
      <c r="H687" s="80"/>
      <c r="I687" s="80"/>
      <c r="J687" s="187"/>
      <c r="K687" s="80"/>
      <c r="L687" s="80"/>
      <c r="M687" s="80"/>
      <c r="N687" s="80"/>
      <c r="O687" s="80"/>
      <c r="P687" s="80"/>
      <c r="Q687" s="80"/>
      <c r="R687" s="80"/>
      <c r="S687" s="80"/>
      <c r="T687" s="83"/>
      <c r="U687" s="85"/>
      <c r="V687" s="85"/>
      <c r="W687" s="85"/>
      <c r="X687" s="85"/>
      <c r="Y687" s="85"/>
      <c r="Z687" s="85"/>
      <c r="AA687" s="85"/>
      <c r="AB687" s="85"/>
      <c r="AC687" s="85"/>
      <c r="AD687" s="85"/>
      <c r="AE687" s="85"/>
      <c r="AF687" s="85"/>
      <c r="AG687" s="85"/>
      <c r="AH687" s="85"/>
      <c r="AI687" s="85"/>
      <c r="AJ687" s="85"/>
      <c r="AK687" s="83"/>
      <c r="AL687" s="83"/>
      <c r="AM687" s="83"/>
      <c r="AN687" s="83"/>
    </row>
    <row r="688" spans="2:40" ht="15.75" customHeight="1">
      <c r="B688" s="83"/>
      <c r="C688" s="80"/>
      <c r="D688" s="80"/>
      <c r="E688" s="80"/>
      <c r="F688" s="188"/>
      <c r="G688" s="80"/>
      <c r="H688" s="80"/>
      <c r="I688" s="80"/>
      <c r="J688" s="187"/>
      <c r="K688" s="80"/>
      <c r="L688" s="80"/>
      <c r="M688" s="80"/>
      <c r="N688" s="80"/>
      <c r="O688" s="80"/>
      <c r="P688" s="80"/>
      <c r="Q688" s="80"/>
      <c r="R688" s="80"/>
      <c r="S688" s="80"/>
      <c r="T688" s="83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3"/>
      <c r="AL688" s="83"/>
      <c r="AM688" s="83"/>
      <c r="AN688" s="83"/>
    </row>
    <row r="689" spans="2:40" ht="15.75" customHeight="1">
      <c r="B689" s="83"/>
      <c r="C689" s="80"/>
      <c r="D689" s="80"/>
      <c r="E689" s="80"/>
      <c r="F689" s="188"/>
      <c r="G689" s="80"/>
      <c r="H689" s="80"/>
      <c r="I689" s="80"/>
      <c r="J689" s="187"/>
      <c r="K689" s="80"/>
      <c r="L689" s="80"/>
      <c r="M689" s="80"/>
      <c r="N689" s="80"/>
      <c r="O689" s="80"/>
      <c r="P689" s="80"/>
      <c r="Q689" s="80"/>
      <c r="R689" s="80"/>
      <c r="S689" s="80"/>
      <c r="T689" s="83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3"/>
      <c r="AL689" s="83"/>
      <c r="AM689" s="83"/>
      <c r="AN689" s="83"/>
    </row>
    <row r="690" spans="2:40" ht="15.75" customHeight="1">
      <c r="B690" s="83"/>
      <c r="C690" s="80"/>
      <c r="D690" s="80"/>
      <c r="E690" s="80"/>
      <c r="F690" s="188"/>
      <c r="G690" s="80"/>
      <c r="H690" s="80"/>
      <c r="I690" s="80"/>
      <c r="J690" s="187"/>
      <c r="K690" s="80"/>
      <c r="L690" s="80"/>
      <c r="M690" s="80"/>
      <c r="N690" s="80"/>
      <c r="O690" s="80"/>
      <c r="P690" s="80"/>
      <c r="Q690" s="80"/>
      <c r="R690" s="80"/>
      <c r="S690" s="80"/>
      <c r="T690" s="83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3"/>
      <c r="AL690" s="83"/>
      <c r="AM690" s="83"/>
      <c r="AN690" s="83"/>
    </row>
    <row r="691" spans="2:40" ht="15.75" customHeight="1">
      <c r="B691" s="83"/>
      <c r="C691" s="80"/>
      <c r="D691" s="80"/>
      <c r="E691" s="80"/>
      <c r="F691" s="188"/>
      <c r="G691" s="80"/>
      <c r="H691" s="80"/>
      <c r="I691" s="80"/>
      <c r="J691" s="187"/>
      <c r="K691" s="80"/>
      <c r="L691" s="80"/>
      <c r="M691" s="80"/>
      <c r="N691" s="80"/>
      <c r="O691" s="80"/>
      <c r="P691" s="80"/>
      <c r="Q691" s="80"/>
      <c r="R691" s="80"/>
      <c r="S691" s="80"/>
      <c r="T691" s="83"/>
      <c r="U691" s="85"/>
      <c r="V691" s="85"/>
      <c r="W691" s="85"/>
      <c r="X691" s="85"/>
      <c r="Y691" s="85"/>
      <c r="Z691" s="85"/>
      <c r="AA691" s="85"/>
      <c r="AB691" s="85"/>
      <c r="AC691" s="85"/>
      <c r="AD691" s="85"/>
      <c r="AE691" s="85"/>
      <c r="AF691" s="85"/>
      <c r="AG691" s="85"/>
      <c r="AH691" s="85"/>
      <c r="AI691" s="85"/>
      <c r="AJ691" s="85"/>
      <c r="AK691" s="83"/>
      <c r="AL691" s="83"/>
      <c r="AM691" s="83"/>
      <c r="AN691" s="83"/>
    </row>
    <row r="692" spans="2:40" ht="15.75" customHeight="1">
      <c r="B692" s="83"/>
      <c r="C692" s="80"/>
      <c r="D692" s="80"/>
      <c r="E692" s="80"/>
      <c r="F692" s="188"/>
      <c r="G692" s="80"/>
      <c r="H692" s="80"/>
      <c r="I692" s="80"/>
      <c r="J692" s="187"/>
      <c r="K692" s="80"/>
      <c r="L692" s="80"/>
      <c r="M692" s="80"/>
      <c r="N692" s="80"/>
      <c r="O692" s="80"/>
      <c r="P692" s="80"/>
      <c r="Q692" s="80"/>
      <c r="R692" s="80"/>
      <c r="S692" s="80"/>
      <c r="T692" s="83"/>
      <c r="U692" s="85"/>
      <c r="V692" s="85"/>
      <c r="W692" s="85"/>
      <c r="X692" s="85"/>
      <c r="Y692" s="85"/>
      <c r="Z692" s="85"/>
      <c r="AA692" s="85"/>
      <c r="AB692" s="85"/>
      <c r="AC692" s="85"/>
      <c r="AD692" s="85"/>
      <c r="AE692" s="85"/>
      <c r="AF692" s="85"/>
      <c r="AG692" s="85"/>
      <c r="AH692" s="85"/>
      <c r="AI692" s="85"/>
      <c r="AJ692" s="85"/>
      <c r="AK692" s="83"/>
      <c r="AL692" s="83"/>
      <c r="AM692" s="83"/>
      <c r="AN692" s="83"/>
    </row>
    <row r="693" spans="2:40" ht="15.75" customHeight="1">
      <c r="B693" s="83"/>
      <c r="C693" s="80"/>
      <c r="D693" s="80"/>
      <c r="E693" s="80"/>
      <c r="F693" s="188"/>
      <c r="G693" s="80"/>
      <c r="H693" s="80"/>
      <c r="I693" s="80"/>
      <c r="J693" s="187"/>
      <c r="K693" s="80"/>
      <c r="L693" s="80"/>
      <c r="M693" s="80"/>
      <c r="N693" s="80"/>
      <c r="O693" s="80"/>
      <c r="P693" s="80"/>
      <c r="Q693" s="80"/>
      <c r="R693" s="80"/>
      <c r="S693" s="80"/>
      <c r="T693" s="83"/>
      <c r="U693" s="85"/>
      <c r="V693" s="85"/>
      <c r="W693" s="85"/>
      <c r="X693" s="85"/>
      <c r="Y693" s="85"/>
      <c r="Z693" s="85"/>
      <c r="AA693" s="85"/>
      <c r="AB693" s="85"/>
      <c r="AC693" s="85"/>
      <c r="AD693" s="85"/>
      <c r="AE693" s="85"/>
      <c r="AF693" s="85"/>
      <c r="AG693" s="85"/>
      <c r="AH693" s="85"/>
      <c r="AI693" s="85"/>
      <c r="AJ693" s="85"/>
      <c r="AK693" s="83"/>
      <c r="AL693" s="83"/>
      <c r="AM693" s="83"/>
      <c r="AN693" s="83"/>
    </row>
    <row r="694" spans="2:40" ht="15.75" customHeight="1">
      <c r="B694" s="83"/>
      <c r="C694" s="80"/>
      <c r="D694" s="80"/>
      <c r="E694" s="80"/>
      <c r="F694" s="188"/>
      <c r="G694" s="80"/>
      <c r="H694" s="80"/>
      <c r="I694" s="80"/>
      <c r="J694" s="187"/>
      <c r="K694" s="80"/>
      <c r="L694" s="80"/>
      <c r="M694" s="80"/>
      <c r="N694" s="80"/>
      <c r="O694" s="80"/>
      <c r="P694" s="80"/>
      <c r="Q694" s="80"/>
      <c r="R694" s="80"/>
      <c r="S694" s="80"/>
      <c r="T694" s="83"/>
      <c r="U694" s="85"/>
      <c r="V694" s="85"/>
      <c r="W694" s="85"/>
      <c r="X694" s="85"/>
      <c r="Y694" s="85"/>
      <c r="Z694" s="85"/>
      <c r="AA694" s="85"/>
      <c r="AB694" s="85"/>
      <c r="AC694" s="85"/>
      <c r="AD694" s="85"/>
      <c r="AE694" s="85"/>
      <c r="AF694" s="85"/>
      <c r="AG694" s="85"/>
      <c r="AH694" s="85"/>
      <c r="AI694" s="85"/>
      <c r="AJ694" s="85"/>
      <c r="AK694" s="83"/>
      <c r="AL694" s="83"/>
      <c r="AM694" s="83"/>
      <c r="AN694" s="83"/>
    </row>
    <row r="695" spans="2:40" ht="15.75" customHeight="1">
      <c r="B695" s="83"/>
      <c r="C695" s="80"/>
      <c r="D695" s="80"/>
      <c r="E695" s="80"/>
      <c r="F695" s="188"/>
      <c r="G695" s="80"/>
      <c r="H695" s="80"/>
      <c r="I695" s="80"/>
      <c r="J695" s="187"/>
      <c r="K695" s="80"/>
      <c r="L695" s="80"/>
      <c r="M695" s="80"/>
      <c r="N695" s="80"/>
      <c r="O695" s="80"/>
      <c r="P695" s="80"/>
      <c r="Q695" s="80"/>
      <c r="R695" s="80"/>
      <c r="S695" s="80"/>
      <c r="T695" s="83"/>
      <c r="U695" s="85"/>
      <c r="V695" s="85"/>
      <c r="W695" s="85"/>
      <c r="X695" s="85"/>
      <c r="Y695" s="85"/>
      <c r="Z695" s="85"/>
      <c r="AA695" s="85"/>
      <c r="AB695" s="85"/>
      <c r="AC695" s="85"/>
      <c r="AD695" s="85"/>
      <c r="AE695" s="85"/>
      <c r="AF695" s="85"/>
      <c r="AG695" s="85"/>
      <c r="AH695" s="85"/>
      <c r="AI695" s="85"/>
      <c r="AJ695" s="85"/>
      <c r="AK695" s="83"/>
      <c r="AL695" s="83"/>
      <c r="AM695" s="83"/>
      <c r="AN695" s="83"/>
    </row>
    <row r="696" spans="2:40" ht="15.75" customHeight="1">
      <c r="B696" s="83"/>
      <c r="C696" s="80"/>
      <c r="D696" s="80"/>
      <c r="E696" s="80"/>
      <c r="F696" s="188"/>
      <c r="G696" s="80"/>
      <c r="H696" s="80"/>
      <c r="I696" s="80"/>
      <c r="J696" s="187"/>
      <c r="K696" s="80"/>
      <c r="L696" s="80"/>
      <c r="M696" s="80"/>
      <c r="N696" s="80"/>
      <c r="O696" s="80"/>
      <c r="P696" s="80"/>
      <c r="Q696" s="80"/>
      <c r="R696" s="80"/>
      <c r="S696" s="80"/>
      <c r="T696" s="83"/>
      <c r="U696" s="85"/>
      <c r="V696" s="85"/>
      <c r="W696" s="85"/>
      <c r="X696" s="85"/>
      <c r="Y696" s="85"/>
      <c r="Z696" s="85"/>
      <c r="AA696" s="85"/>
      <c r="AB696" s="85"/>
      <c r="AC696" s="85"/>
      <c r="AD696" s="85"/>
      <c r="AE696" s="85"/>
      <c r="AF696" s="85"/>
      <c r="AG696" s="85"/>
      <c r="AH696" s="85"/>
      <c r="AI696" s="85"/>
      <c r="AJ696" s="85"/>
      <c r="AK696" s="83"/>
      <c r="AL696" s="83"/>
      <c r="AM696" s="83"/>
      <c r="AN696" s="83"/>
    </row>
    <row r="697" spans="2:40" ht="15.75" customHeight="1">
      <c r="B697" s="83"/>
      <c r="C697" s="80"/>
      <c r="D697" s="80"/>
      <c r="E697" s="80"/>
      <c r="F697" s="188"/>
      <c r="G697" s="80"/>
      <c r="H697" s="80"/>
      <c r="I697" s="80"/>
      <c r="J697" s="187"/>
      <c r="K697" s="80"/>
      <c r="L697" s="80"/>
      <c r="M697" s="80"/>
      <c r="N697" s="80"/>
      <c r="O697" s="80"/>
      <c r="P697" s="80"/>
      <c r="Q697" s="80"/>
      <c r="R697" s="80"/>
      <c r="S697" s="80"/>
      <c r="T697" s="83"/>
      <c r="U697" s="85"/>
      <c r="V697" s="85"/>
      <c r="W697" s="85"/>
      <c r="X697" s="85"/>
      <c r="Y697" s="85"/>
      <c r="Z697" s="85"/>
      <c r="AA697" s="85"/>
      <c r="AB697" s="85"/>
      <c r="AC697" s="85"/>
      <c r="AD697" s="85"/>
      <c r="AE697" s="85"/>
      <c r="AF697" s="85"/>
      <c r="AG697" s="85"/>
      <c r="AH697" s="85"/>
      <c r="AI697" s="85"/>
      <c r="AJ697" s="85"/>
      <c r="AK697" s="83"/>
      <c r="AL697" s="83"/>
      <c r="AM697" s="83"/>
      <c r="AN697" s="83"/>
    </row>
    <row r="698" spans="2:40" ht="15.75" customHeight="1">
      <c r="B698" s="83"/>
      <c r="C698" s="80"/>
      <c r="D698" s="80"/>
      <c r="E698" s="80"/>
      <c r="F698" s="188"/>
      <c r="G698" s="80"/>
      <c r="H698" s="80"/>
      <c r="I698" s="80"/>
      <c r="J698" s="187"/>
      <c r="K698" s="80"/>
      <c r="L698" s="80"/>
      <c r="M698" s="80"/>
      <c r="N698" s="80"/>
      <c r="O698" s="80"/>
      <c r="P698" s="80"/>
      <c r="Q698" s="80"/>
      <c r="R698" s="80"/>
      <c r="S698" s="80"/>
      <c r="T698" s="83"/>
      <c r="U698" s="85"/>
      <c r="V698" s="85"/>
      <c r="W698" s="85"/>
      <c r="X698" s="85"/>
      <c r="Y698" s="85"/>
      <c r="Z698" s="85"/>
      <c r="AA698" s="85"/>
      <c r="AB698" s="85"/>
      <c r="AC698" s="85"/>
      <c r="AD698" s="85"/>
      <c r="AE698" s="85"/>
      <c r="AF698" s="85"/>
      <c r="AG698" s="85"/>
      <c r="AH698" s="85"/>
      <c r="AI698" s="85"/>
      <c r="AJ698" s="85"/>
      <c r="AK698" s="83"/>
      <c r="AL698" s="83"/>
      <c r="AM698" s="83"/>
      <c r="AN698" s="83"/>
    </row>
    <row r="699" spans="2:40" ht="15.75" customHeight="1">
      <c r="B699" s="83"/>
      <c r="C699" s="80"/>
      <c r="D699" s="80"/>
      <c r="E699" s="80"/>
      <c r="F699" s="188"/>
      <c r="G699" s="80"/>
      <c r="H699" s="80"/>
      <c r="I699" s="80"/>
      <c r="J699" s="187"/>
      <c r="K699" s="80"/>
      <c r="L699" s="80"/>
      <c r="M699" s="80"/>
      <c r="N699" s="80"/>
      <c r="O699" s="80"/>
      <c r="P699" s="80"/>
      <c r="Q699" s="80"/>
      <c r="R699" s="80"/>
      <c r="S699" s="80"/>
      <c r="T699" s="83"/>
      <c r="U699" s="85"/>
      <c r="V699" s="85"/>
      <c r="W699" s="85"/>
      <c r="X699" s="85"/>
      <c r="Y699" s="85"/>
      <c r="Z699" s="85"/>
      <c r="AA699" s="85"/>
      <c r="AB699" s="85"/>
      <c r="AC699" s="85"/>
      <c r="AD699" s="85"/>
      <c r="AE699" s="85"/>
      <c r="AF699" s="85"/>
      <c r="AG699" s="85"/>
      <c r="AH699" s="85"/>
      <c r="AI699" s="85"/>
      <c r="AJ699" s="85"/>
      <c r="AK699" s="83"/>
      <c r="AL699" s="83"/>
      <c r="AM699" s="83"/>
      <c r="AN699" s="83"/>
    </row>
    <row r="700" spans="2:40" ht="15.75" customHeight="1">
      <c r="B700" s="83"/>
      <c r="C700" s="80"/>
      <c r="D700" s="80"/>
      <c r="E700" s="80"/>
      <c r="F700" s="188"/>
      <c r="G700" s="80"/>
      <c r="H700" s="80"/>
      <c r="I700" s="80"/>
      <c r="J700" s="187"/>
      <c r="K700" s="80"/>
      <c r="L700" s="80"/>
      <c r="M700" s="80"/>
      <c r="N700" s="80"/>
      <c r="O700" s="80"/>
      <c r="P700" s="80"/>
      <c r="Q700" s="80"/>
      <c r="R700" s="80"/>
      <c r="S700" s="80"/>
      <c r="T700" s="83"/>
      <c r="U700" s="85"/>
      <c r="V700" s="85"/>
      <c r="W700" s="85"/>
      <c r="X700" s="85"/>
      <c r="Y700" s="85"/>
      <c r="Z700" s="85"/>
      <c r="AA700" s="85"/>
      <c r="AB700" s="85"/>
      <c r="AC700" s="85"/>
      <c r="AD700" s="85"/>
      <c r="AE700" s="85"/>
      <c r="AF700" s="85"/>
      <c r="AG700" s="85"/>
      <c r="AH700" s="85"/>
      <c r="AI700" s="85"/>
      <c r="AJ700" s="85"/>
      <c r="AK700" s="83"/>
      <c r="AL700" s="83"/>
      <c r="AM700" s="83"/>
      <c r="AN700" s="83"/>
    </row>
    <row r="701" spans="2:40" ht="15.75" customHeight="1">
      <c r="B701" s="83"/>
      <c r="C701" s="80"/>
      <c r="D701" s="80"/>
      <c r="E701" s="80"/>
      <c r="F701" s="188"/>
      <c r="G701" s="80"/>
      <c r="H701" s="80"/>
      <c r="I701" s="80"/>
      <c r="J701" s="187"/>
      <c r="K701" s="80"/>
      <c r="L701" s="80"/>
      <c r="M701" s="80"/>
      <c r="N701" s="80"/>
      <c r="O701" s="80"/>
      <c r="P701" s="80"/>
      <c r="Q701" s="80"/>
      <c r="R701" s="80"/>
      <c r="S701" s="80"/>
      <c r="T701" s="83"/>
      <c r="U701" s="85"/>
      <c r="V701" s="85"/>
      <c r="W701" s="85"/>
      <c r="X701" s="85"/>
      <c r="Y701" s="85"/>
      <c r="Z701" s="85"/>
      <c r="AA701" s="85"/>
      <c r="AB701" s="85"/>
      <c r="AC701" s="85"/>
      <c r="AD701" s="85"/>
      <c r="AE701" s="85"/>
      <c r="AF701" s="85"/>
      <c r="AG701" s="85"/>
      <c r="AH701" s="85"/>
      <c r="AI701" s="85"/>
      <c r="AJ701" s="85"/>
      <c r="AK701" s="83"/>
      <c r="AL701" s="83"/>
      <c r="AM701" s="83"/>
      <c r="AN701" s="83"/>
    </row>
    <row r="702" spans="2:40" ht="15.75" customHeight="1">
      <c r="B702" s="83"/>
      <c r="C702" s="80"/>
      <c r="D702" s="80"/>
      <c r="E702" s="80"/>
      <c r="F702" s="188"/>
      <c r="G702" s="80"/>
      <c r="H702" s="80"/>
      <c r="I702" s="80"/>
      <c r="J702" s="187"/>
      <c r="K702" s="80"/>
      <c r="L702" s="80"/>
      <c r="M702" s="80"/>
      <c r="N702" s="80"/>
      <c r="O702" s="80"/>
      <c r="P702" s="80"/>
      <c r="Q702" s="80"/>
      <c r="R702" s="80"/>
      <c r="S702" s="80"/>
      <c r="T702" s="83"/>
      <c r="U702" s="85"/>
      <c r="V702" s="85"/>
      <c r="W702" s="85"/>
      <c r="X702" s="85"/>
      <c r="Y702" s="85"/>
      <c r="Z702" s="85"/>
      <c r="AA702" s="85"/>
      <c r="AB702" s="85"/>
      <c r="AC702" s="85"/>
      <c r="AD702" s="85"/>
      <c r="AE702" s="85"/>
      <c r="AF702" s="85"/>
      <c r="AG702" s="85"/>
      <c r="AH702" s="85"/>
      <c r="AI702" s="85"/>
      <c r="AJ702" s="85"/>
      <c r="AK702" s="83"/>
      <c r="AL702" s="83"/>
      <c r="AM702" s="83"/>
      <c r="AN702" s="83"/>
    </row>
    <row r="703" spans="2:40" ht="15.75" customHeight="1">
      <c r="B703" s="83"/>
      <c r="C703" s="80"/>
      <c r="D703" s="80"/>
      <c r="E703" s="80"/>
      <c r="F703" s="188"/>
      <c r="G703" s="80"/>
      <c r="H703" s="80"/>
      <c r="I703" s="80"/>
      <c r="J703" s="187"/>
      <c r="K703" s="80"/>
      <c r="L703" s="80"/>
      <c r="M703" s="80"/>
      <c r="N703" s="80"/>
      <c r="O703" s="80"/>
      <c r="P703" s="80"/>
      <c r="Q703" s="80"/>
      <c r="R703" s="80"/>
      <c r="S703" s="80"/>
      <c r="T703" s="83"/>
      <c r="U703" s="85"/>
      <c r="V703" s="85"/>
      <c r="W703" s="85"/>
      <c r="X703" s="85"/>
      <c r="Y703" s="85"/>
      <c r="Z703" s="85"/>
      <c r="AA703" s="85"/>
      <c r="AB703" s="85"/>
      <c r="AC703" s="85"/>
      <c r="AD703" s="85"/>
      <c r="AE703" s="85"/>
      <c r="AF703" s="85"/>
      <c r="AG703" s="85"/>
      <c r="AH703" s="85"/>
      <c r="AI703" s="85"/>
      <c r="AJ703" s="85"/>
      <c r="AK703" s="83"/>
      <c r="AL703" s="83"/>
      <c r="AM703" s="83"/>
      <c r="AN703" s="83"/>
    </row>
    <row r="704" spans="2:40" ht="15.75" customHeight="1">
      <c r="B704" s="83"/>
      <c r="C704" s="80"/>
      <c r="D704" s="80"/>
      <c r="E704" s="80"/>
      <c r="F704" s="188"/>
      <c r="G704" s="80"/>
      <c r="H704" s="80"/>
      <c r="I704" s="80"/>
      <c r="J704" s="187"/>
      <c r="K704" s="80"/>
      <c r="L704" s="80"/>
      <c r="M704" s="80"/>
      <c r="N704" s="80"/>
      <c r="O704" s="80"/>
      <c r="P704" s="80"/>
      <c r="Q704" s="80"/>
      <c r="R704" s="80"/>
      <c r="S704" s="80"/>
      <c r="T704" s="83"/>
      <c r="U704" s="85"/>
      <c r="V704" s="85"/>
      <c r="W704" s="85"/>
      <c r="X704" s="85"/>
      <c r="Y704" s="85"/>
      <c r="Z704" s="85"/>
      <c r="AA704" s="85"/>
      <c r="AB704" s="85"/>
      <c r="AC704" s="85"/>
      <c r="AD704" s="85"/>
      <c r="AE704" s="85"/>
      <c r="AF704" s="85"/>
      <c r="AG704" s="85"/>
      <c r="AH704" s="85"/>
      <c r="AI704" s="85"/>
      <c r="AJ704" s="85"/>
      <c r="AK704" s="83"/>
      <c r="AL704" s="83"/>
      <c r="AM704" s="83"/>
      <c r="AN704" s="83"/>
    </row>
    <row r="705" spans="2:40" ht="15.75" customHeight="1">
      <c r="B705" s="83"/>
      <c r="C705" s="80"/>
      <c r="D705" s="80"/>
      <c r="E705" s="80"/>
      <c r="F705" s="188"/>
      <c r="G705" s="80"/>
      <c r="H705" s="80"/>
      <c r="I705" s="80"/>
      <c r="J705" s="187"/>
      <c r="K705" s="80"/>
      <c r="L705" s="80"/>
      <c r="M705" s="80"/>
      <c r="N705" s="80"/>
      <c r="O705" s="80"/>
      <c r="P705" s="80"/>
      <c r="Q705" s="80"/>
      <c r="R705" s="80"/>
      <c r="S705" s="80"/>
      <c r="T705" s="83"/>
      <c r="U705" s="85"/>
      <c r="V705" s="85"/>
      <c r="W705" s="85"/>
      <c r="X705" s="85"/>
      <c r="Y705" s="85"/>
      <c r="Z705" s="85"/>
      <c r="AA705" s="85"/>
      <c r="AB705" s="85"/>
      <c r="AC705" s="85"/>
      <c r="AD705" s="85"/>
      <c r="AE705" s="85"/>
      <c r="AF705" s="85"/>
      <c r="AG705" s="85"/>
      <c r="AH705" s="85"/>
      <c r="AI705" s="85"/>
      <c r="AJ705" s="85"/>
      <c r="AK705" s="83"/>
      <c r="AL705" s="83"/>
      <c r="AM705" s="83"/>
      <c r="AN705" s="83"/>
    </row>
    <row r="706" spans="2:40" ht="15.75" customHeight="1">
      <c r="B706" s="83"/>
      <c r="C706" s="80"/>
      <c r="D706" s="80"/>
      <c r="E706" s="80"/>
      <c r="F706" s="188"/>
      <c r="G706" s="80"/>
      <c r="H706" s="80"/>
      <c r="I706" s="80"/>
      <c r="J706" s="187"/>
      <c r="K706" s="80"/>
      <c r="L706" s="80"/>
      <c r="M706" s="80"/>
      <c r="N706" s="80"/>
      <c r="O706" s="80"/>
      <c r="P706" s="80"/>
      <c r="Q706" s="80"/>
      <c r="R706" s="80"/>
      <c r="S706" s="80"/>
      <c r="T706" s="83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3"/>
      <c r="AL706" s="83"/>
      <c r="AM706" s="83"/>
      <c r="AN706" s="83"/>
    </row>
    <row r="707" spans="2:40" ht="15.75" customHeight="1">
      <c r="B707" s="83"/>
      <c r="C707" s="80"/>
      <c r="D707" s="80"/>
      <c r="E707" s="80"/>
      <c r="F707" s="188"/>
      <c r="G707" s="80"/>
      <c r="H707" s="80"/>
      <c r="I707" s="80"/>
      <c r="J707" s="187"/>
      <c r="K707" s="80"/>
      <c r="L707" s="80"/>
      <c r="M707" s="80"/>
      <c r="N707" s="80"/>
      <c r="O707" s="80"/>
      <c r="P707" s="80"/>
      <c r="Q707" s="80"/>
      <c r="R707" s="80"/>
      <c r="S707" s="80"/>
      <c r="T707" s="83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3"/>
      <c r="AL707" s="83"/>
      <c r="AM707" s="83"/>
      <c r="AN707" s="83"/>
    </row>
    <row r="708" spans="2:40" ht="15.75" customHeight="1">
      <c r="B708" s="83"/>
      <c r="C708" s="80"/>
      <c r="D708" s="80"/>
      <c r="E708" s="80"/>
      <c r="F708" s="188"/>
      <c r="G708" s="80"/>
      <c r="H708" s="80"/>
      <c r="I708" s="80"/>
      <c r="J708" s="187"/>
      <c r="K708" s="80"/>
      <c r="L708" s="80"/>
      <c r="M708" s="80"/>
      <c r="N708" s="80"/>
      <c r="O708" s="80"/>
      <c r="P708" s="80"/>
      <c r="Q708" s="80"/>
      <c r="R708" s="80"/>
      <c r="S708" s="80"/>
      <c r="T708" s="83"/>
      <c r="U708" s="85"/>
      <c r="V708" s="85"/>
      <c r="W708" s="85"/>
      <c r="X708" s="85"/>
      <c r="Y708" s="85"/>
      <c r="Z708" s="85"/>
      <c r="AA708" s="85"/>
      <c r="AB708" s="85"/>
      <c r="AC708" s="85"/>
      <c r="AD708" s="85"/>
      <c r="AE708" s="85"/>
      <c r="AF708" s="85"/>
      <c r="AG708" s="85"/>
      <c r="AH708" s="85"/>
      <c r="AI708" s="85"/>
      <c r="AJ708" s="85"/>
      <c r="AK708" s="83"/>
      <c r="AL708" s="83"/>
      <c r="AM708" s="83"/>
      <c r="AN708" s="83"/>
    </row>
    <row r="709" spans="2:40" ht="15.75" customHeight="1">
      <c r="B709" s="83"/>
      <c r="C709" s="80"/>
      <c r="D709" s="80"/>
      <c r="E709" s="80"/>
      <c r="F709" s="188"/>
      <c r="G709" s="80"/>
      <c r="H709" s="80"/>
      <c r="I709" s="80"/>
      <c r="J709" s="187"/>
      <c r="K709" s="80"/>
      <c r="L709" s="80"/>
      <c r="M709" s="80"/>
      <c r="N709" s="80"/>
      <c r="O709" s="80"/>
      <c r="P709" s="80"/>
      <c r="Q709" s="80"/>
      <c r="R709" s="80"/>
      <c r="S709" s="80"/>
      <c r="T709" s="83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3"/>
      <c r="AL709" s="83"/>
      <c r="AM709" s="83"/>
      <c r="AN709" s="83"/>
    </row>
    <row r="710" spans="2:40" ht="15.75" customHeight="1">
      <c r="B710" s="83"/>
      <c r="C710" s="80"/>
      <c r="D710" s="80"/>
      <c r="E710" s="80"/>
      <c r="F710" s="188"/>
      <c r="G710" s="80"/>
      <c r="H710" s="80"/>
      <c r="I710" s="80"/>
      <c r="J710" s="187"/>
      <c r="K710" s="80"/>
      <c r="L710" s="80"/>
      <c r="M710" s="80"/>
      <c r="N710" s="80"/>
      <c r="O710" s="80"/>
      <c r="P710" s="80"/>
      <c r="Q710" s="80"/>
      <c r="R710" s="80"/>
      <c r="S710" s="80"/>
      <c r="T710" s="83"/>
      <c r="U710" s="85"/>
      <c r="V710" s="85"/>
      <c r="W710" s="85"/>
      <c r="X710" s="85"/>
      <c r="Y710" s="85"/>
      <c r="Z710" s="85"/>
      <c r="AA710" s="85"/>
      <c r="AB710" s="85"/>
      <c r="AC710" s="85"/>
      <c r="AD710" s="85"/>
      <c r="AE710" s="85"/>
      <c r="AF710" s="85"/>
      <c r="AG710" s="85"/>
      <c r="AH710" s="85"/>
      <c r="AI710" s="85"/>
      <c r="AJ710" s="85"/>
      <c r="AK710" s="83"/>
      <c r="AL710" s="83"/>
      <c r="AM710" s="83"/>
      <c r="AN710" s="83"/>
    </row>
    <row r="711" spans="2:40" ht="15.75" customHeight="1">
      <c r="B711" s="83"/>
      <c r="C711" s="80"/>
      <c r="D711" s="80"/>
      <c r="E711" s="80"/>
      <c r="F711" s="188"/>
      <c r="G711" s="80"/>
      <c r="H711" s="80"/>
      <c r="I711" s="80"/>
      <c r="J711" s="187"/>
      <c r="K711" s="80"/>
      <c r="L711" s="80"/>
      <c r="M711" s="80"/>
      <c r="N711" s="80"/>
      <c r="O711" s="80"/>
      <c r="P711" s="80"/>
      <c r="Q711" s="80"/>
      <c r="R711" s="80"/>
      <c r="S711" s="80"/>
      <c r="T711" s="83"/>
      <c r="U711" s="85"/>
      <c r="V711" s="85"/>
      <c r="W711" s="85"/>
      <c r="X711" s="85"/>
      <c r="Y711" s="85"/>
      <c r="Z711" s="85"/>
      <c r="AA711" s="85"/>
      <c r="AB711" s="85"/>
      <c r="AC711" s="85"/>
      <c r="AD711" s="85"/>
      <c r="AE711" s="85"/>
      <c r="AF711" s="85"/>
      <c r="AG711" s="85"/>
      <c r="AH711" s="85"/>
      <c r="AI711" s="85"/>
      <c r="AJ711" s="85"/>
      <c r="AK711" s="83"/>
      <c r="AL711" s="83"/>
      <c r="AM711" s="83"/>
      <c r="AN711" s="83"/>
    </row>
    <row r="712" spans="2:40" ht="15.75" customHeight="1">
      <c r="B712" s="83"/>
      <c r="C712" s="80"/>
      <c r="D712" s="80"/>
      <c r="E712" s="80"/>
      <c r="F712" s="188"/>
      <c r="G712" s="80"/>
      <c r="H712" s="80"/>
      <c r="I712" s="80"/>
      <c r="J712" s="187"/>
      <c r="K712" s="80"/>
      <c r="L712" s="80"/>
      <c r="M712" s="80"/>
      <c r="N712" s="80"/>
      <c r="O712" s="80"/>
      <c r="P712" s="80"/>
      <c r="Q712" s="80"/>
      <c r="R712" s="80"/>
      <c r="S712" s="80"/>
      <c r="T712" s="83"/>
      <c r="U712" s="85"/>
      <c r="V712" s="85"/>
      <c r="W712" s="85"/>
      <c r="X712" s="85"/>
      <c r="Y712" s="85"/>
      <c r="Z712" s="85"/>
      <c r="AA712" s="85"/>
      <c r="AB712" s="85"/>
      <c r="AC712" s="85"/>
      <c r="AD712" s="85"/>
      <c r="AE712" s="85"/>
      <c r="AF712" s="85"/>
      <c r="AG712" s="85"/>
      <c r="AH712" s="85"/>
      <c r="AI712" s="85"/>
      <c r="AJ712" s="85"/>
      <c r="AK712" s="83"/>
      <c r="AL712" s="83"/>
      <c r="AM712" s="83"/>
      <c r="AN712" s="83"/>
    </row>
    <row r="713" spans="2:40" ht="15.75" customHeight="1">
      <c r="B713" s="83"/>
      <c r="C713" s="80"/>
      <c r="D713" s="80"/>
      <c r="E713" s="80"/>
      <c r="F713" s="188"/>
      <c r="G713" s="80"/>
      <c r="H713" s="80"/>
      <c r="I713" s="80"/>
      <c r="J713" s="187"/>
      <c r="K713" s="80"/>
      <c r="L713" s="80"/>
      <c r="M713" s="80"/>
      <c r="N713" s="80"/>
      <c r="O713" s="80"/>
      <c r="P713" s="80"/>
      <c r="Q713" s="80"/>
      <c r="R713" s="80"/>
      <c r="S713" s="80"/>
      <c r="T713" s="83"/>
      <c r="U713" s="85"/>
      <c r="V713" s="85"/>
      <c r="W713" s="85"/>
      <c r="X713" s="85"/>
      <c r="Y713" s="85"/>
      <c r="Z713" s="85"/>
      <c r="AA713" s="85"/>
      <c r="AB713" s="85"/>
      <c r="AC713" s="85"/>
      <c r="AD713" s="85"/>
      <c r="AE713" s="85"/>
      <c r="AF713" s="85"/>
      <c r="AG713" s="85"/>
      <c r="AH713" s="85"/>
      <c r="AI713" s="85"/>
      <c r="AJ713" s="85"/>
      <c r="AK713" s="83"/>
      <c r="AL713" s="83"/>
      <c r="AM713" s="83"/>
      <c r="AN713" s="83"/>
    </row>
    <row r="714" spans="2:40" ht="15.75" customHeight="1">
      <c r="B714" s="83"/>
      <c r="C714" s="80"/>
      <c r="D714" s="80"/>
      <c r="E714" s="80"/>
      <c r="F714" s="188"/>
      <c r="G714" s="80"/>
      <c r="H714" s="80"/>
      <c r="I714" s="80"/>
      <c r="J714" s="187"/>
      <c r="K714" s="80"/>
      <c r="L714" s="80"/>
      <c r="M714" s="80"/>
      <c r="N714" s="80"/>
      <c r="O714" s="80"/>
      <c r="P714" s="80"/>
      <c r="Q714" s="80"/>
      <c r="R714" s="80"/>
      <c r="S714" s="80"/>
      <c r="T714" s="83"/>
      <c r="U714" s="85"/>
      <c r="V714" s="85"/>
      <c r="W714" s="85"/>
      <c r="X714" s="85"/>
      <c r="Y714" s="85"/>
      <c r="Z714" s="85"/>
      <c r="AA714" s="85"/>
      <c r="AB714" s="85"/>
      <c r="AC714" s="85"/>
      <c r="AD714" s="85"/>
      <c r="AE714" s="85"/>
      <c r="AF714" s="85"/>
      <c r="AG714" s="85"/>
      <c r="AH714" s="85"/>
      <c r="AI714" s="85"/>
      <c r="AJ714" s="85"/>
      <c r="AK714" s="83"/>
      <c r="AL714" s="83"/>
      <c r="AM714" s="83"/>
      <c r="AN714" s="83"/>
    </row>
    <row r="715" spans="2:40" ht="15.75" customHeight="1">
      <c r="B715" s="83"/>
      <c r="C715" s="80"/>
      <c r="D715" s="80"/>
      <c r="E715" s="80"/>
      <c r="F715" s="188"/>
      <c r="G715" s="80"/>
      <c r="H715" s="80"/>
      <c r="I715" s="80"/>
      <c r="J715" s="187"/>
      <c r="K715" s="80"/>
      <c r="L715" s="80"/>
      <c r="M715" s="80"/>
      <c r="N715" s="80"/>
      <c r="O715" s="80"/>
      <c r="P715" s="80"/>
      <c r="Q715" s="80"/>
      <c r="R715" s="80"/>
      <c r="S715" s="80"/>
      <c r="T715" s="83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85"/>
      <c r="AF715" s="85"/>
      <c r="AG715" s="85"/>
      <c r="AH715" s="85"/>
      <c r="AI715" s="85"/>
      <c r="AJ715" s="85"/>
      <c r="AK715" s="83"/>
      <c r="AL715" s="83"/>
      <c r="AM715" s="83"/>
      <c r="AN715" s="83"/>
    </row>
    <row r="716" spans="2:40" ht="15.75" customHeight="1">
      <c r="B716" s="83"/>
      <c r="C716" s="80"/>
      <c r="D716" s="80"/>
      <c r="E716" s="80"/>
      <c r="F716" s="188"/>
      <c r="G716" s="80"/>
      <c r="H716" s="80"/>
      <c r="I716" s="80"/>
      <c r="J716" s="187"/>
      <c r="K716" s="80"/>
      <c r="L716" s="80"/>
      <c r="M716" s="80"/>
      <c r="N716" s="80"/>
      <c r="O716" s="80"/>
      <c r="P716" s="80"/>
      <c r="Q716" s="80"/>
      <c r="R716" s="80"/>
      <c r="S716" s="80"/>
      <c r="T716" s="83"/>
      <c r="U716" s="85"/>
      <c r="V716" s="85"/>
      <c r="W716" s="85"/>
      <c r="X716" s="85"/>
      <c r="Y716" s="85"/>
      <c r="Z716" s="85"/>
      <c r="AA716" s="85"/>
      <c r="AB716" s="85"/>
      <c r="AC716" s="85"/>
      <c r="AD716" s="85"/>
      <c r="AE716" s="85"/>
      <c r="AF716" s="85"/>
      <c r="AG716" s="85"/>
      <c r="AH716" s="85"/>
      <c r="AI716" s="85"/>
      <c r="AJ716" s="85"/>
      <c r="AK716" s="83"/>
      <c r="AL716" s="83"/>
      <c r="AM716" s="83"/>
      <c r="AN716" s="83"/>
    </row>
    <row r="717" spans="2:40" ht="15.75" customHeight="1">
      <c r="B717" s="83"/>
      <c r="C717" s="80"/>
      <c r="D717" s="80"/>
      <c r="E717" s="80"/>
      <c r="F717" s="188"/>
      <c r="G717" s="80"/>
      <c r="H717" s="80"/>
      <c r="I717" s="80"/>
      <c r="J717" s="187"/>
      <c r="K717" s="80"/>
      <c r="L717" s="80"/>
      <c r="M717" s="80"/>
      <c r="N717" s="80"/>
      <c r="O717" s="80"/>
      <c r="P717" s="80"/>
      <c r="Q717" s="80"/>
      <c r="R717" s="80"/>
      <c r="S717" s="80"/>
      <c r="T717" s="83"/>
      <c r="U717" s="85"/>
      <c r="V717" s="85"/>
      <c r="W717" s="85"/>
      <c r="X717" s="85"/>
      <c r="Y717" s="85"/>
      <c r="Z717" s="85"/>
      <c r="AA717" s="85"/>
      <c r="AB717" s="85"/>
      <c r="AC717" s="85"/>
      <c r="AD717" s="85"/>
      <c r="AE717" s="85"/>
      <c r="AF717" s="85"/>
      <c r="AG717" s="85"/>
      <c r="AH717" s="85"/>
      <c r="AI717" s="85"/>
      <c r="AJ717" s="85"/>
      <c r="AK717" s="83"/>
      <c r="AL717" s="83"/>
      <c r="AM717" s="83"/>
      <c r="AN717" s="83"/>
    </row>
    <row r="718" spans="2:40" ht="15.75" customHeight="1">
      <c r="B718" s="83"/>
      <c r="C718" s="80"/>
      <c r="D718" s="80"/>
      <c r="E718" s="80"/>
      <c r="F718" s="188"/>
      <c r="G718" s="80"/>
      <c r="H718" s="80"/>
      <c r="I718" s="80"/>
      <c r="J718" s="187"/>
      <c r="K718" s="80"/>
      <c r="L718" s="80"/>
      <c r="M718" s="80"/>
      <c r="N718" s="80"/>
      <c r="O718" s="80"/>
      <c r="P718" s="80"/>
      <c r="Q718" s="80"/>
      <c r="R718" s="80"/>
      <c r="S718" s="80"/>
      <c r="T718" s="83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/>
      <c r="AG718" s="85"/>
      <c r="AH718" s="85"/>
      <c r="AI718" s="85"/>
      <c r="AJ718" s="85"/>
      <c r="AK718" s="83"/>
      <c r="AL718" s="83"/>
      <c r="AM718" s="83"/>
      <c r="AN718" s="83"/>
    </row>
    <row r="719" spans="2:40" ht="15.75" customHeight="1">
      <c r="B719" s="83"/>
      <c r="C719" s="80"/>
      <c r="D719" s="80"/>
      <c r="E719" s="80"/>
      <c r="F719" s="188"/>
      <c r="G719" s="80"/>
      <c r="H719" s="80"/>
      <c r="I719" s="80"/>
      <c r="J719" s="187"/>
      <c r="K719" s="80"/>
      <c r="L719" s="80"/>
      <c r="M719" s="80"/>
      <c r="N719" s="80"/>
      <c r="O719" s="80"/>
      <c r="P719" s="80"/>
      <c r="Q719" s="80"/>
      <c r="R719" s="80"/>
      <c r="S719" s="80"/>
      <c r="T719" s="83"/>
      <c r="U719" s="85"/>
      <c r="V719" s="85"/>
      <c r="W719" s="85"/>
      <c r="X719" s="85"/>
      <c r="Y719" s="85"/>
      <c r="Z719" s="85"/>
      <c r="AA719" s="85"/>
      <c r="AB719" s="85"/>
      <c r="AC719" s="85"/>
      <c r="AD719" s="85"/>
      <c r="AE719" s="85"/>
      <c r="AF719" s="85"/>
      <c r="AG719" s="85"/>
      <c r="AH719" s="85"/>
      <c r="AI719" s="85"/>
      <c r="AJ719" s="85"/>
      <c r="AK719" s="83"/>
      <c r="AL719" s="83"/>
      <c r="AM719" s="83"/>
      <c r="AN719" s="83"/>
    </row>
    <row r="720" spans="2:40" ht="15.75" customHeight="1">
      <c r="B720" s="83"/>
      <c r="C720" s="80"/>
      <c r="D720" s="80"/>
      <c r="E720" s="80"/>
      <c r="F720" s="188"/>
      <c r="G720" s="80"/>
      <c r="H720" s="80"/>
      <c r="I720" s="80"/>
      <c r="J720" s="187"/>
      <c r="K720" s="80"/>
      <c r="L720" s="80"/>
      <c r="M720" s="80"/>
      <c r="N720" s="80"/>
      <c r="O720" s="80"/>
      <c r="P720" s="80"/>
      <c r="Q720" s="80"/>
      <c r="R720" s="80"/>
      <c r="S720" s="80"/>
      <c r="T720" s="83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3"/>
      <c r="AL720" s="83"/>
      <c r="AM720" s="83"/>
      <c r="AN720" s="83"/>
    </row>
    <row r="721" spans="2:40" ht="15.75" customHeight="1">
      <c r="B721" s="83"/>
      <c r="C721" s="80"/>
      <c r="D721" s="80"/>
      <c r="E721" s="80"/>
      <c r="F721" s="188"/>
      <c r="G721" s="80"/>
      <c r="H721" s="80"/>
      <c r="I721" s="80"/>
      <c r="J721" s="187"/>
      <c r="K721" s="80"/>
      <c r="L721" s="80"/>
      <c r="M721" s="80"/>
      <c r="N721" s="80"/>
      <c r="O721" s="80"/>
      <c r="P721" s="80"/>
      <c r="Q721" s="80"/>
      <c r="R721" s="80"/>
      <c r="S721" s="80"/>
      <c r="T721" s="83"/>
      <c r="U721" s="85"/>
      <c r="V721" s="85"/>
      <c r="W721" s="85"/>
      <c r="X721" s="85"/>
      <c r="Y721" s="85"/>
      <c r="Z721" s="85"/>
      <c r="AA721" s="85"/>
      <c r="AB721" s="85"/>
      <c r="AC721" s="85"/>
      <c r="AD721" s="85"/>
      <c r="AE721" s="85"/>
      <c r="AF721" s="85"/>
      <c r="AG721" s="85"/>
      <c r="AH721" s="85"/>
      <c r="AI721" s="85"/>
      <c r="AJ721" s="85"/>
      <c r="AK721" s="83"/>
      <c r="AL721" s="83"/>
      <c r="AM721" s="83"/>
      <c r="AN721" s="83"/>
    </row>
    <row r="722" spans="2:40" ht="15.75" customHeight="1">
      <c r="B722" s="83"/>
      <c r="C722" s="80"/>
      <c r="D722" s="80"/>
      <c r="E722" s="80"/>
      <c r="F722" s="188"/>
      <c r="G722" s="80"/>
      <c r="H722" s="80"/>
      <c r="I722" s="80"/>
      <c r="J722" s="187"/>
      <c r="K722" s="80"/>
      <c r="L722" s="80"/>
      <c r="M722" s="80"/>
      <c r="N722" s="80"/>
      <c r="O722" s="80"/>
      <c r="P722" s="80"/>
      <c r="Q722" s="80"/>
      <c r="R722" s="80"/>
      <c r="S722" s="80"/>
      <c r="T722" s="83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/>
      <c r="AK722" s="83"/>
      <c r="AL722" s="83"/>
      <c r="AM722" s="83"/>
      <c r="AN722" s="83"/>
    </row>
    <row r="723" spans="2:40" ht="15.75" customHeight="1">
      <c r="B723" s="83"/>
      <c r="C723" s="80"/>
      <c r="D723" s="80"/>
      <c r="E723" s="80"/>
      <c r="F723" s="188"/>
      <c r="G723" s="80"/>
      <c r="H723" s="80"/>
      <c r="I723" s="80"/>
      <c r="J723" s="187"/>
      <c r="K723" s="80"/>
      <c r="L723" s="80"/>
      <c r="M723" s="80"/>
      <c r="N723" s="80"/>
      <c r="O723" s="80"/>
      <c r="P723" s="80"/>
      <c r="Q723" s="80"/>
      <c r="R723" s="80"/>
      <c r="S723" s="80"/>
      <c r="T723" s="83"/>
      <c r="U723" s="85"/>
      <c r="V723" s="85"/>
      <c r="W723" s="85"/>
      <c r="X723" s="85"/>
      <c r="Y723" s="85"/>
      <c r="Z723" s="85"/>
      <c r="AA723" s="85"/>
      <c r="AB723" s="85"/>
      <c r="AC723" s="85"/>
      <c r="AD723" s="85"/>
      <c r="AE723" s="85"/>
      <c r="AF723" s="85"/>
      <c r="AG723" s="85"/>
      <c r="AH723" s="85"/>
      <c r="AI723" s="85"/>
      <c r="AJ723" s="85"/>
      <c r="AK723" s="83"/>
      <c r="AL723" s="83"/>
      <c r="AM723" s="83"/>
      <c r="AN723" s="83"/>
    </row>
    <row r="724" spans="2:40" ht="15.75" customHeight="1">
      <c r="B724" s="83"/>
      <c r="C724" s="80"/>
      <c r="D724" s="80"/>
      <c r="E724" s="80"/>
      <c r="F724" s="188"/>
      <c r="G724" s="80"/>
      <c r="H724" s="80"/>
      <c r="I724" s="80"/>
      <c r="J724" s="187"/>
      <c r="K724" s="80"/>
      <c r="L724" s="80"/>
      <c r="M724" s="80"/>
      <c r="N724" s="80"/>
      <c r="O724" s="80"/>
      <c r="P724" s="80"/>
      <c r="Q724" s="80"/>
      <c r="R724" s="80"/>
      <c r="S724" s="80"/>
      <c r="T724" s="83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3"/>
      <c r="AL724" s="83"/>
      <c r="AM724" s="83"/>
      <c r="AN724" s="83"/>
    </row>
    <row r="725" spans="2:40" ht="15.75" customHeight="1">
      <c r="B725" s="83"/>
      <c r="C725" s="80"/>
      <c r="D725" s="80"/>
      <c r="E725" s="80"/>
      <c r="F725" s="188"/>
      <c r="G725" s="80"/>
      <c r="H725" s="80"/>
      <c r="I725" s="80"/>
      <c r="J725" s="187"/>
      <c r="K725" s="80"/>
      <c r="L725" s="80"/>
      <c r="M725" s="80"/>
      <c r="N725" s="80"/>
      <c r="O725" s="80"/>
      <c r="P725" s="80"/>
      <c r="Q725" s="80"/>
      <c r="R725" s="80"/>
      <c r="S725" s="80"/>
      <c r="T725" s="83"/>
      <c r="U725" s="85"/>
      <c r="V725" s="85"/>
      <c r="W725" s="85"/>
      <c r="X725" s="85"/>
      <c r="Y725" s="85"/>
      <c r="Z725" s="85"/>
      <c r="AA725" s="85"/>
      <c r="AB725" s="85"/>
      <c r="AC725" s="85"/>
      <c r="AD725" s="85"/>
      <c r="AE725" s="85"/>
      <c r="AF725" s="85"/>
      <c r="AG725" s="85"/>
      <c r="AH725" s="85"/>
      <c r="AI725" s="85"/>
      <c r="AJ725" s="85"/>
      <c r="AK725" s="83"/>
      <c r="AL725" s="83"/>
      <c r="AM725" s="83"/>
      <c r="AN725" s="83"/>
    </row>
    <row r="726" spans="2:40" ht="15.75" customHeight="1">
      <c r="B726" s="83"/>
      <c r="C726" s="80"/>
      <c r="D726" s="80"/>
      <c r="E726" s="80"/>
      <c r="F726" s="188"/>
      <c r="G726" s="80"/>
      <c r="H726" s="80"/>
      <c r="I726" s="80"/>
      <c r="J726" s="187"/>
      <c r="K726" s="80"/>
      <c r="L726" s="80"/>
      <c r="M726" s="80"/>
      <c r="N726" s="80"/>
      <c r="O726" s="80"/>
      <c r="P726" s="80"/>
      <c r="Q726" s="80"/>
      <c r="R726" s="80"/>
      <c r="S726" s="80"/>
      <c r="T726" s="83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3"/>
      <c r="AL726" s="83"/>
      <c r="AM726" s="83"/>
      <c r="AN726" s="83"/>
    </row>
    <row r="727" spans="2:40" ht="15.75" customHeight="1">
      <c r="B727" s="83"/>
      <c r="C727" s="80"/>
      <c r="D727" s="80"/>
      <c r="E727" s="80"/>
      <c r="F727" s="188"/>
      <c r="G727" s="80"/>
      <c r="H727" s="80"/>
      <c r="I727" s="80"/>
      <c r="J727" s="187"/>
      <c r="K727" s="80"/>
      <c r="L727" s="80"/>
      <c r="M727" s="80"/>
      <c r="N727" s="80"/>
      <c r="O727" s="80"/>
      <c r="P727" s="80"/>
      <c r="Q727" s="80"/>
      <c r="R727" s="80"/>
      <c r="S727" s="80"/>
      <c r="T727" s="83"/>
      <c r="U727" s="85"/>
      <c r="V727" s="85"/>
      <c r="W727" s="85"/>
      <c r="X727" s="85"/>
      <c r="Y727" s="85"/>
      <c r="Z727" s="85"/>
      <c r="AA727" s="85"/>
      <c r="AB727" s="85"/>
      <c r="AC727" s="85"/>
      <c r="AD727" s="85"/>
      <c r="AE727" s="85"/>
      <c r="AF727" s="85"/>
      <c r="AG727" s="85"/>
      <c r="AH727" s="85"/>
      <c r="AI727" s="85"/>
      <c r="AJ727" s="85"/>
      <c r="AK727" s="83"/>
      <c r="AL727" s="83"/>
      <c r="AM727" s="83"/>
      <c r="AN727" s="83"/>
    </row>
    <row r="728" spans="2:40" ht="15.75" customHeight="1">
      <c r="B728" s="83"/>
      <c r="C728" s="80"/>
      <c r="D728" s="80"/>
      <c r="E728" s="80"/>
      <c r="F728" s="188"/>
      <c r="G728" s="80"/>
      <c r="H728" s="80"/>
      <c r="I728" s="80"/>
      <c r="J728" s="187"/>
      <c r="K728" s="80"/>
      <c r="L728" s="80"/>
      <c r="M728" s="80"/>
      <c r="N728" s="80"/>
      <c r="O728" s="80"/>
      <c r="P728" s="80"/>
      <c r="Q728" s="80"/>
      <c r="R728" s="80"/>
      <c r="S728" s="80"/>
      <c r="T728" s="83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3"/>
      <c r="AL728" s="83"/>
      <c r="AM728" s="83"/>
      <c r="AN728" s="83"/>
    </row>
    <row r="729" spans="2:40" ht="15.75" customHeight="1">
      <c r="B729" s="83"/>
      <c r="C729" s="80"/>
      <c r="D729" s="80"/>
      <c r="E729" s="80"/>
      <c r="F729" s="188"/>
      <c r="G729" s="80"/>
      <c r="H729" s="80"/>
      <c r="I729" s="80"/>
      <c r="J729" s="187"/>
      <c r="K729" s="80"/>
      <c r="L729" s="80"/>
      <c r="M729" s="80"/>
      <c r="N729" s="80"/>
      <c r="O729" s="80"/>
      <c r="P729" s="80"/>
      <c r="Q729" s="80"/>
      <c r="R729" s="80"/>
      <c r="S729" s="80"/>
      <c r="T729" s="83"/>
      <c r="U729" s="85"/>
      <c r="V729" s="85"/>
      <c r="W729" s="85"/>
      <c r="X729" s="85"/>
      <c r="Y729" s="85"/>
      <c r="Z729" s="85"/>
      <c r="AA729" s="85"/>
      <c r="AB729" s="85"/>
      <c r="AC729" s="85"/>
      <c r="AD729" s="85"/>
      <c r="AE729" s="85"/>
      <c r="AF729" s="85"/>
      <c r="AG729" s="85"/>
      <c r="AH729" s="85"/>
      <c r="AI729" s="85"/>
      <c r="AJ729" s="85"/>
      <c r="AK729" s="83"/>
      <c r="AL729" s="83"/>
      <c r="AM729" s="83"/>
      <c r="AN729" s="83"/>
    </row>
    <row r="730" spans="2:40" ht="15.75" customHeight="1">
      <c r="B730" s="83"/>
      <c r="C730" s="80"/>
      <c r="D730" s="80"/>
      <c r="E730" s="80"/>
      <c r="F730" s="188"/>
      <c r="G730" s="80"/>
      <c r="H730" s="80"/>
      <c r="I730" s="80"/>
      <c r="J730" s="187"/>
      <c r="K730" s="80"/>
      <c r="L730" s="80"/>
      <c r="M730" s="80"/>
      <c r="N730" s="80"/>
      <c r="O730" s="80"/>
      <c r="P730" s="80"/>
      <c r="Q730" s="80"/>
      <c r="R730" s="80"/>
      <c r="S730" s="80"/>
      <c r="T730" s="83"/>
      <c r="U730" s="85"/>
      <c r="V730" s="85"/>
      <c r="W730" s="85"/>
      <c r="X730" s="85"/>
      <c r="Y730" s="85"/>
      <c r="Z730" s="85"/>
      <c r="AA730" s="85"/>
      <c r="AB730" s="85"/>
      <c r="AC730" s="85"/>
      <c r="AD730" s="85"/>
      <c r="AE730" s="85"/>
      <c r="AF730" s="85"/>
      <c r="AG730" s="85"/>
      <c r="AH730" s="85"/>
      <c r="AI730" s="85"/>
      <c r="AJ730" s="85"/>
      <c r="AK730" s="83"/>
      <c r="AL730" s="83"/>
      <c r="AM730" s="83"/>
      <c r="AN730" s="83"/>
    </row>
    <row r="731" spans="2:40" ht="15.75" customHeight="1">
      <c r="B731" s="83"/>
      <c r="C731" s="80"/>
      <c r="D731" s="80"/>
      <c r="E731" s="80"/>
      <c r="F731" s="188"/>
      <c r="G731" s="80"/>
      <c r="H731" s="80"/>
      <c r="I731" s="80"/>
      <c r="J731" s="187"/>
      <c r="K731" s="80"/>
      <c r="L731" s="80"/>
      <c r="M731" s="80"/>
      <c r="N731" s="80"/>
      <c r="O731" s="80"/>
      <c r="P731" s="80"/>
      <c r="Q731" s="80"/>
      <c r="R731" s="80"/>
      <c r="S731" s="80"/>
      <c r="T731" s="83"/>
      <c r="U731" s="85"/>
      <c r="V731" s="85"/>
      <c r="W731" s="85"/>
      <c r="X731" s="85"/>
      <c r="Y731" s="85"/>
      <c r="Z731" s="85"/>
      <c r="AA731" s="85"/>
      <c r="AB731" s="85"/>
      <c r="AC731" s="85"/>
      <c r="AD731" s="85"/>
      <c r="AE731" s="85"/>
      <c r="AF731" s="85"/>
      <c r="AG731" s="85"/>
      <c r="AH731" s="85"/>
      <c r="AI731" s="85"/>
      <c r="AJ731" s="85"/>
      <c r="AK731" s="83"/>
      <c r="AL731" s="83"/>
      <c r="AM731" s="83"/>
      <c r="AN731" s="83"/>
    </row>
    <row r="732" spans="2:40" ht="15.75" customHeight="1">
      <c r="B732" s="83"/>
      <c r="C732" s="80"/>
      <c r="D732" s="80"/>
      <c r="E732" s="80"/>
      <c r="F732" s="188"/>
      <c r="G732" s="80"/>
      <c r="H732" s="80"/>
      <c r="I732" s="80"/>
      <c r="J732" s="187"/>
      <c r="K732" s="80"/>
      <c r="L732" s="80"/>
      <c r="M732" s="80"/>
      <c r="N732" s="80"/>
      <c r="O732" s="80"/>
      <c r="P732" s="80"/>
      <c r="Q732" s="80"/>
      <c r="R732" s="80"/>
      <c r="S732" s="80"/>
      <c r="T732" s="83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3"/>
      <c r="AL732" s="83"/>
      <c r="AM732" s="83"/>
      <c r="AN732" s="83"/>
    </row>
    <row r="733" spans="2:40" ht="15.75" customHeight="1">
      <c r="B733" s="83"/>
      <c r="C733" s="80"/>
      <c r="D733" s="80"/>
      <c r="E733" s="80"/>
      <c r="F733" s="188"/>
      <c r="G733" s="80"/>
      <c r="H733" s="80"/>
      <c r="I733" s="80"/>
      <c r="J733" s="187"/>
      <c r="K733" s="80"/>
      <c r="L733" s="80"/>
      <c r="M733" s="80"/>
      <c r="N733" s="80"/>
      <c r="O733" s="80"/>
      <c r="P733" s="80"/>
      <c r="Q733" s="80"/>
      <c r="R733" s="80"/>
      <c r="S733" s="80"/>
      <c r="T733" s="83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3"/>
      <c r="AL733" s="83"/>
      <c r="AM733" s="83"/>
      <c r="AN733" s="83"/>
    </row>
    <row r="734" spans="2:40" ht="15.75" customHeight="1">
      <c r="B734" s="83"/>
      <c r="C734" s="80"/>
      <c r="D734" s="80"/>
      <c r="E734" s="80"/>
      <c r="F734" s="188"/>
      <c r="G734" s="80"/>
      <c r="H734" s="80"/>
      <c r="I734" s="80"/>
      <c r="J734" s="187"/>
      <c r="K734" s="80"/>
      <c r="L734" s="80"/>
      <c r="M734" s="80"/>
      <c r="N734" s="80"/>
      <c r="O734" s="80"/>
      <c r="P734" s="80"/>
      <c r="Q734" s="80"/>
      <c r="R734" s="80"/>
      <c r="S734" s="80"/>
      <c r="T734" s="83"/>
      <c r="U734" s="85"/>
      <c r="V734" s="85"/>
      <c r="W734" s="85"/>
      <c r="X734" s="85"/>
      <c r="Y734" s="85"/>
      <c r="Z734" s="85"/>
      <c r="AA734" s="85"/>
      <c r="AB734" s="85"/>
      <c r="AC734" s="85"/>
      <c r="AD734" s="85"/>
      <c r="AE734" s="85"/>
      <c r="AF734" s="85"/>
      <c r="AG734" s="85"/>
      <c r="AH734" s="85"/>
      <c r="AI734" s="85"/>
      <c r="AJ734" s="85"/>
      <c r="AK734" s="83"/>
      <c r="AL734" s="83"/>
      <c r="AM734" s="83"/>
      <c r="AN734" s="83"/>
    </row>
    <row r="735" spans="2:40" ht="15.75" customHeight="1">
      <c r="B735" s="83"/>
      <c r="C735" s="80"/>
      <c r="D735" s="80"/>
      <c r="E735" s="80"/>
      <c r="F735" s="188"/>
      <c r="G735" s="80"/>
      <c r="H735" s="80"/>
      <c r="I735" s="80"/>
      <c r="J735" s="187"/>
      <c r="K735" s="80"/>
      <c r="L735" s="80"/>
      <c r="M735" s="80"/>
      <c r="N735" s="80"/>
      <c r="O735" s="80"/>
      <c r="P735" s="80"/>
      <c r="Q735" s="80"/>
      <c r="R735" s="80"/>
      <c r="S735" s="80"/>
      <c r="T735" s="83"/>
      <c r="U735" s="85"/>
      <c r="V735" s="85"/>
      <c r="W735" s="85"/>
      <c r="X735" s="85"/>
      <c r="Y735" s="85"/>
      <c r="Z735" s="85"/>
      <c r="AA735" s="85"/>
      <c r="AB735" s="85"/>
      <c r="AC735" s="85"/>
      <c r="AD735" s="85"/>
      <c r="AE735" s="85"/>
      <c r="AF735" s="85"/>
      <c r="AG735" s="85"/>
      <c r="AH735" s="85"/>
      <c r="AI735" s="85"/>
      <c r="AJ735" s="85"/>
      <c r="AK735" s="83"/>
      <c r="AL735" s="83"/>
      <c r="AM735" s="83"/>
      <c r="AN735" s="83"/>
    </row>
    <row r="736" spans="2:40" ht="15.75" customHeight="1">
      <c r="B736" s="83"/>
      <c r="C736" s="80"/>
      <c r="D736" s="80"/>
      <c r="E736" s="80"/>
      <c r="F736" s="188"/>
      <c r="G736" s="80"/>
      <c r="H736" s="80"/>
      <c r="I736" s="80"/>
      <c r="J736" s="187"/>
      <c r="K736" s="80"/>
      <c r="L736" s="80"/>
      <c r="M736" s="80"/>
      <c r="N736" s="80"/>
      <c r="O736" s="80"/>
      <c r="P736" s="80"/>
      <c r="Q736" s="80"/>
      <c r="R736" s="80"/>
      <c r="S736" s="80"/>
      <c r="T736" s="83"/>
      <c r="U736" s="85"/>
      <c r="V736" s="85"/>
      <c r="W736" s="85"/>
      <c r="X736" s="85"/>
      <c r="Y736" s="85"/>
      <c r="Z736" s="85"/>
      <c r="AA736" s="85"/>
      <c r="AB736" s="85"/>
      <c r="AC736" s="85"/>
      <c r="AD736" s="85"/>
      <c r="AE736" s="85"/>
      <c r="AF736" s="85"/>
      <c r="AG736" s="85"/>
      <c r="AH736" s="85"/>
      <c r="AI736" s="85"/>
      <c r="AJ736" s="85"/>
      <c r="AK736" s="83"/>
      <c r="AL736" s="83"/>
      <c r="AM736" s="83"/>
      <c r="AN736" s="83"/>
    </row>
    <row r="737" spans="2:40" ht="15.75" customHeight="1">
      <c r="B737" s="83"/>
      <c r="C737" s="80"/>
      <c r="D737" s="80"/>
      <c r="E737" s="80"/>
      <c r="F737" s="188"/>
      <c r="G737" s="80"/>
      <c r="H737" s="80"/>
      <c r="I737" s="80"/>
      <c r="J737" s="187"/>
      <c r="K737" s="80"/>
      <c r="L737" s="80"/>
      <c r="M737" s="80"/>
      <c r="N737" s="80"/>
      <c r="O737" s="80"/>
      <c r="P737" s="80"/>
      <c r="Q737" s="80"/>
      <c r="R737" s="80"/>
      <c r="S737" s="80"/>
      <c r="T737" s="83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3"/>
      <c r="AL737" s="83"/>
      <c r="AM737" s="83"/>
      <c r="AN737" s="83"/>
    </row>
    <row r="738" spans="2:40" ht="15.75" customHeight="1">
      <c r="B738" s="83"/>
      <c r="C738" s="80"/>
      <c r="D738" s="80"/>
      <c r="E738" s="80"/>
      <c r="F738" s="188"/>
      <c r="G738" s="80"/>
      <c r="H738" s="80"/>
      <c r="I738" s="80"/>
      <c r="J738" s="187"/>
      <c r="K738" s="80"/>
      <c r="L738" s="80"/>
      <c r="M738" s="80"/>
      <c r="N738" s="80"/>
      <c r="O738" s="80"/>
      <c r="P738" s="80"/>
      <c r="Q738" s="80"/>
      <c r="R738" s="80"/>
      <c r="S738" s="80"/>
      <c r="T738" s="83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3"/>
      <c r="AL738" s="83"/>
      <c r="AM738" s="83"/>
      <c r="AN738" s="83"/>
    </row>
    <row r="739" spans="2:40" ht="15.75" customHeight="1">
      <c r="B739" s="83"/>
      <c r="C739" s="80"/>
      <c r="D739" s="80"/>
      <c r="E739" s="80"/>
      <c r="F739" s="188"/>
      <c r="G739" s="80"/>
      <c r="H739" s="80"/>
      <c r="I739" s="80"/>
      <c r="J739" s="187"/>
      <c r="K739" s="80"/>
      <c r="L739" s="80"/>
      <c r="M739" s="80"/>
      <c r="N739" s="80"/>
      <c r="O739" s="80"/>
      <c r="P739" s="80"/>
      <c r="Q739" s="80"/>
      <c r="R739" s="80"/>
      <c r="S739" s="80"/>
      <c r="T739" s="83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3"/>
      <c r="AL739" s="83"/>
      <c r="AM739" s="83"/>
      <c r="AN739" s="83"/>
    </row>
    <row r="740" spans="2:40" ht="15.75" customHeight="1">
      <c r="B740" s="83"/>
      <c r="C740" s="80"/>
      <c r="D740" s="80"/>
      <c r="E740" s="80"/>
      <c r="F740" s="188"/>
      <c r="G740" s="80"/>
      <c r="H740" s="80"/>
      <c r="I740" s="80"/>
      <c r="J740" s="187"/>
      <c r="K740" s="80"/>
      <c r="L740" s="80"/>
      <c r="M740" s="80"/>
      <c r="N740" s="80"/>
      <c r="O740" s="80"/>
      <c r="P740" s="80"/>
      <c r="Q740" s="80"/>
      <c r="R740" s="80"/>
      <c r="S740" s="80"/>
      <c r="T740" s="83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3"/>
      <c r="AL740" s="83"/>
      <c r="AM740" s="83"/>
      <c r="AN740" s="83"/>
    </row>
    <row r="741" spans="2:40" ht="15.75" customHeight="1">
      <c r="B741" s="83"/>
      <c r="C741" s="80"/>
      <c r="D741" s="80"/>
      <c r="E741" s="80"/>
      <c r="F741" s="188"/>
      <c r="G741" s="80"/>
      <c r="H741" s="80"/>
      <c r="I741" s="80"/>
      <c r="J741" s="187"/>
      <c r="K741" s="80"/>
      <c r="L741" s="80"/>
      <c r="M741" s="80"/>
      <c r="N741" s="80"/>
      <c r="O741" s="80"/>
      <c r="P741" s="80"/>
      <c r="Q741" s="80"/>
      <c r="R741" s="80"/>
      <c r="S741" s="80"/>
      <c r="T741" s="83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3"/>
      <c r="AL741" s="83"/>
      <c r="AM741" s="83"/>
      <c r="AN741" s="83"/>
    </row>
    <row r="742" spans="2:40" ht="15.75" customHeight="1">
      <c r="B742" s="83"/>
      <c r="C742" s="80"/>
      <c r="D742" s="80"/>
      <c r="E742" s="80"/>
      <c r="F742" s="188"/>
      <c r="G742" s="80"/>
      <c r="H742" s="80"/>
      <c r="I742" s="80"/>
      <c r="J742" s="187"/>
      <c r="K742" s="80"/>
      <c r="L742" s="80"/>
      <c r="M742" s="80"/>
      <c r="N742" s="80"/>
      <c r="O742" s="80"/>
      <c r="P742" s="80"/>
      <c r="Q742" s="80"/>
      <c r="R742" s="80"/>
      <c r="S742" s="80"/>
      <c r="T742" s="83"/>
      <c r="U742" s="85"/>
      <c r="V742" s="85"/>
      <c r="W742" s="85"/>
      <c r="X742" s="85"/>
      <c r="Y742" s="85"/>
      <c r="Z742" s="85"/>
      <c r="AA742" s="85"/>
      <c r="AB742" s="85"/>
      <c r="AC742" s="85"/>
      <c r="AD742" s="85"/>
      <c r="AE742" s="85"/>
      <c r="AF742" s="85"/>
      <c r="AG742" s="85"/>
      <c r="AH742" s="85"/>
      <c r="AI742" s="85"/>
      <c r="AJ742" s="85"/>
      <c r="AK742" s="83"/>
      <c r="AL742" s="83"/>
      <c r="AM742" s="83"/>
      <c r="AN742" s="83"/>
    </row>
    <row r="743" spans="2:40" ht="15.75" customHeight="1">
      <c r="B743" s="83"/>
      <c r="C743" s="80"/>
      <c r="D743" s="80"/>
      <c r="E743" s="80"/>
      <c r="F743" s="188"/>
      <c r="G743" s="80"/>
      <c r="H743" s="80"/>
      <c r="I743" s="80"/>
      <c r="J743" s="187"/>
      <c r="K743" s="80"/>
      <c r="L743" s="80"/>
      <c r="M743" s="80"/>
      <c r="N743" s="80"/>
      <c r="O743" s="80"/>
      <c r="P743" s="80"/>
      <c r="Q743" s="80"/>
      <c r="R743" s="80"/>
      <c r="S743" s="80"/>
      <c r="T743" s="83"/>
      <c r="U743" s="85"/>
      <c r="V743" s="85"/>
      <c r="W743" s="85"/>
      <c r="X743" s="85"/>
      <c r="Y743" s="85"/>
      <c r="Z743" s="85"/>
      <c r="AA743" s="85"/>
      <c r="AB743" s="85"/>
      <c r="AC743" s="85"/>
      <c r="AD743" s="85"/>
      <c r="AE743" s="85"/>
      <c r="AF743" s="85"/>
      <c r="AG743" s="85"/>
      <c r="AH743" s="85"/>
      <c r="AI743" s="85"/>
      <c r="AJ743" s="85"/>
      <c r="AK743" s="83"/>
      <c r="AL743" s="83"/>
      <c r="AM743" s="83"/>
      <c r="AN743" s="83"/>
    </row>
    <row r="744" spans="2:40" ht="15.75" customHeight="1">
      <c r="B744" s="83"/>
      <c r="C744" s="80"/>
      <c r="D744" s="80"/>
      <c r="E744" s="80"/>
      <c r="F744" s="188"/>
      <c r="G744" s="80"/>
      <c r="H744" s="80"/>
      <c r="I744" s="80"/>
      <c r="J744" s="187"/>
      <c r="K744" s="80"/>
      <c r="L744" s="80"/>
      <c r="M744" s="80"/>
      <c r="N744" s="80"/>
      <c r="O744" s="80"/>
      <c r="P744" s="80"/>
      <c r="Q744" s="80"/>
      <c r="R744" s="80"/>
      <c r="S744" s="80"/>
      <c r="T744" s="83"/>
      <c r="U744" s="85"/>
      <c r="V744" s="85"/>
      <c r="W744" s="85"/>
      <c r="X744" s="85"/>
      <c r="Y744" s="85"/>
      <c r="Z744" s="85"/>
      <c r="AA744" s="85"/>
      <c r="AB744" s="85"/>
      <c r="AC744" s="85"/>
      <c r="AD744" s="85"/>
      <c r="AE744" s="85"/>
      <c r="AF744" s="85"/>
      <c r="AG744" s="85"/>
      <c r="AH744" s="85"/>
      <c r="AI744" s="85"/>
      <c r="AJ744" s="85"/>
      <c r="AK744" s="83"/>
      <c r="AL744" s="83"/>
      <c r="AM744" s="83"/>
      <c r="AN744" s="83"/>
    </row>
    <row r="745" spans="2:40" ht="15.75" customHeight="1">
      <c r="B745" s="83"/>
      <c r="C745" s="80"/>
      <c r="D745" s="80"/>
      <c r="E745" s="80"/>
      <c r="F745" s="188"/>
      <c r="G745" s="80"/>
      <c r="H745" s="80"/>
      <c r="I745" s="80"/>
      <c r="J745" s="187"/>
      <c r="K745" s="80"/>
      <c r="L745" s="80"/>
      <c r="M745" s="80"/>
      <c r="N745" s="80"/>
      <c r="O745" s="80"/>
      <c r="P745" s="80"/>
      <c r="Q745" s="80"/>
      <c r="R745" s="80"/>
      <c r="S745" s="80"/>
      <c r="T745" s="83"/>
      <c r="U745" s="85"/>
      <c r="V745" s="85"/>
      <c r="W745" s="85"/>
      <c r="X745" s="85"/>
      <c r="Y745" s="85"/>
      <c r="Z745" s="85"/>
      <c r="AA745" s="85"/>
      <c r="AB745" s="85"/>
      <c r="AC745" s="85"/>
      <c r="AD745" s="85"/>
      <c r="AE745" s="85"/>
      <c r="AF745" s="85"/>
      <c r="AG745" s="85"/>
      <c r="AH745" s="85"/>
      <c r="AI745" s="85"/>
      <c r="AJ745" s="85"/>
      <c r="AK745" s="83"/>
      <c r="AL745" s="83"/>
      <c r="AM745" s="83"/>
      <c r="AN745" s="83"/>
    </row>
    <row r="746" spans="2:40" ht="15.75" customHeight="1">
      <c r="B746" s="83"/>
      <c r="C746" s="80"/>
      <c r="D746" s="80"/>
      <c r="E746" s="80"/>
      <c r="F746" s="188"/>
      <c r="G746" s="80"/>
      <c r="H746" s="80"/>
      <c r="I746" s="80"/>
      <c r="J746" s="187"/>
      <c r="K746" s="80"/>
      <c r="L746" s="80"/>
      <c r="M746" s="80"/>
      <c r="N746" s="80"/>
      <c r="O746" s="80"/>
      <c r="P746" s="80"/>
      <c r="Q746" s="80"/>
      <c r="R746" s="80"/>
      <c r="S746" s="80"/>
      <c r="T746" s="83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3"/>
      <c r="AL746" s="83"/>
      <c r="AM746" s="83"/>
      <c r="AN746" s="83"/>
    </row>
    <row r="747" spans="2:40" ht="15.75" customHeight="1">
      <c r="B747" s="83"/>
      <c r="C747" s="80"/>
      <c r="D747" s="80"/>
      <c r="E747" s="80"/>
      <c r="F747" s="188"/>
      <c r="G747" s="80"/>
      <c r="H747" s="80"/>
      <c r="I747" s="80"/>
      <c r="J747" s="187"/>
      <c r="K747" s="80"/>
      <c r="L747" s="80"/>
      <c r="M747" s="80"/>
      <c r="N747" s="80"/>
      <c r="O747" s="80"/>
      <c r="P747" s="80"/>
      <c r="Q747" s="80"/>
      <c r="R747" s="80"/>
      <c r="S747" s="80"/>
      <c r="T747" s="83"/>
      <c r="U747" s="85"/>
      <c r="V747" s="85"/>
      <c r="W747" s="85"/>
      <c r="X747" s="85"/>
      <c r="Y747" s="85"/>
      <c r="Z747" s="85"/>
      <c r="AA747" s="85"/>
      <c r="AB747" s="85"/>
      <c r="AC747" s="85"/>
      <c r="AD747" s="85"/>
      <c r="AE747" s="85"/>
      <c r="AF747" s="85"/>
      <c r="AG747" s="85"/>
      <c r="AH747" s="85"/>
      <c r="AI747" s="85"/>
      <c r="AJ747" s="85"/>
      <c r="AK747" s="83"/>
      <c r="AL747" s="83"/>
      <c r="AM747" s="83"/>
      <c r="AN747" s="83"/>
    </row>
    <row r="748" spans="2:40" ht="15.75" customHeight="1">
      <c r="B748" s="83"/>
      <c r="C748" s="80"/>
      <c r="D748" s="80"/>
      <c r="E748" s="80"/>
      <c r="F748" s="188"/>
      <c r="G748" s="80"/>
      <c r="H748" s="80"/>
      <c r="I748" s="80"/>
      <c r="J748" s="187"/>
      <c r="K748" s="80"/>
      <c r="L748" s="80"/>
      <c r="M748" s="80"/>
      <c r="N748" s="80"/>
      <c r="O748" s="80"/>
      <c r="P748" s="80"/>
      <c r="Q748" s="80"/>
      <c r="R748" s="80"/>
      <c r="S748" s="80"/>
      <c r="T748" s="83"/>
      <c r="U748" s="85"/>
      <c r="V748" s="85"/>
      <c r="W748" s="85"/>
      <c r="X748" s="85"/>
      <c r="Y748" s="85"/>
      <c r="Z748" s="85"/>
      <c r="AA748" s="85"/>
      <c r="AB748" s="85"/>
      <c r="AC748" s="85"/>
      <c r="AD748" s="85"/>
      <c r="AE748" s="85"/>
      <c r="AF748" s="85"/>
      <c r="AG748" s="85"/>
      <c r="AH748" s="85"/>
      <c r="AI748" s="85"/>
      <c r="AJ748" s="85"/>
      <c r="AK748" s="83"/>
      <c r="AL748" s="83"/>
      <c r="AM748" s="83"/>
      <c r="AN748" s="83"/>
    </row>
    <row r="749" spans="2:40" ht="15.75" customHeight="1">
      <c r="B749" s="83"/>
      <c r="C749" s="80"/>
      <c r="D749" s="80"/>
      <c r="E749" s="80"/>
      <c r="F749" s="188"/>
      <c r="G749" s="80"/>
      <c r="H749" s="80"/>
      <c r="I749" s="80"/>
      <c r="J749" s="187"/>
      <c r="K749" s="80"/>
      <c r="L749" s="80"/>
      <c r="M749" s="80"/>
      <c r="N749" s="80"/>
      <c r="O749" s="80"/>
      <c r="P749" s="80"/>
      <c r="Q749" s="80"/>
      <c r="R749" s="80"/>
      <c r="S749" s="80"/>
      <c r="T749" s="83"/>
      <c r="U749" s="85"/>
      <c r="V749" s="85"/>
      <c r="W749" s="85"/>
      <c r="X749" s="85"/>
      <c r="Y749" s="85"/>
      <c r="Z749" s="85"/>
      <c r="AA749" s="85"/>
      <c r="AB749" s="85"/>
      <c r="AC749" s="85"/>
      <c r="AD749" s="85"/>
      <c r="AE749" s="85"/>
      <c r="AF749" s="85"/>
      <c r="AG749" s="85"/>
      <c r="AH749" s="85"/>
      <c r="AI749" s="85"/>
      <c r="AJ749" s="85"/>
      <c r="AK749" s="83"/>
      <c r="AL749" s="83"/>
      <c r="AM749" s="83"/>
      <c r="AN749" s="83"/>
    </row>
    <row r="750" spans="2:40" ht="15.75" customHeight="1">
      <c r="B750" s="83"/>
      <c r="C750" s="80"/>
      <c r="D750" s="80"/>
      <c r="E750" s="80"/>
      <c r="F750" s="188"/>
      <c r="G750" s="80"/>
      <c r="H750" s="80"/>
      <c r="I750" s="80"/>
      <c r="J750" s="187"/>
      <c r="K750" s="80"/>
      <c r="L750" s="80"/>
      <c r="M750" s="80"/>
      <c r="N750" s="80"/>
      <c r="O750" s="80"/>
      <c r="P750" s="80"/>
      <c r="Q750" s="80"/>
      <c r="R750" s="80"/>
      <c r="S750" s="80"/>
      <c r="T750" s="83"/>
      <c r="U750" s="85"/>
      <c r="V750" s="85"/>
      <c r="W750" s="85"/>
      <c r="X750" s="85"/>
      <c r="Y750" s="85"/>
      <c r="Z750" s="85"/>
      <c r="AA750" s="85"/>
      <c r="AB750" s="85"/>
      <c r="AC750" s="85"/>
      <c r="AD750" s="85"/>
      <c r="AE750" s="85"/>
      <c r="AF750" s="85"/>
      <c r="AG750" s="85"/>
      <c r="AH750" s="85"/>
      <c r="AI750" s="85"/>
      <c r="AJ750" s="85"/>
      <c r="AK750" s="83"/>
      <c r="AL750" s="83"/>
      <c r="AM750" s="83"/>
      <c r="AN750" s="83"/>
    </row>
    <row r="751" spans="2:40" ht="15.75" customHeight="1">
      <c r="B751" s="83"/>
      <c r="C751" s="80"/>
      <c r="D751" s="80"/>
      <c r="E751" s="80"/>
      <c r="F751" s="188"/>
      <c r="G751" s="80"/>
      <c r="H751" s="80"/>
      <c r="I751" s="80"/>
      <c r="J751" s="187"/>
      <c r="K751" s="80"/>
      <c r="L751" s="80"/>
      <c r="M751" s="80"/>
      <c r="N751" s="80"/>
      <c r="O751" s="80"/>
      <c r="P751" s="80"/>
      <c r="Q751" s="80"/>
      <c r="R751" s="80"/>
      <c r="S751" s="80"/>
      <c r="T751" s="83"/>
      <c r="U751" s="85"/>
      <c r="V751" s="85"/>
      <c r="W751" s="85"/>
      <c r="X751" s="85"/>
      <c r="Y751" s="85"/>
      <c r="Z751" s="85"/>
      <c r="AA751" s="85"/>
      <c r="AB751" s="85"/>
      <c r="AC751" s="85"/>
      <c r="AD751" s="85"/>
      <c r="AE751" s="85"/>
      <c r="AF751" s="85"/>
      <c r="AG751" s="85"/>
      <c r="AH751" s="85"/>
      <c r="AI751" s="85"/>
      <c r="AJ751" s="85"/>
      <c r="AK751" s="83"/>
      <c r="AL751" s="83"/>
      <c r="AM751" s="83"/>
      <c r="AN751" s="83"/>
    </row>
    <row r="752" spans="2:40" ht="15.75" customHeight="1">
      <c r="B752" s="83"/>
      <c r="C752" s="80"/>
      <c r="D752" s="80"/>
      <c r="E752" s="80"/>
      <c r="F752" s="188"/>
      <c r="G752" s="80"/>
      <c r="H752" s="80"/>
      <c r="I752" s="80"/>
      <c r="J752" s="187"/>
      <c r="K752" s="80"/>
      <c r="L752" s="80"/>
      <c r="M752" s="80"/>
      <c r="N752" s="80"/>
      <c r="O752" s="80"/>
      <c r="P752" s="80"/>
      <c r="Q752" s="80"/>
      <c r="R752" s="80"/>
      <c r="S752" s="80"/>
      <c r="T752" s="83"/>
      <c r="U752" s="85"/>
      <c r="V752" s="85"/>
      <c r="W752" s="85"/>
      <c r="X752" s="85"/>
      <c r="Y752" s="85"/>
      <c r="Z752" s="85"/>
      <c r="AA752" s="85"/>
      <c r="AB752" s="85"/>
      <c r="AC752" s="85"/>
      <c r="AD752" s="85"/>
      <c r="AE752" s="85"/>
      <c r="AF752" s="85"/>
      <c r="AG752" s="85"/>
      <c r="AH752" s="85"/>
      <c r="AI752" s="85"/>
      <c r="AJ752" s="85"/>
      <c r="AK752" s="83"/>
      <c r="AL752" s="83"/>
      <c r="AM752" s="83"/>
      <c r="AN752" s="83"/>
    </row>
    <row r="753" spans="2:40" ht="15.75" customHeight="1">
      <c r="B753" s="83"/>
      <c r="C753" s="80"/>
      <c r="D753" s="80"/>
      <c r="E753" s="80"/>
      <c r="F753" s="188"/>
      <c r="G753" s="80"/>
      <c r="H753" s="80"/>
      <c r="I753" s="80"/>
      <c r="J753" s="187"/>
      <c r="K753" s="80"/>
      <c r="L753" s="80"/>
      <c r="M753" s="80"/>
      <c r="N753" s="80"/>
      <c r="O753" s="80"/>
      <c r="P753" s="80"/>
      <c r="Q753" s="80"/>
      <c r="R753" s="80"/>
      <c r="S753" s="80"/>
      <c r="T753" s="83"/>
      <c r="U753" s="85"/>
      <c r="V753" s="85"/>
      <c r="W753" s="85"/>
      <c r="X753" s="85"/>
      <c r="Y753" s="85"/>
      <c r="Z753" s="85"/>
      <c r="AA753" s="85"/>
      <c r="AB753" s="85"/>
      <c r="AC753" s="85"/>
      <c r="AD753" s="85"/>
      <c r="AE753" s="85"/>
      <c r="AF753" s="85"/>
      <c r="AG753" s="85"/>
      <c r="AH753" s="85"/>
      <c r="AI753" s="85"/>
      <c r="AJ753" s="85"/>
      <c r="AK753" s="83"/>
      <c r="AL753" s="83"/>
      <c r="AM753" s="83"/>
      <c r="AN753" s="83"/>
    </row>
    <row r="754" spans="2:40" ht="15.75" customHeight="1">
      <c r="B754" s="83"/>
      <c r="C754" s="80"/>
      <c r="D754" s="80"/>
      <c r="E754" s="80"/>
      <c r="F754" s="188"/>
      <c r="G754" s="80"/>
      <c r="H754" s="80"/>
      <c r="I754" s="80"/>
      <c r="J754" s="187"/>
      <c r="K754" s="80"/>
      <c r="L754" s="80"/>
      <c r="M754" s="80"/>
      <c r="N754" s="80"/>
      <c r="O754" s="80"/>
      <c r="P754" s="80"/>
      <c r="Q754" s="80"/>
      <c r="R754" s="80"/>
      <c r="S754" s="80"/>
      <c r="T754" s="83"/>
      <c r="U754" s="85"/>
      <c r="V754" s="85"/>
      <c r="W754" s="85"/>
      <c r="X754" s="85"/>
      <c r="Y754" s="85"/>
      <c r="Z754" s="85"/>
      <c r="AA754" s="85"/>
      <c r="AB754" s="85"/>
      <c r="AC754" s="85"/>
      <c r="AD754" s="85"/>
      <c r="AE754" s="85"/>
      <c r="AF754" s="85"/>
      <c r="AG754" s="85"/>
      <c r="AH754" s="85"/>
      <c r="AI754" s="85"/>
      <c r="AJ754" s="85"/>
      <c r="AK754" s="83"/>
      <c r="AL754" s="83"/>
      <c r="AM754" s="83"/>
      <c r="AN754" s="83"/>
    </row>
    <row r="755" spans="2:40" ht="15.75" customHeight="1">
      <c r="B755" s="83"/>
      <c r="C755" s="80"/>
      <c r="D755" s="80"/>
      <c r="E755" s="80"/>
      <c r="F755" s="188"/>
      <c r="G755" s="80"/>
      <c r="H755" s="80"/>
      <c r="I755" s="80"/>
      <c r="J755" s="187"/>
      <c r="K755" s="80"/>
      <c r="L755" s="80"/>
      <c r="M755" s="80"/>
      <c r="N755" s="80"/>
      <c r="O755" s="80"/>
      <c r="P755" s="80"/>
      <c r="Q755" s="80"/>
      <c r="R755" s="80"/>
      <c r="S755" s="80"/>
      <c r="T755" s="83"/>
      <c r="U755" s="85"/>
      <c r="V755" s="85"/>
      <c r="W755" s="85"/>
      <c r="X755" s="85"/>
      <c r="Y755" s="85"/>
      <c r="Z755" s="85"/>
      <c r="AA755" s="85"/>
      <c r="AB755" s="85"/>
      <c r="AC755" s="85"/>
      <c r="AD755" s="85"/>
      <c r="AE755" s="85"/>
      <c r="AF755" s="85"/>
      <c r="AG755" s="85"/>
      <c r="AH755" s="85"/>
      <c r="AI755" s="85"/>
      <c r="AJ755" s="85"/>
      <c r="AK755" s="83"/>
      <c r="AL755" s="83"/>
      <c r="AM755" s="83"/>
      <c r="AN755" s="83"/>
    </row>
    <row r="756" spans="2:40" ht="15.75" customHeight="1">
      <c r="B756" s="83"/>
      <c r="C756" s="80"/>
      <c r="D756" s="80"/>
      <c r="E756" s="80"/>
      <c r="F756" s="188"/>
      <c r="G756" s="80"/>
      <c r="H756" s="80"/>
      <c r="I756" s="80"/>
      <c r="J756" s="187"/>
      <c r="K756" s="80"/>
      <c r="L756" s="80"/>
      <c r="M756" s="80"/>
      <c r="N756" s="80"/>
      <c r="O756" s="80"/>
      <c r="P756" s="80"/>
      <c r="Q756" s="80"/>
      <c r="R756" s="80"/>
      <c r="S756" s="80"/>
      <c r="T756" s="83"/>
      <c r="U756" s="85"/>
      <c r="V756" s="85"/>
      <c r="W756" s="85"/>
      <c r="X756" s="85"/>
      <c r="Y756" s="85"/>
      <c r="Z756" s="85"/>
      <c r="AA756" s="85"/>
      <c r="AB756" s="85"/>
      <c r="AC756" s="85"/>
      <c r="AD756" s="85"/>
      <c r="AE756" s="85"/>
      <c r="AF756" s="85"/>
      <c r="AG756" s="85"/>
      <c r="AH756" s="85"/>
      <c r="AI756" s="85"/>
      <c r="AJ756" s="85"/>
      <c r="AK756" s="83"/>
      <c r="AL756" s="83"/>
      <c r="AM756" s="83"/>
      <c r="AN756" s="83"/>
    </row>
    <row r="757" spans="2:40" ht="15.75" customHeight="1">
      <c r="B757" s="83"/>
      <c r="C757" s="80"/>
      <c r="D757" s="80"/>
      <c r="E757" s="80"/>
      <c r="F757" s="188"/>
      <c r="G757" s="80"/>
      <c r="H757" s="80"/>
      <c r="I757" s="80"/>
      <c r="J757" s="187"/>
      <c r="K757" s="80"/>
      <c r="L757" s="80"/>
      <c r="M757" s="80"/>
      <c r="N757" s="80"/>
      <c r="O757" s="80"/>
      <c r="P757" s="80"/>
      <c r="Q757" s="80"/>
      <c r="R757" s="80"/>
      <c r="S757" s="80"/>
      <c r="T757" s="83"/>
      <c r="U757" s="85"/>
      <c r="V757" s="85"/>
      <c r="W757" s="85"/>
      <c r="X757" s="85"/>
      <c r="Y757" s="85"/>
      <c r="Z757" s="85"/>
      <c r="AA757" s="85"/>
      <c r="AB757" s="85"/>
      <c r="AC757" s="85"/>
      <c r="AD757" s="85"/>
      <c r="AE757" s="85"/>
      <c r="AF757" s="85"/>
      <c r="AG757" s="85"/>
      <c r="AH757" s="85"/>
      <c r="AI757" s="85"/>
      <c r="AJ757" s="85"/>
      <c r="AK757" s="83"/>
      <c r="AL757" s="83"/>
      <c r="AM757" s="83"/>
      <c r="AN757" s="83"/>
    </row>
    <row r="758" spans="2:40" ht="15.75" customHeight="1">
      <c r="B758" s="83"/>
      <c r="C758" s="80"/>
      <c r="D758" s="80"/>
      <c r="E758" s="80"/>
      <c r="F758" s="188"/>
      <c r="G758" s="80"/>
      <c r="H758" s="80"/>
      <c r="I758" s="80"/>
      <c r="J758" s="187"/>
      <c r="K758" s="80"/>
      <c r="L758" s="80"/>
      <c r="M758" s="80"/>
      <c r="N758" s="80"/>
      <c r="O758" s="80"/>
      <c r="P758" s="80"/>
      <c r="Q758" s="80"/>
      <c r="R758" s="80"/>
      <c r="S758" s="80"/>
      <c r="T758" s="83"/>
      <c r="U758" s="85"/>
      <c r="V758" s="85"/>
      <c r="W758" s="85"/>
      <c r="X758" s="85"/>
      <c r="Y758" s="85"/>
      <c r="Z758" s="85"/>
      <c r="AA758" s="85"/>
      <c r="AB758" s="85"/>
      <c r="AC758" s="85"/>
      <c r="AD758" s="85"/>
      <c r="AE758" s="85"/>
      <c r="AF758" s="85"/>
      <c r="AG758" s="85"/>
      <c r="AH758" s="85"/>
      <c r="AI758" s="85"/>
      <c r="AJ758" s="85"/>
      <c r="AK758" s="83"/>
      <c r="AL758" s="83"/>
      <c r="AM758" s="83"/>
      <c r="AN758" s="83"/>
    </row>
    <row r="759" spans="2:40" ht="15.75" customHeight="1">
      <c r="B759" s="83"/>
      <c r="C759" s="80"/>
      <c r="D759" s="80"/>
      <c r="E759" s="80"/>
      <c r="F759" s="188"/>
      <c r="G759" s="80"/>
      <c r="H759" s="80"/>
      <c r="I759" s="80"/>
      <c r="J759" s="187"/>
      <c r="K759" s="80"/>
      <c r="L759" s="80"/>
      <c r="M759" s="80"/>
      <c r="N759" s="80"/>
      <c r="O759" s="80"/>
      <c r="P759" s="80"/>
      <c r="Q759" s="80"/>
      <c r="R759" s="80"/>
      <c r="S759" s="80"/>
      <c r="T759" s="83"/>
      <c r="U759" s="85"/>
      <c r="V759" s="85"/>
      <c r="W759" s="85"/>
      <c r="X759" s="85"/>
      <c r="Y759" s="85"/>
      <c r="Z759" s="85"/>
      <c r="AA759" s="85"/>
      <c r="AB759" s="85"/>
      <c r="AC759" s="85"/>
      <c r="AD759" s="85"/>
      <c r="AE759" s="85"/>
      <c r="AF759" s="85"/>
      <c r="AG759" s="85"/>
      <c r="AH759" s="85"/>
      <c r="AI759" s="85"/>
      <c r="AJ759" s="85"/>
      <c r="AK759" s="83"/>
      <c r="AL759" s="83"/>
      <c r="AM759" s="83"/>
      <c r="AN759" s="83"/>
    </row>
    <row r="760" spans="2:40" ht="15.75" customHeight="1">
      <c r="B760" s="83"/>
      <c r="C760" s="80"/>
      <c r="D760" s="80"/>
      <c r="E760" s="80"/>
      <c r="F760" s="188"/>
      <c r="G760" s="80"/>
      <c r="H760" s="80"/>
      <c r="I760" s="80"/>
      <c r="J760" s="187"/>
      <c r="K760" s="80"/>
      <c r="L760" s="80"/>
      <c r="M760" s="80"/>
      <c r="N760" s="80"/>
      <c r="O760" s="80"/>
      <c r="P760" s="80"/>
      <c r="Q760" s="80"/>
      <c r="R760" s="80"/>
      <c r="S760" s="80"/>
      <c r="T760" s="83"/>
      <c r="U760" s="85"/>
      <c r="V760" s="85"/>
      <c r="W760" s="85"/>
      <c r="X760" s="85"/>
      <c r="Y760" s="85"/>
      <c r="Z760" s="85"/>
      <c r="AA760" s="85"/>
      <c r="AB760" s="85"/>
      <c r="AC760" s="85"/>
      <c r="AD760" s="85"/>
      <c r="AE760" s="85"/>
      <c r="AF760" s="85"/>
      <c r="AG760" s="85"/>
      <c r="AH760" s="85"/>
      <c r="AI760" s="85"/>
      <c r="AJ760" s="85"/>
      <c r="AK760" s="83"/>
      <c r="AL760" s="83"/>
      <c r="AM760" s="83"/>
      <c r="AN760" s="83"/>
    </row>
    <row r="761" spans="2:40" ht="15.75" customHeight="1">
      <c r="B761" s="83"/>
      <c r="C761" s="80"/>
      <c r="D761" s="80"/>
      <c r="E761" s="80"/>
      <c r="F761" s="188"/>
      <c r="G761" s="80"/>
      <c r="H761" s="80"/>
      <c r="I761" s="80"/>
      <c r="J761" s="187"/>
      <c r="K761" s="80"/>
      <c r="L761" s="80"/>
      <c r="M761" s="80"/>
      <c r="N761" s="80"/>
      <c r="O761" s="80"/>
      <c r="P761" s="80"/>
      <c r="Q761" s="80"/>
      <c r="R761" s="80"/>
      <c r="S761" s="80"/>
      <c r="T761" s="83"/>
      <c r="U761" s="85"/>
      <c r="V761" s="85"/>
      <c r="W761" s="85"/>
      <c r="X761" s="85"/>
      <c r="Y761" s="85"/>
      <c r="Z761" s="85"/>
      <c r="AA761" s="85"/>
      <c r="AB761" s="85"/>
      <c r="AC761" s="85"/>
      <c r="AD761" s="85"/>
      <c r="AE761" s="85"/>
      <c r="AF761" s="85"/>
      <c r="AG761" s="85"/>
      <c r="AH761" s="85"/>
      <c r="AI761" s="85"/>
      <c r="AJ761" s="85"/>
      <c r="AK761" s="83"/>
      <c r="AL761" s="83"/>
      <c r="AM761" s="83"/>
      <c r="AN761" s="83"/>
    </row>
    <row r="762" spans="2:40" ht="15.75" customHeight="1">
      <c r="B762" s="83"/>
      <c r="C762" s="80"/>
      <c r="D762" s="80"/>
      <c r="E762" s="80"/>
      <c r="F762" s="188"/>
      <c r="G762" s="80"/>
      <c r="H762" s="80"/>
      <c r="I762" s="80"/>
      <c r="J762" s="187"/>
      <c r="K762" s="80"/>
      <c r="L762" s="80"/>
      <c r="M762" s="80"/>
      <c r="N762" s="80"/>
      <c r="O762" s="80"/>
      <c r="P762" s="80"/>
      <c r="Q762" s="80"/>
      <c r="R762" s="80"/>
      <c r="S762" s="80"/>
      <c r="T762" s="83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3"/>
      <c r="AL762" s="83"/>
      <c r="AM762" s="83"/>
      <c r="AN762" s="83"/>
    </row>
    <row r="763" spans="2:40" ht="15.75" customHeight="1">
      <c r="B763" s="83"/>
      <c r="C763" s="80"/>
      <c r="D763" s="80"/>
      <c r="E763" s="80"/>
      <c r="F763" s="188"/>
      <c r="G763" s="80"/>
      <c r="H763" s="80"/>
      <c r="I763" s="80"/>
      <c r="J763" s="187"/>
      <c r="K763" s="80"/>
      <c r="L763" s="80"/>
      <c r="M763" s="80"/>
      <c r="N763" s="80"/>
      <c r="O763" s="80"/>
      <c r="P763" s="80"/>
      <c r="Q763" s="80"/>
      <c r="R763" s="80"/>
      <c r="S763" s="80"/>
      <c r="T763" s="83"/>
      <c r="U763" s="85"/>
      <c r="V763" s="85"/>
      <c r="W763" s="85"/>
      <c r="X763" s="85"/>
      <c r="Y763" s="85"/>
      <c r="Z763" s="85"/>
      <c r="AA763" s="85"/>
      <c r="AB763" s="85"/>
      <c r="AC763" s="85"/>
      <c r="AD763" s="85"/>
      <c r="AE763" s="85"/>
      <c r="AF763" s="85"/>
      <c r="AG763" s="85"/>
      <c r="AH763" s="85"/>
      <c r="AI763" s="85"/>
      <c r="AJ763" s="85"/>
      <c r="AK763" s="83"/>
      <c r="AL763" s="83"/>
      <c r="AM763" s="83"/>
      <c r="AN763" s="83"/>
    </row>
    <row r="764" spans="2:40" ht="15.75" customHeight="1">
      <c r="B764" s="83"/>
      <c r="C764" s="80"/>
      <c r="D764" s="80"/>
      <c r="E764" s="80"/>
      <c r="F764" s="188"/>
      <c r="G764" s="80"/>
      <c r="H764" s="80"/>
      <c r="I764" s="80"/>
      <c r="J764" s="187"/>
      <c r="K764" s="80"/>
      <c r="L764" s="80"/>
      <c r="M764" s="80"/>
      <c r="N764" s="80"/>
      <c r="O764" s="80"/>
      <c r="P764" s="80"/>
      <c r="Q764" s="80"/>
      <c r="R764" s="80"/>
      <c r="S764" s="80"/>
      <c r="T764" s="83"/>
      <c r="U764" s="85"/>
      <c r="V764" s="85"/>
      <c r="W764" s="85"/>
      <c r="X764" s="85"/>
      <c r="Y764" s="85"/>
      <c r="Z764" s="85"/>
      <c r="AA764" s="85"/>
      <c r="AB764" s="85"/>
      <c r="AC764" s="85"/>
      <c r="AD764" s="85"/>
      <c r="AE764" s="85"/>
      <c r="AF764" s="85"/>
      <c r="AG764" s="85"/>
      <c r="AH764" s="85"/>
      <c r="AI764" s="85"/>
      <c r="AJ764" s="85"/>
      <c r="AK764" s="83"/>
      <c r="AL764" s="83"/>
      <c r="AM764" s="83"/>
      <c r="AN764" s="83"/>
    </row>
    <row r="765" spans="2:40" ht="15.75" customHeight="1">
      <c r="B765" s="83"/>
      <c r="C765" s="80"/>
      <c r="D765" s="80"/>
      <c r="E765" s="80"/>
      <c r="F765" s="188"/>
      <c r="G765" s="80"/>
      <c r="H765" s="80"/>
      <c r="I765" s="80"/>
      <c r="J765" s="187"/>
      <c r="K765" s="80"/>
      <c r="L765" s="80"/>
      <c r="M765" s="80"/>
      <c r="N765" s="80"/>
      <c r="O765" s="80"/>
      <c r="P765" s="80"/>
      <c r="Q765" s="80"/>
      <c r="R765" s="80"/>
      <c r="S765" s="80"/>
      <c r="T765" s="83"/>
      <c r="U765" s="85"/>
      <c r="V765" s="85"/>
      <c r="W765" s="85"/>
      <c r="X765" s="85"/>
      <c r="Y765" s="85"/>
      <c r="Z765" s="85"/>
      <c r="AA765" s="85"/>
      <c r="AB765" s="85"/>
      <c r="AC765" s="85"/>
      <c r="AD765" s="85"/>
      <c r="AE765" s="85"/>
      <c r="AF765" s="85"/>
      <c r="AG765" s="85"/>
      <c r="AH765" s="85"/>
      <c r="AI765" s="85"/>
      <c r="AJ765" s="85"/>
      <c r="AK765" s="83"/>
      <c r="AL765" s="83"/>
      <c r="AM765" s="83"/>
      <c r="AN765" s="83"/>
    </row>
    <row r="766" spans="2:40" ht="15.75" customHeight="1">
      <c r="B766" s="83"/>
      <c r="C766" s="80"/>
      <c r="D766" s="80"/>
      <c r="E766" s="80"/>
      <c r="F766" s="188"/>
      <c r="G766" s="80"/>
      <c r="H766" s="80"/>
      <c r="I766" s="80"/>
      <c r="J766" s="187"/>
      <c r="K766" s="80"/>
      <c r="L766" s="80"/>
      <c r="M766" s="80"/>
      <c r="N766" s="80"/>
      <c r="O766" s="80"/>
      <c r="P766" s="80"/>
      <c r="Q766" s="80"/>
      <c r="R766" s="80"/>
      <c r="S766" s="80"/>
      <c r="T766" s="83"/>
      <c r="U766" s="85"/>
      <c r="V766" s="85"/>
      <c r="W766" s="85"/>
      <c r="X766" s="85"/>
      <c r="Y766" s="85"/>
      <c r="Z766" s="85"/>
      <c r="AA766" s="85"/>
      <c r="AB766" s="85"/>
      <c r="AC766" s="85"/>
      <c r="AD766" s="85"/>
      <c r="AE766" s="85"/>
      <c r="AF766" s="85"/>
      <c r="AG766" s="85"/>
      <c r="AH766" s="85"/>
      <c r="AI766" s="85"/>
      <c r="AJ766" s="85"/>
      <c r="AK766" s="83"/>
      <c r="AL766" s="83"/>
      <c r="AM766" s="83"/>
      <c r="AN766" s="83"/>
    </row>
    <row r="767" spans="2:40" ht="15.75" customHeight="1">
      <c r="B767" s="83"/>
      <c r="C767" s="80"/>
      <c r="D767" s="80"/>
      <c r="E767" s="80"/>
      <c r="F767" s="188"/>
      <c r="G767" s="80"/>
      <c r="H767" s="80"/>
      <c r="I767" s="80"/>
      <c r="J767" s="187"/>
      <c r="K767" s="80"/>
      <c r="L767" s="80"/>
      <c r="M767" s="80"/>
      <c r="N767" s="80"/>
      <c r="O767" s="80"/>
      <c r="P767" s="80"/>
      <c r="Q767" s="80"/>
      <c r="R767" s="80"/>
      <c r="S767" s="80"/>
      <c r="T767" s="83"/>
      <c r="U767" s="85"/>
      <c r="V767" s="85"/>
      <c r="W767" s="85"/>
      <c r="X767" s="85"/>
      <c r="Y767" s="85"/>
      <c r="Z767" s="85"/>
      <c r="AA767" s="85"/>
      <c r="AB767" s="85"/>
      <c r="AC767" s="85"/>
      <c r="AD767" s="85"/>
      <c r="AE767" s="85"/>
      <c r="AF767" s="85"/>
      <c r="AG767" s="85"/>
      <c r="AH767" s="85"/>
      <c r="AI767" s="85"/>
      <c r="AJ767" s="85"/>
      <c r="AK767" s="83"/>
      <c r="AL767" s="83"/>
      <c r="AM767" s="83"/>
      <c r="AN767" s="83"/>
    </row>
    <row r="768" spans="2:40" ht="15.75" customHeight="1">
      <c r="B768" s="83"/>
      <c r="C768" s="80"/>
      <c r="D768" s="80"/>
      <c r="E768" s="80"/>
      <c r="F768" s="188"/>
      <c r="G768" s="80"/>
      <c r="H768" s="80"/>
      <c r="I768" s="80"/>
      <c r="J768" s="187"/>
      <c r="K768" s="80"/>
      <c r="L768" s="80"/>
      <c r="M768" s="80"/>
      <c r="N768" s="80"/>
      <c r="O768" s="80"/>
      <c r="P768" s="80"/>
      <c r="Q768" s="80"/>
      <c r="R768" s="80"/>
      <c r="S768" s="80"/>
      <c r="T768" s="83"/>
      <c r="U768" s="85"/>
      <c r="V768" s="85"/>
      <c r="W768" s="85"/>
      <c r="X768" s="85"/>
      <c r="Y768" s="85"/>
      <c r="Z768" s="85"/>
      <c r="AA768" s="85"/>
      <c r="AB768" s="85"/>
      <c r="AC768" s="85"/>
      <c r="AD768" s="85"/>
      <c r="AE768" s="85"/>
      <c r="AF768" s="85"/>
      <c r="AG768" s="85"/>
      <c r="AH768" s="85"/>
      <c r="AI768" s="85"/>
      <c r="AJ768" s="85"/>
      <c r="AK768" s="83"/>
      <c r="AL768" s="83"/>
      <c r="AM768" s="83"/>
      <c r="AN768" s="83"/>
    </row>
    <row r="769" spans="2:40" ht="15.75" customHeight="1">
      <c r="B769" s="83"/>
      <c r="C769" s="80"/>
      <c r="D769" s="80"/>
      <c r="E769" s="80"/>
      <c r="F769" s="188"/>
      <c r="G769" s="80"/>
      <c r="H769" s="80"/>
      <c r="I769" s="80"/>
      <c r="J769" s="187"/>
      <c r="K769" s="80"/>
      <c r="L769" s="80"/>
      <c r="M769" s="80"/>
      <c r="N769" s="80"/>
      <c r="O769" s="80"/>
      <c r="P769" s="80"/>
      <c r="Q769" s="80"/>
      <c r="R769" s="80"/>
      <c r="S769" s="80"/>
      <c r="T769" s="83"/>
      <c r="U769" s="85"/>
      <c r="V769" s="85"/>
      <c r="W769" s="85"/>
      <c r="X769" s="85"/>
      <c r="Y769" s="85"/>
      <c r="Z769" s="85"/>
      <c r="AA769" s="85"/>
      <c r="AB769" s="85"/>
      <c r="AC769" s="85"/>
      <c r="AD769" s="85"/>
      <c r="AE769" s="85"/>
      <c r="AF769" s="85"/>
      <c r="AG769" s="85"/>
      <c r="AH769" s="85"/>
      <c r="AI769" s="85"/>
      <c r="AJ769" s="85"/>
      <c r="AK769" s="83"/>
      <c r="AL769" s="83"/>
      <c r="AM769" s="83"/>
      <c r="AN769" s="83"/>
    </row>
    <row r="770" spans="2:40" ht="15.75" customHeight="1">
      <c r="B770" s="83"/>
      <c r="C770" s="80"/>
      <c r="D770" s="80"/>
      <c r="E770" s="80"/>
      <c r="F770" s="188"/>
      <c r="G770" s="80"/>
      <c r="H770" s="80"/>
      <c r="I770" s="80"/>
      <c r="J770" s="187"/>
      <c r="K770" s="80"/>
      <c r="L770" s="80"/>
      <c r="M770" s="80"/>
      <c r="N770" s="80"/>
      <c r="O770" s="80"/>
      <c r="P770" s="80"/>
      <c r="Q770" s="80"/>
      <c r="R770" s="80"/>
      <c r="S770" s="80"/>
      <c r="T770" s="83"/>
      <c r="U770" s="85"/>
      <c r="V770" s="85"/>
      <c r="W770" s="85"/>
      <c r="X770" s="85"/>
      <c r="Y770" s="85"/>
      <c r="Z770" s="85"/>
      <c r="AA770" s="85"/>
      <c r="AB770" s="85"/>
      <c r="AC770" s="85"/>
      <c r="AD770" s="85"/>
      <c r="AE770" s="85"/>
      <c r="AF770" s="85"/>
      <c r="AG770" s="85"/>
      <c r="AH770" s="85"/>
      <c r="AI770" s="85"/>
      <c r="AJ770" s="85"/>
      <c r="AK770" s="83"/>
      <c r="AL770" s="83"/>
      <c r="AM770" s="83"/>
      <c r="AN770" s="83"/>
    </row>
    <row r="771" spans="2:40" ht="15.75" customHeight="1">
      <c r="B771" s="83"/>
      <c r="C771" s="80"/>
      <c r="D771" s="80"/>
      <c r="E771" s="80"/>
      <c r="F771" s="188"/>
      <c r="G771" s="80"/>
      <c r="H771" s="80"/>
      <c r="I771" s="80"/>
      <c r="J771" s="187"/>
      <c r="K771" s="80"/>
      <c r="L771" s="80"/>
      <c r="M771" s="80"/>
      <c r="N771" s="80"/>
      <c r="O771" s="80"/>
      <c r="P771" s="80"/>
      <c r="Q771" s="80"/>
      <c r="R771" s="80"/>
      <c r="S771" s="80"/>
      <c r="T771" s="83"/>
      <c r="U771" s="85"/>
      <c r="V771" s="85"/>
      <c r="W771" s="85"/>
      <c r="X771" s="85"/>
      <c r="Y771" s="85"/>
      <c r="Z771" s="85"/>
      <c r="AA771" s="85"/>
      <c r="AB771" s="85"/>
      <c r="AC771" s="85"/>
      <c r="AD771" s="85"/>
      <c r="AE771" s="85"/>
      <c r="AF771" s="85"/>
      <c r="AG771" s="85"/>
      <c r="AH771" s="85"/>
      <c r="AI771" s="85"/>
      <c r="AJ771" s="85"/>
      <c r="AK771" s="83"/>
      <c r="AL771" s="83"/>
      <c r="AM771" s="83"/>
      <c r="AN771" s="83"/>
    </row>
    <row r="772" spans="2:40" ht="15.75" customHeight="1">
      <c r="B772" s="83"/>
      <c r="C772" s="80"/>
      <c r="D772" s="80"/>
      <c r="E772" s="80"/>
      <c r="F772" s="188"/>
      <c r="G772" s="80"/>
      <c r="H772" s="80"/>
      <c r="I772" s="80"/>
      <c r="J772" s="187"/>
      <c r="K772" s="80"/>
      <c r="L772" s="80"/>
      <c r="M772" s="80"/>
      <c r="N772" s="80"/>
      <c r="O772" s="80"/>
      <c r="P772" s="80"/>
      <c r="Q772" s="80"/>
      <c r="R772" s="80"/>
      <c r="S772" s="80"/>
      <c r="T772" s="83"/>
      <c r="U772" s="85"/>
      <c r="V772" s="85"/>
      <c r="W772" s="85"/>
      <c r="X772" s="85"/>
      <c r="Y772" s="85"/>
      <c r="Z772" s="85"/>
      <c r="AA772" s="85"/>
      <c r="AB772" s="85"/>
      <c r="AC772" s="85"/>
      <c r="AD772" s="85"/>
      <c r="AE772" s="85"/>
      <c r="AF772" s="85"/>
      <c r="AG772" s="85"/>
      <c r="AH772" s="85"/>
      <c r="AI772" s="85"/>
      <c r="AJ772" s="85"/>
      <c r="AK772" s="83"/>
      <c r="AL772" s="83"/>
      <c r="AM772" s="83"/>
      <c r="AN772" s="83"/>
    </row>
    <row r="773" spans="2:40" ht="15.75" customHeight="1">
      <c r="B773" s="83"/>
      <c r="C773" s="80"/>
      <c r="D773" s="80"/>
      <c r="E773" s="80"/>
      <c r="F773" s="188"/>
      <c r="G773" s="80"/>
      <c r="H773" s="80"/>
      <c r="I773" s="80"/>
      <c r="J773" s="187"/>
      <c r="K773" s="80"/>
      <c r="L773" s="80"/>
      <c r="M773" s="80"/>
      <c r="N773" s="80"/>
      <c r="O773" s="80"/>
      <c r="P773" s="80"/>
      <c r="Q773" s="80"/>
      <c r="R773" s="80"/>
      <c r="S773" s="80"/>
      <c r="T773" s="83"/>
      <c r="U773" s="85"/>
      <c r="V773" s="85"/>
      <c r="W773" s="85"/>
      <c r="X773" s="85"/>
      <c r="Y773" s="85"/>
      <c r="Z773" s="85"/>
      <c r="AA773" s="85"/>
      <c r="AB773" s="85"/>
      <c r="AC773" s="85"/>
      <c r="AD773" s="85"/>
      <c r="AE773" s="85"/>
      <c r="AF773" s="85"/>
      <c r="AG773" s="85"/>
      <c r="AH773" s="85"/>
      <c r="AI773" s="85"/>
      <c r="AJ773" s="85"/>
      <c r="AK773" s="83"/>
      <c r="AL773" s="83"/>
      <c r="AM773" s="83"/>
      <c r="AN773" s="83"/>
    </row>
    <row r="774" spans="2:40" ht="15.75" customHeight="1">
      <c r="B774" s="83"/>
      <c r="C774" s="80"/>
      <c r="D774" s="80"/>
      <c r="E774" s="80"/>
      <c r="F774" s="188"/>
      <c r="G774" s="80"/>
      <c r="H774" s="80"/>
      <c r="I774" s="80"/>
      <c r="J774" s="187"/>
      <c r="K774" s="80"/>
      <c r="L774" s="80"/>
      <c r="M774" s="80"/>
      <c r="N774" s="80"/>
      <c r="O774" s="80"/>
      <c r="P774" s="80"/>
      <c r="Q774" s="80"/>
      <c r="R774" s="80"/>
      <c r="S774" s="80"/>
      <c r="T774" s="83"/>
      <c r="U774" s="85"/>
      <c r="V774" s="85"/>
      <c r="W774" s="85"/>
      <c r="X774" s="85"/>
      <c r="Y774" s="85"/>
      <c r="Z774" s="85"/>
      <c r="AA774" s="85"/>
      <c r="AB774" s="85"/>
      <c r="AC774" s="85"/>
      <c r="AD774" s="85"/>
      <c r="AE774" s="85"/>
      <c r="AF774" s="85"/>
      <c r="AG774" s="85"/>
      <c r="AH774" s="85"/>
      <c r="AI774" s="85"/>
      <c r="AJ774" s="85"/>
      <c r="AK774" s="83"/>
      <c r="AL774" s="83"/>
      <c r="AM774" s="83"/>
      <c r="AN774" s="83"/>
    </row>
    <row r="775" spans="2:40" ht="15.75" customHeight="1">
      <c r="B775" s="83"/>
      <c r="C775" s="80"/>
      <c r="D775" s="80"/>
      <c r="E775" s="80"/>
      <c r="F775" s="188"/>
      <c r="G775" s="80"/>
      <c r="H775" s="80"/>
      <c r="I775" s="80"/>
      <c r="J775" s="187"/>
      <c r="K775" s="80"/>
      <c r="L775" s="80"/>
      <c r="M775" s="80"/>
      <c r="N775" s="80"/>
      <c r="O775" s="80"/>
      <c r="P775" s="80"/>
      <c r="Q775" s="80"/>
      <c r="R775" s="80"/>
      <c r="S775" s="80"/>
      <c r="T775" s="83"/>
      <c r="U775" s="85"/>
      <c r="V775" s="85"/>
      <c r="W775" s="85"/>
      <c r="X775" s="85"/>
      <c r="Y775" s="85"/>
      <c r="Z775" s="85"/>
      <c r="AA775" s="85"/>
      <c r="AB775" s="85"/>
      <c r="AC775" s="85"/>
      <c r="AD775" s="85"/>
      <c r="AE775" s="85"/>
      <c r="AF775" s="85"/>
      <c r="AG775" s="85"/>
      <c r="AH775" s="85"/>
      <c r="AI775" s="85"/>
      <c r="AJ775" s="85"/>
      <c r="AK775" s="83"/>
      <c r="AL775" s="83"/>
      <c r="AM775" s="83"/>
      <c r="AN775" s="83"/>
    </row>
    <row r="776" spans="2:40" ht="15.75" customHeight="1">
      <c r="B776" s="83"/>
      <c r="C776" s="80"/>
      <c r="D776" s="80"/>
      <c r="E776" s="80"/>
      <c r="F776" s="188"/>
      <c r="G776" s="80"/>
      <c r="H776" s="80"/>
      <c r="I776" s="80"/>
      <c r="J776" s="187"/>
      <c r="K776" s="80"/>
      <c r="L776" s="80"/>
      <c r="M776" s="80"/>
      <c r="N776" s="80"/>
      <c r="O776" s="80"/>
      <c r="P776" s="80"/>
      <c r="Q776" s="80"/>
      <c r="R776" s="80"/>
      <c r="S776" s="80"/>
      <c r="T776" s="83"/>
      <c r="U776" s="85"/>
      <c r="V776" s="85"/>
      <c r="W776" s="85"/>
      <c r="X776" s="85"/>
      <c r="Y776" s="85"/>
      <c r="Z776" s="85"/>
      <c r="AA776" s="85"/>
      <c r="AB776" s="85"/>
      <c r="AC776" s="85"/>
      <c r="AD776" s="85"/>
      <c r="AE776" s="85"/>
      <c r="AF776" s="85"/>
      <c r="AG776" s="85"/>
      <c r="AH776" s="85"/>
      <c r="AI776" s="85"/>
      <c r="AJ776" s="85"/>
      <c r="AK776" s="83"/>
      <c r="AL776" s="83"/>
      <c r="AM776" s="83"/>
      <c r="AN776" s="83"/>
    </row>
    <row r="777" spans="2:40" ht="15.75" customHeight="1">
      <c r="B777" s="83"/>
      <c r="C777" s="80"/>
      <c r="D777" s="80"/>
      <c r="E777" s="80"/>
      <c r="F777" s="188"/>
      <c r="G777" s="80"/>
      <c r="H777" s="80"/>
      <c r="I777" s="80"/>
      <c r="J777" s="187"/>
      <c r="K777" s="80"/>
      <c r="L777" s="80"/>
      <c r="M777" s="80"/>
      <c r="N777" s="80"/>
      <c r="O777" s="80"/>
      <c r="P777" s="80"/>
      <c r="Q777" s="80"/>
      <c r="R777" s="80"/>
      <c r="S777" s="80"/>
      <c r="T777" s="83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3"/>
      <c r="AL777" s="83"/>
      <c r="AM777" s="83"/>
      <c r="AN777" s="83"/>
    </row>
    <row r="778" spans="2:40" ht="15.75" customHeight="1">
      <c r="B778" s="83"/>
      <c r="C778" s="80"/>
      <c r="D778" s="80"/>
      <c r="E778" s="80"/>
      <c r="F778" s="188"/>
      <c r="G778" s="80"/>
      <c r="H778" s="80"/>
      <c r="I778" s="80"/>
      <c r="J778" s="187"/>
      <c r="K778" s="80"/>
      <c r="L778" s="80"/>
      <c r="M778" s="80"/>
      <c r="N778" s="80"/>
      <c r="O778" s="80"/>
      <c r="P778" s="80"/>
      <c r="Q778" s="80"/>
      <c r="R778" s="80"/>
      <c r="S778" s="80"/>
      <c r="T778" s="83"/>
      <c r="U778" s="85"/>
      <c r="V778" s="85"/>
      <c r="W778" s="85"/>
      <c r="X778" s="85"/>
      <c r="Y778" s="85"/>
      <c r="Z778" s="85"/>
      <c r="AA778" s="85"/>
      <c r="AB778" s="85"/>
      <c r="AC778" s="85"/>
      <c r="AD778" s="85"/>
      <c r="AE778" s="85"/>
      <c r="AF778" s="85"/>
      <c r="AG778" s="85"/>
      <c r="AH778" s="85"/>
      <c r="AI778" s="85"/>
      <c r="AJ778" s="85"/>
      <c r="AK778" s="83"/>
      <c r="AL778" s="83"/>
      <c r="AM778" s="83"/>
      <c r="AN778" s="83"/>
    </row>
    <row r="779" spans="2:40" ht="15.75" customHeight="1">
      <c r="B779" s="83"/>
      <c r="C779" s="80"/>
      <c r="D779" s="80"/>
      <c r="E779" s="80"/>
      <c r="F779" s="188"/>
      <c r="G779" s="80"/>
      <c r="H779" s="80"/>
      <c r="I779" s="80"/>
      <c r="J779" s="187"/>
      <c r="K779" s="80"/>
      <c r="L779" s="80"/>
      <c r="M779" s="80"/>
      <c r="N779" s="80"/>
      <c r="O779" s="80"/>
      <c r="P779" s="80"/>
      <c r="Q779" s="80"/>
      <c r="R779" s="80"/>
      <c r="S779" s="80"/>
      <c r="T779" s="83"/>
      <c r="U779" s="85"/>
      <c r="V779" s="85"/>
      <c r="W779" s="85"/>
      <c r="X779" s="85"/>
      <c r="Y779" s="85"/>
      <c r="Z779" s="85"/>
      <c r="AA779" s="85"/>
      <c r="AB779" s="85"/>
      <c r="AC779" s="85"/>
      <c r="AD779" s="85"/>
      <c r="AE779" s="85"/>
      <c r="AF779" s="85"/>
      <c r="AG779" s="85"/>
      <c r="AH779" s="85"/>
      <c r="AI779" s="85"/>
      <c r="AJ779" s="85"/>
      <c r="AK779" s="83"/>
      <c r="AL779" s="83"/>
      <c r="AM779" s="83"/>
      <c r="AN779" s="83"/>
    </row>
    <row r="780" spans="2:40" ht="15.75" customHeight="1">
      <c r="B780" s="83"/>
      <c r="C780" s="80"/>
      <c r="D780" s="80"/>
      <c r="E780" s="80"/>
      <c r="F780" s="188"/>
      <c r="G780" s="80"/>
      <c r="H780" s="80"/>
      <c r="I780" s="80"/>
      <c r="J780" s="187"/>
      <c r="K780" s="80"/>
      <c r="L780" s="80"/>
      <c r="M780" s="80"/>
      <c r="N780" s="80"/>
      <c r="O780" s="80"/>
      <c r="P780" s="80"/>
      <c r="Q780" s="80"/>
      <c r="R780" s="80"/>
      <c r="S780" s="80"/>
      <c r="T780" s="83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  <c r="AK780" s="83"/>
      <c r="AL780" s="83"/>
      <c r="AM780" s="83"/>
      <c r="AN780" s="83"/>
    </row>
    <row r="781" spans="2:40" ht="15.75" customHeight="1">
      <c r="B781" s="83"/>
      <c r="C781" s="80"/>
      <c r="D781" s="80"/>
      <c r="E781" s="80"/>
      <c r="F781" s="188"/>
      <c r="G781" s="80"/>
      <c r="H781" s="80"/>
      <c r="I781" s="80"/>
      <c r="J781" s="187"/>
      <c r="K781" s="80"/>
      <c r="L781" s="80"/>
      <c r="M781" s="80"/>
      <c r="N781" s="80"/>
      <c r="O781" s="80"/>
      <c r="P781" s="80"/>
      <c r="Q781" s="80"/>
      <c r="R781" s="80"/>
      <c r="S781" s="80"/>
      <c r="T781" s="83"/>
      <c r="U781" s="85"/>
      <c r="V781" s="85"/>
      <c r="W781" s="85"/>
      <c r="X781" s="85"/>
      <c r="Y781" s="85"/>
      <c r="Z781" s="85"/>
      <c r="AA781" s="85"/>
      <c r="AB781" s="85"/>
      <c r="AC781" s="85"/>
      <c r="AD781" s="85"/>
      <c r="AE781" s="85"/>
      <c r="AF781" s="85"/>
      <c r="AG781" s="85"/>
      <c r="AH781" s="85"/>
      <c r="AI781" s="85"/>
      <c r="AJ781" s="85"/>
      <c r="AK781" s="83"/>
      <c r="AL781" s="83"/>
      <c r="AM781" s="83"/>
      <c r="AN781" s="83"/>
    </row>
    <row r="782" spans="2:40" ht="15.75" customHeight="1">
      <c r="B782" s="83"/>
      <c r="C782" s="80"/>
      <c r="D782" s="80"/>
      <c r="E782" s="80"/>
      <c r="F782" s="188"/>
      <c r="G782" s="80"/>
      <c r="H782" s="80"/>
      <c r="I782" s="80"/>
      <c r="J782" s="187"/>
      <c r="K782" s="80"/>
      <c r="L782" s="80"/>
      <c r="M782" s="80"/>
      <c r="N782" s="80"/>
      <c r="O782" s="80"/>
      <c r="P782" s="80"/>
      <c r="Q782" s="80"/>
      <c r="R782" s="80"/>
      <c r="S782" s="80"/>
      <c r="T782" s="83"/>
      <c r="U782" s="85"/>
      <c r="V782" s="85"/>
      <c r="W782" s="85"/>
      <c r="X782" s="85"/>
      <c r="Y782" s="85"/>
      <c r="Z782" s="85"/>
      <c r="AA782" s="85"/>
      <c r="AB782" s="85"/>
      <c r="AC782" s="85"/>
      <c r="AD782" s="85"/>
      <c r="AE782" s="85"/>
      <c r="AF782" s="85"/>
      <c r="AG782" s="85"/>
      <c r="AH782" s="85"/>
      <c r="AI782" s="85"/>
      <c r="AJ782" s="85"/>
      <c r="AK782" s="83"/>
      <c r="AL782" s="83"/>
      <c r="AM782" s="83"/>
      <c r="AN782" s="83"/>
    </row>
    <row r="783" spans="2:40" ht="15.75" customHeight="1">
      <c r="B783" s="83"/>
      <c r="C783" s="80"/>
      <c r="D783" s="80"/>
      <c r="E783" s="80"/>
      <c r="F783" s="188"/>
      <c r="G783" s="80"/>
      <c r="H783" s="80"/>
      <c r="I783" s="80"/>
      <c r="J783" s="187"/>
      <c r="K783" s="80"/>
      <c r="L783" s="80"/>
      <c r="M783" s="80"/>
      <c r="N783" s="80"/>
      <c r="O783" s="80"/>
      <c r="P783" s="80"/>
      <c r="Q783" s="80"/>
      <c r="R783" s="80"/>
      <c r="S783" s="80"/>
      <c r="T783" s="83"/>
      <c r="U783" s="85"/>
      <c r="V783" s="85"/>
      <c r="W783" s="85"/>
      <c r="X783" s="85"/>
      <c r="Y783" s="85"/>
      <c r="Z783" s="85"/>
      <c r="AA783" s="85"/>
      <c r="AB783" s="85"/>
      <c r="AC783" s="85"/>
      <c r="AD783" s="85"/>
      <c r="AE783" s="85"/>
      <c r="AF783" s="85"/>
      <c r="AG783" s="85"/>
      <c r="AH783" s="85"/>
      <c r="AI783" s="85"/>
      <c r="AJ783" s="85"/>
      <c r="AK783" s="83"/>
      <c r="AL783" s="83"/>
      <c r="AM783" s="83"/>
      <c r="AN783" s="83"/>
    </row>
    <row r="784" spans="2:40" ht="15.75" customHeight="1">
      <c r="B784" s="83"/>
      <c r="C784" s="80"/>
      <c r="D784" s="80"/>
      <c r="E784" s="80"/>
      <c r="F784" s="188"/>
      <c r="G784" s="80"/>
      <c r="H784" s="80"/>
      <c r="I784" s="80"/>
      <c r="J784" s="187"/>
      <c r="K784" s="80"/>
      <c r="L784" s="80"/>
      <c r="M784" s="80"/>
      <c r="N784" s="80"/>
      <c r="O784" s="80"/>
      <c r="P784" s="80"/>
      <c r="Q784" s="80"/>
      <c r="R784" s="80"/>
      <c r="S784" s="80"/>
      <c r="T784" s="83"/>
      <c r="U784" s="85"/>
      <c r="V784" s="85"/>
      <c r="W784" s="85"/>
      <c r="X784" s="85"/>
      <c r="Y784" s="85"/>
      <c r="Z784" s="85"/>
      <c r="AA784" s="85"/>
      <c r="AB784" s="85"/>
      <c r="AC784" s="85"/>
      <c r="AD784" s="85"/>
      <c r="AE784" s="85"/>
      <c r="AF784" s="85"/>
      <c r="AG784" s="85"/>
      <c r="AH784" s="85"/>
      <c r="AI784" s="85"/>
      <c r="AJ784" s="85"/>
      <c r="AK784" s="83"/>
      <c r="AL784" s="83"/>
      <c r="AM784" s="83"/>
      <c r="AN784" s="83"/>
    </row>
    <row r="785" spans="2:40" ht="15.75" customHeight="1">
      <c r="B785" s="83"/>
      <c r="C785" s="80"/>
      <c r="D785" s="80"/>
      <c r="E785" s="80"/>
      <c r="F785" s="188"/>
      <c r="G785" s="80"/>
      <c r="H785" s="80"/>
      <c r="I785" s="80"/>
      <c r="J785" s="187"/>
      <c r="K785" s="80"/>
      <c r="L785" s="80"/>
      <c r="M785" s="80"/>
      <c r="N785" s="80"/>
      <c r="O785" s="80"/>
      <c r="P785" s="80"/>
      <c r="Q785" s="80"/>
      <c r="R785" s="80"/>
      <c r="S785" s="80"/>
      <c r="T785" s="83"/>
      <c r="U785" s="85"/>
      <c r="V785" s="85"/>
      <c r="W785" s="85"/>
      <c r="X785" s="85"/>
      <c r="Y785" s="85"/>
      <c r="Z785" s="85"/>
      <c r="AA785" s="85"/>
      <c r="AB785" s="85"/>
      <c r="AC785" s="85"/>
      <c r="AD785" s="85"/>
      <c r="AE785" s="85"/>
      <c r="AF785" s="85"/>
      <c r="AG785" s="85"/>
      <c r="AH785" s="85"/>
      <c r="AI785" s="85"/>
      <c r="AJ785" s="85"/>
      <c r="AK785" s="83"/>
      <c r="AL785" s="83"/>
      <c r="AM785" s="83"/>
      <c r="AN785" s="83"/>
    </row>
    <row r="786" spans="2:40" ht="15.75" customHeight="1">
      <c r="B786" s="83"/>
      <c r="C786" s="80"/>
      <c r="D786" s="80"/>
      <c r="E786" s="80"/>
      <c r="F786" s="188"/>
      <c r="G786" s="80"/>
      <c r="H786" s="80"/>
      <c r="I786" s="80"/>
      <c r="J786" s="187"/>
      <c r="K786" s="80"/>
      <c r="L786" s="80"/>
      <c r="M786" s="80"/>
      <c r="N786" s="80"/>
      <c r="O786" s="80"/>
      <c r="P786" s="80"/>
      <c r="Q786" s="80"/>
      <c r="R786" s="80"/>
      <c r="S786" s="80"/>
      <c r="T786" s="83"/>
      <c r="U786" s="85"/>
      <c r="V786" s="85"/>
      <c r="W786" s="85"/>
      <c r="X786" s="85"/>
      <c r="Y786" s="85"/>
      <c r="Z786" s="85"/>
      <c r="AA786" s="85"/>
      <c r="AB786" s="85"/>
      <c r="AC786" s="85"/>
      <c r="AD786" s="85"/>
      <c r="AE786" s="85"/>
      <c r="AF786" s="85"/>
      <c r="AG786" s="85"/>
      <c r="AH786" s="85"/>
      <c r="AI786" s="85"/>
      <c r="AJ786" s="85"/>
      <c r="AK786" s="83"/>
      <c r="AL786" s="83"/>
      <c r="AM786" s="83"/>
      <c r="AN786" s="83"/>
    </row>
    <row r="787" spans="2:40" ht="15.75" customHeight="1">
      <c r="B787" s="83"/>
      <c r="C787" s="80"/>
      <c r="D787" s="80"/>
      <c r="E787" s="80"/>
      <c r="F787" s="188"/>
      <c r="G787" s="80"/>
      <c r="H787" s="80"/>
      <c r="I787" s="80"/>
      <c r="J787" s="187"/>
      <c r="K787" s="80"/>
      <c r="L787" s="80"/>
      <c r="M787" s="80"/>
      <c r="N787" s="80"/>
      <c r="O787" s="80"/>
      <c r="P787" s="80"/>
      <c r="Q787" s="80"/>
      <c r="R787" s="80"/>
      <c r="S787" s="80"/>
      <c r="T787" s="83"/>
      <c r="U787" s="85"/>
      <c r="V787" s="85"/>
      <c r="W787" s="85"/>
      <c r="X787" s="85"/>
      <c r="Y787" s="85"/>
      <c r="Z787" s="85"/>
      <c r="AA787" s="85"/>
      <c r="AB787" s="85"/>
      <c r="AC787" s="85"/>
      <c r="AD787" s="85"/>
      <c r="AE787" s="85"/>
      <c r="AF787" s="85"/>
      <c r="AG787" s="85"/>
      <c r="AH787" s="85"/>
      <c r="AI787" s="85"/>
      <c r="AJ787" s="85"/>
      <c r="AK787" s="83"/>
      <c r="AL787" s="83"/>
      <c r="AM787" s="83"/>
      <c r="AN787" s="83"/>
    </row>
    <row r="788" spans="2:40" ht="15.75" customHeight="1">
      <c r="B788" s="83"/>
      <c r="C788" s="80"/>
      <c r="D788" s="80"/>
      <c r="E788" s="80"/>
      <c r="F788" s="188"/>
      <c r="G788" s="80"/>
      <c r="H788" s="80"/>
      <c r="I788" s="80"/>
      <c r="J788" s="187"/>
      <c r="K788" s="80"/>
      <c r="L788" s="80"/>
      <c r="M788" s="80"/>
      <c r="N788" s="80"/>
      <c r="O788" s="80"/>
      <c r="P788" s="80"/>
      <c r="Q788" s="80"/>
      <c r="R788" s="80"/>
      <c r="S788" s="80"/>
      <c r="T788" s="83"/>
      <c r="U788" s="85"/>
      <c r="V788" s="85"/>
      <c r="W788" s="85"/>
      <c r="X788" s="85"/>
      <c r="Y788" s="85"/>
      <c r="Z788" s="85"/>
      <c r="AA788" s="85"/>
      <c r="AB788" s="85"/>
      <c r="AC788" s="85"/>
      <c r="AD788" s="85"/>
      <c r="AE788" s="85"/>
      <c r="AF788" s="85"/>
      <c r="AG788" s="85"/>
      <c r="AH788" s="85"/>
      <c r="AI788" s="85"/>
      <c r="AJ788" s="85"/>
      <c r="AK788" s="83"/>
      <c r="AL788" s="83"/>
      <c r="AM788" s="83"/>
      <c r="AN788" s="83"/>
    </row>
    <row r="789" spans="2:40" ht="15.75" customHeight="1">
      <c r="B789" s="83"/>
      <c r="C789" s="80"/>
      <c r="D789" s="80"/>
      <c r="E789" s="80"/>
      <c r="F789" s="188"/>
      <c r="G789" s="80"/>
      <c r="H789" s="80"/>
      <c r="I789" s="80"/>
      <c r="J789" s="187"/>
      <c r="K789" s="80"/>
      <c r="L789" s="80"/>
      <c r="M789" s="80"/>
      <c r="N789" s="80"/>
      <c r="O789" s="80"/>
      <c r="P789" s="80"/>
      <c r="Q789" s="80"/>
      <c r="R789" s="80"/>
      <c r="S789" s="80"/>
      <c r="T789" s="83"/>
      <c r="U789" s="85"/>
      <c r="V789" s="85"/>
      <c r="W789" s="85"/>
      <c r="X789" s="85"/>
      <c r="Y789" s="85"/>
      <c r="Z789" s="85"/>
      <c r="AA789" s="85"/>
      <c r="AB789" s="85"/>
      <c r="AC789" s="85"/>
      <c r="AD789" s="85"/>
      <c r="AE789" s="85"/>
      <c r="AF789" s="85"/>
      <c r="AG789" s="85"/>
      <c r="AH789" s="85"/>
      <c r="AI789" s="85"/>
      <c r="AJ789" s="85"/>
      <c r="AK789" s="83"/>
      <c r="AL789" s="83"/>
      <c r="AM789" s="83"/>
      <c r="AN789" s="83"/>
    </row>
    <row r="790" spans="2:40" ht="15.75" customHeight="1">
      <c r="B790" s="83"/>
      <c r="C790" s="80"/>
      <c r="D790" s="80"/>
      <c r="E790" s="80"/>
      <c r="F790" s="188"/>
      <c r="G790" s="80"/>
      <c r="H790" s="80"/>
      <c r="I790" s="80"/>
      <c r="J790" s="187"/>
      <c r="K790" s="80"/>
      <c r="L790" s="80"/>
      <c r="M790" s="80"/>
      <c r="N790" s="80"/>
      <c r="O790" s="80"/>
      <c r="P790" s="80"/>
      <c r="Q790" s="80"/>
      <c r="R790" s="80"/>
      <c r="S790" s="80"/>
      <c r="T790" s="83"/>
      <c r="U790" s="85"/>
      <c r="V790" s="85"/>
      <c r="W790" s="85"/>
      <c r="X790" s="85"/>
      <c r="Y790" s="85"/>
      <c r="Z790" s="85"/>
      <c r="AA790" s="85"/>
      <c r="AB790" s="85"/>
      <c r="AC790" s="85"/>
      <c r="AD790" s="85"/>
      <c r="AE790" s="85"/>
      <c r="AF790" s="85"/>
      <c r="AG790" s="85"/>
      <c r="AH790" s="85"/>
      <c r="AI790" s="85"/>
      <c r="AJ790" s="85"/>
      <c r="AK790" s="83"/>
      <c r="AL790" s="83"/>
      <c r="AM790" s="83"/>
      <c r="AN790" s="83"/>
    </row>
    <row r="791" spans="2:40" ht="15.75" customHeight="1">
      <c r="B791" s="83"/>
      <c r="C791" s="80"/>
      <c r="D791" s="80"/>
      <c r="E791" s="80"/>
      <c r="F791" s="188"/>
      <c r="G791" s="80"/>
      <c r="H791" s="80"/>
      <c r="I791" s="80"/>
      <c r="J791" s="187"/>
      <c r="K791" s="80"/>
      <c r="L791" s="80"/>
      <c r="M791" s="80"/>
      <c r="N791" s="80"/>
      <c r="O791" s="80"/>
      <c r="P791" s="80"/>
      <c r="Q791" s="80"/>
      <c r="R791" s="80"/>
      <c r="S791" s="80"/>
      <c r="T791" s="83"/>
      <c r="U791" s="85"/>
      <c r="V791" s="85"/>
      <c r="W791" s="85"/>
      <c r="X791" s="85"/>
      <c r="Y791" s="85"/>
      <c r="Z791" s="85"/>
      <c r="AA791" s="85"/>
      <c r="AB791" s="85"/>
      <c r="AC791" s="85"/>
      <c r="AD791" s="85"/>
      <c r="AE791" s="85"/>
      <c r="AF791" s="85"/>
      <c r="AG791" s="85"/>
      <c r="AH791" s="85"/>
      <c r="AI791" s="85"/>
      <c r="AJ791" s="85"/>
      <c r="AK791" s="83"/>
      <c r="AL791" s="83"/>
      <c r="AM791" s="83"/>
      <c r="AN791" s="83"/>
    </row>
    <row r="792" spans="2:40" ht="15.75" customHeight="1">
      <c r="B792" s="83"/>
      <c r="C792" s="80"/>
      <c r="D792" s="80"/>
      <c r="E792" s="80"/>
      <c r="F792" s="188"/>
      <c r="G792" s="80"/>
      <c r="H792" s="80"/>
      <c r="I792" s="80"/>
      <c r="J792" s="187"/>
      <c r="K792" s="80"/>
      <c r="L792" s="80"/>
      <c r="M792" s="80"/>
      <c r="N792" s="80"/>
      <c r="O792" s="80"/>
      <c r="P792" s="80"/>
      <c r="Q792" s="80"/>
      <c r="R792" s="80"/>
      <c r="S792" s="80"/>
      <c r="T792" s="83"/>
      <c r="U792" s="85"/>
      <c r="V792" s="85"/>
      <c r="W792" s="85"/>
      <c r="X792" s="85"/>
      <c r="Y792" s="85"/>
      <c r="Z792" s="85"/>
      <c r="AA792" s="85"/>
      <c r="AB792" s="85"/>
      <c r="AC792" s="85"/>
      <c r="AD792" s="85"/>
      <c r="AE792" s="85"/>
      <c r="AF792" s="85"/>
      <c r="AG792" s="85"/>
      <c r="AH792" s="85"/>
      <c r="AI792" s="85"/>
      <c r="AJ792" s="85"/>
      <c r="AK792" s="83"/>
      <c r="AL792" s="83"/>
      <c r="AM792" s="83"/>
      <c r="AN792" s="83"/>
    </row>
    <row r="793" spans="2:40" ht="15.75" customHeight="1">
      <c r="B793" s="83"/>
      <c r="C793" s="80"/>
      <c r="D793" s="80"/>
      <c r="E793" s="80"/>
      <c r="F793" s="188"/>
      <c r="G793" s="80"/>
      <c r="H793" s="80"/>
      <c r="I793" s="80"/>
      <c r="J793" s="187"/>
      <c r="K793" s="80"/>
      <c r="L793" s="80"/>
      <c r="M793" s="80"/>
      <c r="N793" s="80"/>
      <c r="O793" s="80"/>
      <c r="P793" s="80"/>
      <c r="Q793" s="80"/>
      <c r="R793" s="80"/>
      <c r="S793" s="80"/>
      <c r="T793" s="83"/>
      <c r="U793" s="85"/>
      <c r="V793" s="85"/>
      <c r="W793" s="85"/>
      <c r="X793" s="85"/>
      <c r="Y793" s="85"/>
      <c r="Z793" s="85"/>
      <c r="AA793" s="85"/>
      <c r="AB793" s="85"/>
      <c r="AC793" s="85"/>
      <c r="AD793" s="85"/>
      <c r="AE793" s="85"/>
      <c r="AF793" s="85"/>
      <c r="AG793" s="85"/>
      <c r="AH793" s="85"/>
      <c r="AI793" s="85"/>
      <c r="AJ793" s="85"/>
      <c r="AK793" s="83"/>
      <c r="AL793" s="83"/>
      <c r="AM793" s="83"/>
      <c r="AN793" s="83"/>
    </row>
    <row r="794" spans="2:40" ht="15.75" customHeight="1">
      <c r="B794" s="83"/>
      <c r="C794" s="80"/>
      <c r="D794" s="80"/>
      <c r="E794" s="80"/>
      <c r="F794" s="188"/>
      <c r="G794" s="80"/>
      <c r="H794" s="80"/>
      <c r="I794" s="80"/>
      <c r="J794" s="187"/>
      <c r="K794" s="80"/>
      <c r="L794" s="80"/>
      <c r="M794" s="80"/>
      <c r="N794" s="80"/>
      <c r="O794" s="80"/>
      <c r="P794" s="80"/>
      <c r="Q794" s="80"/>
      <c r="R794" s="80"/>
      <c r="S794" s="80"/>
      <c r="T794" s="83"/>
      <c r="U794" s="85"/>
      <c r="V794" s="85"/>
      <c r="W794" s="85"/>
      <c r="X794" s="85"/>
      <c r="Y794" s="85"/>
      <c r="Z794" s="85"/>
      <c r="AA794" s="85"/>
      <c r="AB794" s="85"/>
      <c r="AC794" s="85"/>
      <c r="AD794" s="85"/>
      <c r="AE794" s="85"/>
      <c r="AF794" s="85"/>
      <c r="AG794" s="85"/>
      <c r="AH794" s="85"/>
      <c r="AI794" s="85"/>
      <c r="AJ794" s="85"/>
      <c r="AK794" s="83"/>
      <c r="AL794" s="83"/>
      <c r="AM794" s="83"/>
      <c r="AN794" s="83"/>
    </row>
    <row r="795" spans="2:40" ht="15.75" customHeight="1">
      <c r="B795" s="83"/>
      <c r="C795" s="80"/>
      <c r="D795" s="80"/>
      <c r="E795" s="80"/>
      <c r="F795" s="188"/>
      <c r="G795" s="80"/>
      <c r="H795" s="80"/>
      <c r="I795" s="80"/>
      <c r="J795" s="187"/>
      <c r="K795" s="80"/>
      <c r="L795" s="80"/>
      <c r="M795" s="80"/>
      <c r="N795" s="80"/>
      <c r="O795" s="80"/>
      <c r="P795" s="80"/>
      <c r="Q795" s="80"/>
      <c r="R795" s="80"/>
      <c r="S795" s="80"/>
      <c r="T795" s="83"/>
      <c r="U795" s="85"/>
      <c r="V795" s="85"/>
      <c r="W795" s="85"/>
      <c r="X795" s="85"/>
      <c r="Y795" s="85"/>
      <c r="Z795" s="85"/>
      <c r="AA795" s="85"/>
      <c r="AB795" s="85"/>
      <c r="AC795" s="85"/>
      <c r="AD795" s="85"/>
      <c r="AE795" s="85"/>
      <c r="AF795" s="85"/>
      <c r="AG795" s="85"/>
      <c r="AH795" s="85"/>
      <c r="AI795" s="85"/>
      <c r="AJ795" s="85"/>
      <c r="AK795" s="83"/>
      <c r="AL795" s="83"/>
      <c r="AM795" s="83"/>
      <c r="AN795" s="83"/>
    </row>
    <row r="796" spans="2:40" ht="15.75" customHeight="1">
      <c r="B796" s="83"/>
      <c r="C796" s="80"/>
      <c r="D796" s="80"/>
      <c r="E796" s="80"/>
      <c r="F796" s="188"/>
      <c r="G796" s="80"/>
      <c r="H796" s="80"/>
      <c r="I796" s="80"/>
      <c r="J796" s="187"/>
      <c r="K796" s="80"/>
      <c r="L796" s="80"/>
      <c r="M796" s="80"/>
      <c r="N796" s="80"/>
      <c r="O796" s="80"/>
      <c r="P796" s="80"/>
      <c r="Q796" s="80"/>
      <c r="R796" s="80"/>
      <c r="S796" s="80"/>
      <c r="T796" s="83"/>
      <c r="U796" s="85"/>
      <c r="V796" s="85"/>
      <c r="W796" s="85"/>
      <c r="X796" s="85"/>
      <c r="Y796" s="85"/>
      <c r="Z796" s="85"/>
      <c r="AA796" s="85"/>
      <c r="AB796" s="85"/>
      <c r="AC796" s="85"/>
      <c r="AD796" s="85"/>
      <c r="AE796" s="85"/>
      <c r="AF796" s="85"/>
      <c r="AG796" s="85"/>
      <c r="AH796" s="85"/>
      <c r="AI796" s="85"/>
      <c r="AJ796" s="85"/>
      <c r="AK796" s="83"/>
      <c r="AL796" s="83"/>
      <c r="AM796" s="83"/>
      <c r="AN796" s="83"/>
    </row>
    <row r="797" spans="2:40" ht="15.75" customHeight="1">
      <c r="B797" s="83"/>
      <c r="C797" s="80"/>
      <c r="D797" s="80"/>
      <c r="E797" s="80"/>
      <c r="F797" s="188"/>
      <c r="G797" s="80"/>
      <c r="H797" s="80"/>
      <c r="I797" s="80"/>
      <c r="J797" s="187"/>
      <c r="K797" s="80"/>
      <c r="L797" s="80"/>
      <c r="M797" s="80"/>
      <c r="N797" s="80"/>
      <c r="O797" s="80"/>
      <c r="P797" s="80"/>
      <c r="Q797" s="80"/>
      <c r="R797" s="80"/>
      <c r="S797" s="80"/>
      <c r="T797" s="83"/>
      <c r="U797" s="85"/>
      <c r="V797" s="85"/>
      <c r="W797" s="85"/>
      <c r="X797" s="85"/>
      <c r="Y797" s="85"/>
      <c r="Z797" s="85"/>
      <c r="AA797" s="85"/>
      <c r="AB797" s="85"/>
      <c r="AC797" s="85"/>
      <c r="AD797" s="85"/>
      <c r="AE797" s="85"/>
      <c r="AF797" s="85"/>
      <c r="AG797" s="85"/>
      <c r="AH797" s="85"/>
      <c r="AI797" s="85"/>
      <c r="AJ797" s="85"/>
      <c r="AK797" s="83"/>
      <c r="AL797" s="83"/>
      <c r="AM797" s="83"/>
      <c r="AN797" s="83"/>
    </row>
    <row r="798" spans="2:40" ht="15.75" customHeight="1">
      <c r="B798" s="83"/>
      <c r="C798" s="80"/>
      <c r="D798" s="80"/>
      <c r="E798" s="80"/>
      <c r="F798" s="188"/>
      <c r="G798" s="80"/>
      <c r="H798" s="80"/>
      <c r="I798" s="80"/>
      <c r="J798" s="187"/>
      <c r="K798" s="80"/>
      <c r="L798" s="80"/>
      <c r="M798" s="80"/>
      <c r="N798" s="80"/>
      <c r="O798" s="80"/>
      <c r="P798" s="80"/>
      <c r="Q798" s="80"/>
      <c r="R798" s="80"/>
      <c r="S798" s="80"/>
      <c r="T798" s="83"/>
      <c r="U798" s="85"/>
      <c r="V798" s="85"/>
      <c r="W798" s="85"/>
      <c r="X798" s="85"/>
      <c r="Y798" s="85"/>
      <c r="Z798" s="85"/>
      <c r="AA798" s="85"/>
      <c r="AB798" s="85"/>
      <c r="AC798" s="85"/>
      <c r="AD798" s="85"/>
      <c r="AE798" s="85"/>
      <c r="AF798" s="85"/>
      <c r="AG798" s="85"/>
      <c r="AH798" s="85"/>
      <c r="AI798" s="85"/>
      <c r="AJ798" s="85"/>
      <c r="AK798" s="83"/>
      <c r="AL798" s="83"/>
      <c r="AM798" s="83"/>
      <c r="AN798" s="83"/>
    </row>
    <row r="799" spans="2:40" ht="15.75" customHeight="1">
      <c r="B799" s="83"/>
      <c r="C799" s="80"/>
      <c r="D799" s="80"/>
      <c r="E799" s="80"/>
      <c r="F799" s="188"/>
      <c r="G799" s="80"/>
      <c r="H799" s="80"/>
      <c r="I799" s="80"/>
      <c r="J799" s="187"/>
      <c r="K799" s="80"/>
      <c r="L799" s="80"/>
      <c r="M799" s="80"/>
      <c r="N799" s="80"/>
      <c r="O799" s="80"/>
      <c r="P799" s="80"/>
      <c r="Q799" s="80"/>
      <c r="R799" s="80"/>
      <c r="S799" s="80"/>
      <c r="T799" s="83"/>
      <c r="U799" s="85"/>
      <c r="V799" s="85"/>
      <c r="W799" s="85"/>
      <c r="X799" s="85"/>
      <c r="Y799" s="85"/>
      <c r="Z799" s="85"/>
      <c r="AA799" s="85"/>
      <c r="AB799" s="85"/>
      <c r="AC799" s="85"/>
      <c r="AD799" s="85"/>
      <c r="AE799" s="85"/>
      <c r="AF799" s="85"/>
      <c r="AG799" s="85"/>
      <c r="AH799" s="85"/>
      <c r="AI799" s="85"/>
      <c r="AJ799" s="85"/>
      <c r="AK799" s="83"/>
      <c r="AL799" s="83"/>
      <c r="AM799" s="83"/>
      <c r="AN799" s="83"/>
    </row>
    <row r="800" spans="2:40" ht="15.75" customHeight="1">
      <c r="B800" s="83"/>
      <c r="C800" s="80"/>
      <c r="D800" s="80"/>
      <c r="E800" s="80"/>
      <c r="F800" s="188"/>
      <c r="G800" s="80"/>
      <c r="H800" s="80"/>
      <c r="I800" s="80"/>
      <c r="J800" s="187"/>
      <c r="K800" s="80"/>
      <c r="L800" s="80"/>
      <c r="M800" s="80"/>
      <c r="N800" s="80"/>
      <c r="O800" s="80"/>
      <c r="P800" s="80"/>
      <c r="Q800" s="80"/>
      <c r="R800" s="80"/>
      <c r="S800" s="80"/>
      <c r="T800" s="83"/>
      <c r="U800" s="85"/>
      <c r="V800" s="85"/>
      <c r="W800" s="85"/>
      <c r="X800" s="85"/>
      <c r="Y800" s="85"/>
      <c r="Z800" s="85"/>
      <c r="AA800" s="85"/>
      <c r="AB800" s="85"/>
      <c r="AC800" s="85"/>
      <c r="AD800" s="85"/>
      <c r="AE800" s="85"/>
      <c r="AF800" s="85"/>
      <c r="AG800" s="85"/>
      <c r="AH800" s="85"/>
      <c r="AI800" s="85"/>
      <c r="AJ800" s="85"/>
      <c r="AK800" s="83"/>
      <c r="AL800" s="83"/>
      <c r="AM800" s="83"/>
      <c r="AN800" s="83"/>
    </row>
    <row r="801" spans="2:40" ht="15.75" customHeight="1">
      <c r="B801" s="83"/>
      <c r="C801" s="80"/>
      <c r="D801" s="80"/>
      <c r="E801" s="80"/>
      <c r="F801" s="188"/>
      <c r="G801" s="80"/>
      <c r="H801" s="80"/>
      <c r="I801" s="80"/>
      <c r="J801" s="187"/>
      <c r="K801" s="80"/>
      <c r="L801" s="80"/>
      <c r="M801" s="80"/>
      <c r="N801" s="80"/>
      <c r="O801" s="80"/>
      <c r="P801" s="80"/>
      <c r="Q801" s="80"/>
      <c r="R801" s="80"/>
      <c r="S801" s="80"/>
      <c r="T801" s="83"/>
      <c r="U801" s="85"/>
      <c r="V801" s="85"/>
      <c r="W801" s="85"/>
      <c r="X801" s="85"/>
      <c r="Y801" s="85"/>
      <c r="Z801" s="85"/>
      <c r="AA801" s="85"/>
      <c r="AB801" s="85"/>
      <c r="AC801" s="85"/>
      <c r="AD801" s="85"/>
      <c r="AE801" s="85"/>
      <c r="AF801" s="85"/>
      <c r="AG801" s="85"/>
      <c r="AH801" s="85"/>
      <c r="AI801" s="85"/>
      <c r="AJ801" s="85"/>
      <c r="AK801" s="83"/>
      <c r="AL801" s="83"/>
      <c r="AM801" s="83"/>
      <c r="AN801" s="83"/>
    </row>
    <row r="802" spans="2:40" ht="15.75" customHeight="1">
      <c r="B802" s="83"/>
      <c r="C802" s="80"/>
      <c r="D802" s="80"/>
      <c r="E802" s="80"/>
      <c r="F802" s="188"/>
      <c r="G802" s="80"/>
      <c r="H802" s="80"/>
      <c r="I802" s="80"/>
      <c r="J802" s="187"/>
      <c r="K802" s="80"/>
      <c r="L802" s="80"/>
      <c r="M802" s="80"/>
      <c r="N802" s="80"/>
      <c r="O802" s="80"/>
      <c r="P802" s="80"/>
      <c r="Q802" s="80"/>
      <c r="R802" s="80"/>
      <c r="S802" s="80"/>
      <c r="T802" s="83"/>
      <c r="U802" s="85"/>
      <c r="V802" s="85"/>
      <c r="W802" s="85"/>
      <c r="X802" s="85"/>
      <c r="Y802" s="85"/>
      <c r="Z802" s="85"/>
      <c r="AA802" s="85"/>
      <c r="AB802" s="85"/>
      <c r="AC802" s="85"/>
      <c r="AD802" s="85"/>
      <c r="AE802" s="85"/>
      <c r="AF802" s="85"/>
      <c r="AG802" s="85"/>
      <c r="AH802" s="85"/>
      <c r="AI802" s="85"/>
      <c r="AJ802" s="85"/>
      <c r="AK802" s="83"/>
      <c r="AL802" s="83"/>
      <c r="AM802" s="83"/>
      <c r="AN802" s="83"/>
    </row>
    <row r="803" spans="2:40" ht="15.75" customHeight="1">
      <c r="B803" s="83"/>
      <c r="C803" s="80"/>
      <c r="D803" s="80"/>
      <c r="E803" s="80"/>
      <c r="F803" s="188"/>
      <c r="G803" s="80"/>
      <c r="H803" s="80"/>
      <c r="I803" s="80"/>
      <c r="J803" s="187"/>
      <c r="K803" s="80"/>
      <c r="L803" s="80"/>
      <c r="M803" s="80"/>
      <c r="N803" s="80"/>
      <c r="O803" s="80"/>
      <c r="P803" s="80"/>
      <c r="Q803" s="80"/>
      <c r="R803" s="80"/>
      <c r="S803" s="80"/>
      <c r="T803" s="83"/>
      <c r="U803" s="85"/>
      <c r="V803" s="85"/>
      <c r="W803" s="85"/>
      <c r="X803" s="85"/>
      <c r="Y803" s="85"/>
      <c r="Z803" s="85"/>
      <c r="AA803" s="85"/>
      <c r="AB803" s="85"/>
      <c r="AC803" s="85"/>
      <c r="AD803" s="85"/>
      <c r="AE803" s="85"/>
      <c r="AF803" s="85"/>
      <c r="AG803" s="85"/>
      <c r="AH803" s="85"/>
      <c r="AI803" s="85"/>
      <c r="AJ803" s="85"/>
      <c r="AK803" s="83"/>
      <c r="AL803" s="83"/>
      <c r="AM803" s="83"/>
      <c r="AN803" s="83"/>
    </row>
    <row r="804" spans="2:40" ht="15.75" customHeight="1">
      <c r="B804" s="83"/>
      <c r="C804" s="80"/>
      <c r="D804" s="80"/>
      <c r="E804" s="80"/>
      <c r="F804" s="188"/>
      <c r="G804" s="80"/>
      <c r="H804" s="80"/>
      <c r="I804" s="80"/>
      <c r="J804" s="187"/>
      <c r="K804" s="80"/>
      <c r="L804" s="80"/>
      <c r="M804" s="80"/>
      <c r="N804" s="80"/>
      <c r="O804" s="80"/>
      <c r="P804" s="80"/>
      <c r="Q804" s="80"/>
      <c r="R804" s="80"/>
      <c r="S804" s="80"/>
      <c r="T804" s="83"/>
      <c r="U804" s="85"/>
      <c r="V804" s="85"/>
      <c r="W804" s="85"/>
      <c r="X804" s="85"/>
      <c r="Y804" s="85"/>
      <c r="Z804" s="85"/>
      <c r="AA804" s="85"/>
      <c r="AB804" s="85"/>
      <c r="AC804" s="85"/>
      <c r="AD804" s="85"/>
      <c r="AE804" s="85"/>
      <c r="AF804" s="85"/>
      <c r="AG804" s="85"/>
      <c r="AH804" s="85"/>
      <c r="AI804" s="85"/>
      <c r="AJ804" s="85"/>
      <c r="AK804" s="83"/>
      <c r="AL804" s="83"/>
      <c r="AM804" s="83"/>
      <c r="AN804" s="83"/>
    </row>
    <row r="805" spans="2:40" ht="15.75" customHeight="1">
      <c r="B805" s="83"/>
      <c r="C805" s="80"/>
      <c r="D805" s="80"/>
      <c r="E805" s="80"/>
      <c r="F805" s="188"/>
      <c r="G805" s="80"/>
      <c r="H805" s="80"/>
      <c r="I805" s="80"/>
      <c r="J805" s="187"/>
      <c r="K805" s="80"/>
      <c r="L805" s="80"/>
      <c r="M805" s="80"/>
      <c r="N805" s="80"/>
      <c r="O805" s="80"/>
      <c r="P805" s="80"/>
      <c r="Q805" s="80"/>
      <c r="R805" s="80"/>
      <c r="S805" s="80"/>
      <c r="T805" s="83"/>
      <c r="U805" s="85"/>
      <c r="V805" s="85"/>
      <c r="W805" s="85"/>
      <c r="X805" s="85"/>
      <c r="Y805" s="85"/>
      <c r="Z805" s="85"/>
      <c r="AA805" s="85"/>
      <c r="AB805" s="85"/>
      <c r="AC805" s="85"/>
      <c r="AD805" s="85"/>
      <c r="AE805" s="85"/>
      <c r="AF805" s="85"/>
      <c r="AG805" s="85"/>
      <c r="AH805" s="85"/>
      <c r="AI805" s="85"/>
      <c r="AJ805" s="85"/>
      <c r="AK805" s="83"/>
      <c r="AL805" s="83"/>
      <c r="AM805" s="83"/>
      <c r="AN805" s="83"/>
    </row>
    <row r="806" spans="2:40" ht="15.75" customHeight="1">
      <c r="B806" s="83"/>
      <c r="C806" s="80"/>
      <c r="D806" s="80"/>
      <c r="E806" s="80"/>
      <c r="F806" s="188"/>
      <c r="G806" s="80"/>
      <c r="H806" s="80"/>
      <c r="I806" s="80"/>
      <c r="J806" s="187"/>
      <c r="K806" s="80"/>
      <c r="L806" s="80"/>
      <c r="M806" s="80"/>
      <c r="N806" s="80"/>
      <c r="O806" s="80"/>
      <c r="P806" s="80"/>
      <c r="Q806" s="80"/>
      <c r="R806" s="80"/>
      <c r="S806" s="80"/>
      <c r="T806" s="83"/>
      <c r="U806" s="85"/>
      <c r="V806" s="85"/>
      <c r="W806" s="85"/>
      <c r="X806" s="85"/>
      <c r="Y806" s="85"/>
      <c r="Z806" s="85"/>
      <c r="AA806" s="85"/>
      <c r="AB806" s="85"/>
      <c r="AC806" s="85"/>
      <c r="AD806" s="85"/>
      <c r="AE806" s="85"/>
      <c r="AF806" s="85"/>
      <c r="AG806" s="85"/>
      <c r="AH806" s="85"/>
      <c r="AI806" s="85"/>
      <c r="AJ806" s="85"/>
      <c r="AK806" s="83"/>
      <c r="AL806" s="83"/>
      <c r="AM806" s="83"/>
      <c r="AN806" s="83"/>
    </row>
    <row r="807" spans="2:40" ht="15.75" customHeight="1">
      <c r="B807" s="83"/>
      <c r="C807" s="80"/>
      <c r="D807" s="80"/>
      <c r="E807" s="80"/>
      <c r="F807" s="188"/>
      <c r="G807" s="80"/>
      <c r="H807" s="80"/>
      <c r="I807" s="80"/>
      <c r="J807" s="187"/>
      <c r="K807" s="80"/>
      <c r="L807" s="80"/>
      <c r="M807" s="80"/>
      <c r="N807" s="80"/>
      <c r="O807" s="80"/>
      <c r="P807" s="80"/>
      <c r="Q807" s="80"/>
      <c r="R807" s="80"/>
      <c r="S807" s="80"/>
      <c r="T807" s="83"/>
      <c r="U807" s="85"/>
      <c r="V807" s="85"/>
      <c r="W807" s="85"/>
      <c r="X807" s="85"/>
      <c r="Y807" s="85"/>
      <c r="Z807" s="85"/>
      <c r="AA807" s="85"/>
      <c r="AB807" s="85"/>
      <c r="AC807" s="85"/>
      <c r="AD807" s="85"/>
      <c r="AE807" s="85"/>
      <c r="AF807" s="85"/>
      <c r="AG807" s="85"/>
      <c r="AH807" s="85"/>
      <c r="AI807" s="85"/>
      <c r="AJ807" s="85"/>
      <c r="AK807" s="83"/>
      <c r="AL807" s="83"/>
      <c r="AM807" s="83"/>
      <c r="AN807" s="83"/>
    </row>
    <row r="808" spans="2:40" ht="15.75" customHeight="1">
      <c r="B808" s="83"/>
      <c r="C808" s="80"/>
      <c r="D808" s="80"/>
      <c r="E808" s="80"/>
      <c r="F808" s="188"/>
      <c r="G808" s="80"/>
      <c r="H808" s="80"/>
      <c r="I808" s="80"/>
      <c r="J808" s="187"/>
      <c r="K808" s="80"/>
      <c r="L808" s="80"/>
      <c r="M808" s="80"/>
      <c r="N808" s="80"/>
      <c r="O808" s="80"/>
      <c r="P808" s="80"/>
      <c r="Q808" s="80"/>
      <c r="R808" s="80"/>
      <c r="S808" s="80"/>
      <c r="T808" s="83"/>
      <c r="U808" s="85"/>
      <c r="V808" s="85"/>
      <c r="W808" s="85"/>
      <c r="X808" s="85"/>
      <c r="Y808" s="85"/>
      <c r="Z808" s="85"/>
      <c r="AA808" s="85"/>
      <c r="AB808" s="85"/>
      <c r="AC808" s="85"/>
      <c r="AD808" s="85"/>
      <c r="AE808" s="85"/>
      <c r="AF808" s="85"/>
      <c r="AG808" s="85"/>
      <c r="AH808" s="85"/>
      <c r="AI808" s="85"/>
      <c r="AJ808" s="85"/>
      <c r="AK808" s="83"/>
      <c r="AL808" s="83"/>
      <c r="AM808" s="83"/>
      <c r="AN808" s="83"/>
    </row>
    <row r="809" spans="2:40" ht="15.75" customHeight="1">
      <c r="B809" s="83"/>
      <c r="C809" s="80"/>
      <c r="D809" s="80"/>
      <c r="E809" s="80"/>
      <c r="F809" s="188"/>
      <c r="G809" s="80"/>
      <c r="H809" s="80"/>
      <c r="I809" s="80"/>
      <c r="J809" s="187"/>
      <c r="K809" s="80"/>
      <c r="L809" s="80"/>
      <c r="M809" s="80"/>
      <c r="N809" s="80"/>
      <c r="O809" s="80"/>
      <c r="P809" s="80"/>
      <c r="Q809" s="80"/>
      <c r="R809" s="80"/>
      <c r="S809" s="80"/>
      <c r="T809" s="83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  <c r="AI809" s="85"/>
      <c r="AJ809" s="85"/>
      <c r="AK809" s="83"/>
      <c r="AL809" s="83"/>
      <c r="AM809" s="83"/>
      <c r="AN809" s="83"/>
    </row>
    <row r="810" spans="2:40" ht="15.75" customHeight="1">
      <c r="B810" s="83"/>
      <c r="C810" s="80"/>
      <c r="D810" s="80"/>
      <c r="E810" s="80"/>
      <c r="F810" s="188"/>
      <c r="G810" s="80"/>
      <c r="H810" s="80"/>
      <c r="I810" s="80"/>
      <c r="J810" s="187"/>
      <c r="K810" s="80"/>
      <c r="L810" s="80"/>
      <c r="M810" s="80"/>
      <c r="N810" s="80"/>
      <c r="O810" s="80"/>
      <c r="P810" s="80"/>
      <c r="Q810" s="80"/>
      <c r="R810" s="80"/>
      <c r="S810" s="80"/>
      <c r="T810" s="83"/>
      <c r="U810" s="85"/>
      <c r="V810" s="85"/>
      <c r="W810" s="85"/>
      <c r="X810" s="85"/>
      <c r="Y810" s="85"/>
      <c r="Z810" s="85"/>
      <c r="AA810" s="85"/>
      <c r="AB810" s="85"/>
      <c r="AC810" s="85"/>
      <c r="AD810" s="85"/>
      <c r="AE810" s="85"/>
      <c r="AF810" s="85"/>
      <c r="AG810" s="85"/>
      <c r="AH810" s="85"/>
      <c r="AI810" s="85"/>
      <c r="AJ810" s="85"/>
      <c r="AK810" s="83"/>
      <c r="AL810" s="83"/>
      <c r="AM810" s="83"/>
      <c r="AN810" s="83"/>
    </row>
    <row r="811" spans="2:40" ht="15.75" customHeight="1">
      <c r="B811" s="83"/>
      <c r="C811" s="80"/>
      <c r="D811" s="80"/>
      <c r="E811" s="80"/>
      <c r="F811" s="188"/>
      <c r="G811" s="80"/>
      <c r="H811" s="80"/>
      <c r="I811" s="80"/>
      <c r="J811" s="187"/>
      <c r="K811" s="80"/>
      <c r="L811" s="80"/>
      <c r="M811" s="80"/>
      <c r="N811" s="80"/>
      <c r="O811" s="80"/>
      <c r="P811" s="80"/>
      <c r="Q811" s="80"/>
      <c r="R811" s="80"/>
      <c r="S811" s="80"/>
      <c r="T811" s="83"/>
      <c r="U811" s="85"/>
      <c r="V811" s="85"/>
      <c r="W811" s="85"/>
      <c r="X811" s="85"/>
      <c r="Y811" s="85"/>
      <c r="Z811" s="85"/>
      <c r="AA811" s="85"/>
      <c r="AB811" s="85"/>
      <c r="AC811" s="85"/>
      <c r="AD811" s="85"/>
      <c r="AE811" s="85"/>
      <c r="AF811" s="85"/>
      <c r="AG811" s="85"/>
      <c r="AH811" s="85"/>
      <c r="AI811" s="85"/>
      <c r="AJ811" s="85"/>
      <c r="AK811" s="83"/>
      <c r="AL811" s="83"/>
      <c r="AM811" s="83"/>
      <c r="AN811" s="83"/>
    </row>
    <row r="812" spans="2:40" ht="15.75" customHeight="1">
      <c r="B812" s="83"/>
      <c r="C812" s="80"/>
      <c r="D812" s="80"/>
      <c r="E812" s="80"/>
      <c r="F812" s="188"/>
      <c r="G812" s="80"/>
      <c r="H812" s="80"/>
      <c r="I812" s="80"/>
      <c r="J812" s="187"/>
      <c r="K812" s="80"/>
      <c r="L812" s="80"/>
      <c r="M812" s="80"/>
      <c r="N812" s="80"/>
      <c r="O812" s="80"/>
      <c r="P812" s="80"/>
      <c r="Q812" s="80"/>
      <c r="R812" s="80"/>
      <c r="S812" s="80"/>
      <c r="T812" s="83"/>
      <c r="U812" s="85"/>
      <c r="V812" s="85"/>
      <c r="W812" s="85"/>
      <c r="X812" s="85"/>
      <c r="Y812" s="85"/>
      <c r="Z812" s="85"/>
      <c r="AA812" s="85"/>
      <c r="AB812" s="85"/>
      <c r="AC812" s="85"/>
      <c r="AD812" s="85"/>
      <c r="AE812" s="85"/>
      <c r="AF812" s="85"/>
      <c r="AG812" s="85"/>
      <c r="AH812" s="85"/>
      <c r="AI812" s="85"/>
      <c r="AJ812" s="85"/>
      <c r="AK812" s="83"/>
      <c r="AL812" s="83"/>
      <c r="AM812" s="83"/>
      <c r="AN812" s="83"/>
    </row>
    <row r="813" spans="2:40" ht="15.75" customHeight="1">
      <c r="B813" s="83"/>
      <c r="C813" s="80"/>
      <c r="D813" s="80"/>
      <c r="E813" s="80"/>
      <c r="F813" s="188"/>
      <c r="G813" s="80"/>
      <c r="H813" s="80"/>
      <c r="I813" s="80"/>
      <c r="J813" s="187"/>
      <c r="K813" s="80"/>
      <c r="L813" s="80"/>
      <c r="M813" s="80"/>
      <c r="N813" s="80"/>
      <c r="O813" s="80"/>
      <c r="P813" s="80"/>
      <c r="Q813" s="80"/>
      <c r="R813" s="80"/>
      <c r="S813" s="80"/>
      <c r="T813" s="83"/>
      <c r="U813" s="85"/>
      <c r="V813" s="85"/>
      <c r="W813" s="85"/>
      <c r="X813" s="85"/>
      <c r="Y813" s="85"/>
      <c r="Z813" s="85"/>
      <c r="AA813" s="85"/>
      <c r="AB813" s="85"/>
      <c r="AC813" s="85"/>
      <c r="AD813" s="85"/>
      <c r="AE813" s="85"/>
      <c r="AF813" s="85"/>
      <c r="AG813" s="85"/>
      <c r="AH813" s="85"/>
      <c r="AI813" s="85"/>
      <c r="AJ813" s="85"/>
      <c r="AK813" s="83"/>
      <c r="AL813" s="83"/>
      <c r="AM813" s="83"/>
      <c r="AN813" s="83"/>
    </row>
    <row r="814" spans="2:40" ht="15.75" customHeight="1">
      <c r="B814" s="83"/>
      <c r="C814" s="80"/>
      <c r="D814" s="80"/>
      <c r="E814" s="80"/>
      <c r="F814" s="188"/>
      <c r="G814" s="80"/>
      <c r="H814" s="80"/>
      <c r="I814" s="80"/>
      <c r="J814" s="187"/>
      <c r="K814" s="80"/>
      <c r="L814" s="80"/>
      <c r="M814" s="80"/>
      <c r="N814" s="80"/>
      <c r="O814" s="80"/>
      <c r="P814" s="80"/>
      <c r="Q814" s="80"/>
      <c r="R814" s="80"/>
      <c r="S814" s="80"/>
      <c r="T814" s="83"/>
      <c r="U814" s="85"/>
      <c r="V814" s="85"/>
      <c r="W814" s="85"/>
      <c r="X814" s="85"/>
      <c r="Y814" s="85"/>
      <c r="Z814" s="85"/>
      <c r="AA814" s="85"/>
      <c r="AB814" s="85"/>
      <c r="AC814" s="85"/>
      <c r="AD814" s="85"/>
      <c r="AE814" s="85"/>
      <c r="AF814" s="85"/>
      <c r="AG814" s="85"/>
      <c r="AH814" s="85"/>
      <c r="AI814" s="85"/>
      <c r="AJ814" s="85"/>
      <c r="AK814" s="83"/>
      <c r="AL814" s="83"/>
      <c r="AM814" s="83"/>
      <c r="AN814" s="83"/>
    </row>
    <row r="815" spans="2:40" ht="15.75" customHeight="1">
      <c r="B815" s="83"/>
      <c r="C815" s="80"/>
      <c r="D815" s="80"/>
      <c r="E815" s="80"/>
      <c r="F815" s="188"/>
      <c r="G815" s="80"/>
      <c r="H815" s="80"/>
      <c r="I815" s="80"/>
      <c r="J815" s="187"/>
      <c r="K815" s="80"/>
      <c r="L815" s="80"/>
      <c r="M815" s="80"/>
      <c r="N815" s="80"/>
      <c r="O815" s="80"/>
      <c r="P815" s="80"/>
      <c r="Q815" s="80"/>
      <c r="R815" s="80"/>
      <c r="S815" s="80"/>
      <c r="T815" s="83"/>
      <c r="U815" s="85"/>
      <c r="V815" s="85"/>
      <c r="W815" s="85"/>
      <c r="X815" s="85"/>
      <c r="Y815" s="85"/>
      <c r="Z815" s="85"/>
      <c r="AA815" s="85"/>
      <c r="AB815" s="85"/>
      <c r="AC815" s="85"/>
      <c r="AD815" s="85"/>
      <c r="AE815" s="85"/>
      <c r="AF815" s="85"/>
      <c r="AG815" s="85"/>
      <c r="AH815" s="85"/>
      <c r="AI815" s="85"/>
      <c r="AJ815" s="85"/>
      <c r="AK815" s="83"/>
      <c r="AL815" s="83"/>
      <c r="AM815" s="83"/>
      <c r="AN815" s="83"/>
    </row>
    <row r="816" spans="2:40" ht="15.75" customHeight="1">
      <c r="B816" s="83"/>
      <c r="C816" s="80"/>
      <c r="D816" s="80"/>
      <c r="E816" s="80"/>
      <c r="F816" s="188"/>
      <c r="G816" s="80"/>
      <c r="H816" s="80"/>
      <c r="I816" s="80"/>
      <c r="J816" s="187"/>
      <c r="K816" s="80"/>
      <c r="L816" s="80"/>
      <c r="M816" s="80"/>
      <c r="N816" s="80"/>
      <c r="O816" s="80"/>
      <c r="P816" s="80"/>
      <c r="Q816" s="80"/>
      <c r="R816" s="80"/>
      <c r="S816" s="80"/>
      <c r="T816" s="83"/>
      <c r="U816" s="85"/>
      <c r="V816" s="85"/>
      <c r="W816" s="85"/>
      <c r="X816" s="85"/>
      <c r="Y816" s="85"/>
      <c r="Z816" s="85"/>
      <c r="AA816" s="85"/>
      <c r="AB816" s="85"/>
      <c r="AC816" s="85"/>
      <c r="AD816" s="85"/>
      <c r="AE816" s="85"/>
      <c r="AF816" s="85"/>
      <c r="AG816" s="85"/>
      <c r="AH816" s="85"/>
      <c r="AI816" s="85"/>
      <c r="AJ816" s="85"/>
      <c r="AK816" s="83"/>
      <c r="AL816" s="83"/>
      <c r="AM816" s="83"/>
      <c r="AN816" s="83"/>
    </row>
    <row r="817" spans="2:40" ht="15.75" customHeight="1">
      <c r="B817" s="83"/>
      <c r="C817" s="80"/>
      <c r="D817" s="80"/>
      <c r="E817" s="80"/>
      <c r="F817" s="188"/>
      <c r="G817" s="80"/>
      <c r="H817" s="80"/>
      <c r="I817" s="80"/>
      <c r="J817" s="187"/>
      <c r="K817" s="80"/>
      <c r="L817" s="80"/>
      <c r="M817" s="80"/>
      <c r="N817" s="80"/>
      <c r="O817" s="80"/>
      <c r="P817" s="80"/>
      <c r="Q817" s="80"/>
      <c r="R817" s="80"/>
      <c r="S817" s="80"/>
      <c r="T817" s="83"/>
      <c r="U817" s="85"/>
      <c r="V817" s="85"/>
      <c r="W817" s="85"/>
      <c r="X817" s="85"/>
      <c r="Y817" s="85"/>
      <c r="Z817" s="85"/>
      <c r="AA817" s="85"/>
      <c r="AB817" s="85"/>
      <c r="AC817" s="85"/>
      <c r="AD817" s="85"/>
      <c r="AE817" s="85"/>
      <c r="AF817" s="85"/>
      <c r="AG817" s="85"/>
      <c r="AH817" s="85"/>
      <c r="AI817" s="85"/>
      <c r="AJ817" s="85"/>
      <c r="AK817" s="83"/>
      <c r="AL817" s="83"/>
      <c r="AM817" s="83"/>
      <c r="AN817" s="83"/>
    </row>
    <row r="818" spans="2:40" ht="15.75" customHeight="1">
      <c r="B818" s="83"/>
      <c r="C818" s="80"/>
      <c r="D818" s="80"/>
      <c r="E818" s="80"/>
      <c r="F818" s="188"/>
      <c r="G818" s="80"/>
      <c r="H818" s="80"/>
      <c r="I818" s="80"/>
      <c r="J818" s="187"/>
      <c r="K818" s="80"/>
      <c r="L818" s="80"/>
      <c r="M818" s="80"/>
      <c r="N818" s="80"/>
      <c r="O818" s="80"/>
      <c r="P818" s="80"/>
      <c r="Q818" s="80"/>
      <c r="R818" s="80"/>
      <c r="S818" s="80"/>
      <c r="T818" s="83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85"/>
      <c r="AK818" s="83"/>
      <c r="AL818" s="83"/>
      <c r="AM818" s="83"/>
      <c r="AN818" s="83"/>
    </row>
    <row r="819" spans="2:40" ht="15.75" customHeight="1">
      <c r="B819" s="83"/>
      <c r="C819" s="80"/>
      <c r="D819" s="80"/>
      <c r="E819" s="80"/>
      <c r="F819" s="188"/>
      <c r="G819" s="80"/>
      <c r="H819" s="80"/>
      <c r="I819" s="80"/>
      <c r="J819" s="187"/>
      <c r="K819" s="80"/>
      <c r="L819" s="80"/>
      <c r="M819" s="80"/>
      <c r="N819" s="80"/>
      <c r="O819" s="80"/>
      <c r="P819" s="80"/>
      <c r="Q819" s="80"/>
      <c r="R819" s="80"/>
      <c r="S819" s="80"/>
      <c r="T819" s="83"/>
      <c r="U819" s="85"/>
      <c r="V819" s="85"/>
      <c r="W819" s="85"/>
      <c r="X819" s="85"/>
      <c r="Y819" s="85"/>
      <c r="Z819" s="85"/>
      <c r="AA819" s="85"/>
      <c r="AB819" s="85"/>
      <c r="AC819" s="85"/>
      <c r="AD819" s="85"/>
      <c r="AE819" s="85"/>
      <c r="AF819" s="85"/>
      <c r="AG819" s="85"/>
      <c r="AH819" s="85"/>
      <c r="AI819" s="85"/>
      <c r="AJ819" s="85"/>
      <c r="AK819" s="83"/>
      <c r="AL819" s="83"/>
      <c r="AM819" s="83"/>
      <c r="AN819" s="83"/>
    </row>
    <row r="820" spans="2:40" ht="15.75" customHeight="1">
      <c r="B820" s="83"/>
      <c r="C820" s="80"/>
      <c r="D820" s="80"/>
      <c r="E820" s="80"/>
      <c r="F820" s="188"/>
      <c r="G820" s="80"/>
      <c r="H820" s="80"/>
      <c r="I820" s="80"/>
      <c r="J820" s="187"/>
      <c r="K820" s="80"/>
      <c r="L820" s="80"/>
      <c r="M820" s="80"/>
      <c r="N820" s="80"/>
      <c r="O820" s="80"/>
      <c r="P820" s="80"/>
      <c r="Q820" s="80"/>
      <c r="R820" s="80"/>
      <c r="S820" s="80"/>
      <c r="T820" s="83"/>
      <c r="U820" s="85"/>
      <c r="V820" s="85"/>
      <c r="W820" s="85"/>
      <c r="X820" s="85"/>
      <c r="Y820" s="85"/>
      <c r="Z820" s="85"/>
      <c r="AA820" s="85"/>
      <c r="AB820" s="85"/>
      <c r="AC820" s="85"/>
      <c r="AD820" s="85"/>
      <c r="AE820" s="85"/>
      <c r="AF820" s="85"/>
      <c r="AG820" s="85"/>
      <c r="AH820" s="85"/>
      <c r="AI820" s="85"/>
      <c r="AJ820" s="85"/>
      <c r="AK820" s="83"/>
      <c r="AL820" s="83"/>
      <c r="AM820" s="83"/>
      <c r="AN820" s="83"/>
    </row>
    <row r="821" spans="2:40" ht="15.75" customHeight="1">
      <c r="B821" s="83"/>
      <c r="C821" s="80"/>
      <c r="D821" s="80"/>
      <c r="E821" s="80"/>
      <c r="F821" s="188"/>
      <c r="G821" s="80"/>
      <c r="H821" s="80"/>
      <c r="I821" s="80"/>
      <c r="J821" s="187"/>
      <c r="K821" s="80"/>
      <c r="L821" s="80"/>
      <c r="M821" s="80"/>
      <c r="N821" s="80"/>
      <c r="O821" s="80"/>
      <c r="P821" s="80"/>
      <c r="Q821" s="80"/>
      <c r="R821" s="80"/>
      <c r="S821" s="80"/>
      <c r="T821" s="83"/>
      <c r="U821" s="85"/>
      <c r="V821" s="85"/>
      <c r="W821" s="85"/>
      <c r="X821" s="85"/>
      <c r="Y821" s="85"/>
      <c r="Z821" s="85"/>
      <c r="AA821" s="85"/>
      <c r="AB821" s="85"/>
      <c r="AC821" s="85"/>
      <c r="AD821" s="85"/>
      <c r="AE821" s="85"/>
      <c r="AF821" s="85"/>
      <c r="AG821" s="85"/>
      <c r="AH821" s="85"/>
      <c r="AI821" s="85"/>
      <c r="AJ821" s="85"/>
      <c r="AK821" s="83"/>
      <c r="AL821" s="83"/>
      <c r="AM821" s="83"/>
      <c r="AN821" s="83"/>
    </row>
    <row r="822" spans="2:40" ht="15.75" customHeight="1">
      <c r="B822" s="83"/>
      <c r="C822" s="80"/>
      <c r="D822" s="80"/>
      <c r="E822" s="80"/>
      <c r="F822" s="188"/>
      <c r="G822" s="80"/>
      <c r="H822" s="80"/>
      <c r="I822" s="80"/>
      <c r="J822" s="187"/>
      <c r="K822" s="80"/>
      <c r="L822" s="80"/>
      <c r="M822" s="80"/>
      <c r="N822" s="80"/>
      <c r="O822" s="80"/>
      <c r="P822" s="80"/>
      <c r="Q822" s="80"/>
      <c r="R822" s="80"/>
      <c r="S822" s="80"/>
      <c r="T822" s="83"/>
      <c r="U822" s="85"/>
      <c r="V822" s="85"/>
      <c r="W822" s="85"/>
      <c r="X822" s="85"/>
      <c r="Y822" s="85"/>
      <c r="Z822" s="85"/>
      <c r="AA822" s="85"/>
      <c r="AB822" s="85"/>
      <c r="AC822" s="85"/>
      <c r="AD822" s="85"/>
      <c r="AE822" s="85"/>
      <c r="AF822" s="85"/>
      <c r="AG822" s="85"/>
      <c r="AH822" s="85"/>
      <c r="AI822" s="85"/>
      <c r="AJ822" s="85"/>
      <c r="AK822" s="83"/>
      <c r="AL822" s="83"/>
      <c r="AM822" s="83"/>
      <c r="AN822" s="83"/>
    </row>
    <row r="823" spans="2:40" ht="15.75" customHeight="1">
      <c r="B823" s="83"/>
      <c r="C823" s="80"/>
      <c r="D823" s="80"/>
      <c r="E823" s="80"/>
      <c r="F823" s="188"/>
      <c r="G823" s="80"/>
      <c r="H823" s="80"/>
      <c r="I823" s="80"/>
      <c r="J823" s="187"/>
      <c r="K823" s="80"/>
      <c r="L823" s="80"/>
      <c r="M823" s="80"/>
      <c r="N823" s="80"/>
      <c r="O823" s="80"/>
      <c r="P823" s="80"/>
      <c r="Q823" s="80"/>
      <c r="R823" s="80"/>
      <c r="S823" s="80"/>
      <c r="T823" s="83"/>
      <c r="U823" s="85"/>
      <c r="V823" s="85"/>
      <c r="W823" s="85"/>
      <c r="X823" s="85"/>
      <c r="Y823" s="85"/>
      <c r="Z823" s="85"/>
      <c r="AA823" s="85"/>
      <c r="AB823" s="85"/>
      <c r="AC823" s="85"/>
      <c r="AD823" s="85"/>
      <c r="AE823" s="85"/>
      <c r="AF823" s="85"/>
      <c r="AG823" s="85"/>
      <c r="AH823" s="85"/>
      <c r="AI823" s="85"/>
      <c r="AJ823" s="85"/>
      <c r="AK823" s="83"/>
      <c r="AL823" s="83"/>
      <c r="AM823" s="83"/>
      <c r="AN823" s="83"/>
    </row>
    <row r="824" spans="2:40" ht="15.75" customHeight="1">
      <c r="B824" s="83"/>
      <c r="C824" s="80"/>
      <c r="D824" s="80"/>
      <c r="E824" s="80"/>
      <c r="F824" s="188"/>
      <c r="G824" s="80"/>
      <c r="H824" s="80"/>
      <c r="I824" s="80"/>
      <c r="J824" s="187"/>
      <c r="K824" s="80"/>
      <c r="L824" s="80"/>
      <c r="M824" s="80"/>
      <c r="N824" s="80"/>
      <c r="O824" s="80"/>
      <c r="P824" s="80"/>
      <c r="Q824" s="80"/>
      <c r="R824" s="80"/>
      <c r="S824" s="80"/>
      <c r="T824" s="83"/>
      <c r="U824" s="85"/>
      <c r="V824" s="85"/>
      <c r="W824" s="85"/>
      <c r="X824" s="85"/>
      <c r="Y824" s="85"/>
      <c r="Z824" s="85"/>
      <c r="AA824" s="85"/>
      <c r="AB824" s="85"/>
      <c r="AC824" s="85"/>
      <c r="AD824" s="85"/>
      <c r="AE824" s="85"/>
      <c r="AF824" s="85"/>
      <c r="AG824" s="85"/>
      <c r="AH824" s="85"/>
      <c r="AI824" s="85"/>
      <c r="AJ824" s="85"/>
      <c r="AK824" s="83"/>
      <c r="AL824" s="83"/>
      <c r="AM824" s="83"/>
      <c r="AN824" s="83"/>
    </row>
    <row r="825" spans="2:40" ht="15.75" customHeight="1">
      <c r="B825" s="83"/>
      <c r="C825" s="80"/>
      <c r="D825" s="80"/>
      <c r="E825" s="80"/>
      <c r="F825" s="188"/>
      <c r="G825" s="80"/>
      <c r="H825" s="80"/>
      <c r="I825" s="80"/>
      <c r="J825" s="187"/>
      <c r="K825" s="80"/>
      <c r="L825" s="80"/>
      <c r="M825" s="80"/>
      <c r="N825" s="80"/>
      <c r="O825" s="80"/>
      <c r="P825" s="80"/>
      <c r="Q825" s="80"/>
      <c r="R825" s="80"/>
      <c r="S825" s="80"/>
      <c r="T825" s="83"/>
      <c r="U825" s="85"/>
      <c r="V825" s="85"/>
      <c r="W825" s="85"/>
      <c r="X825" s="85"/>
      <c r="Y825" s="85"/>
      <c r="Z825" s="85"/>
      <c r="AA825" s="85"/>
      <c r="AB825" s="85"/>
      <c r="AC825" s="85"/>
      <c r="AD825" s="85"/>
      <c r="AE825" s="85"/>
      <c r="AF825" s="85"/>
      <c r="AG825" s="85"/>
      <c r="AH825" s="85"/>
      <c r="AI825" s="85"/>
      <c r="AJ825" s="85"/>
      <c r="AK825" s="83"/>
      <c r="AL825" s="83"/>
      <c r="AM825" s="83"/>
      <c r="AN825" s="83"/>
    </row>
    <row r="826" spans="2:40" ht="15.75" customHeight="1">
      <c r="B826" s="83"/>
      <c r="C826" s="80"/>
      <c r="D826" s="80"/>
      <c r="E826" s="80"/>
      <c r="F826" s="188"/>
      <c r="G826" s="80"/>
      <c r="H826" s="80"/>
      <c r="I826" s="80"/>
      <c r="J826" s="187"/>
      <c r="K826" s="80"/>
      <c r="L826" s="80"/>
      <c r="M826" s="80"/>
      <c r="N826" s="80"/>
      <c r="O826" s="80"/>
      <c r="P826" s="80"/>
      <c r="Q826" s="80"/>
      <c r="R826" s="80"/>
      <c r="S826" s="80"/>
      <c r="T826" s="83"/>
      <c r="U826" s="85"/>
      <c r="V826" s="85"/>
      <c r="W826" s="85"/>
      <c r="X826" s="85"/>
      <c r="Y826" s="85"/>
      <c r="Z826" s="85"/>
      <c r="AA826" s="85"/>
      <c r="AB826" s="85"/>
      <c r="AC826" s="85"/>
      <c r="AD826" s="85"/>
      <c r="AE826" s="85"/>
      <c r="AF826" s="85"/>
      <c r="AG826" s="85"/>
      <c r="AH826" s="85"/>
      <c r="AI826" s="85"/>
      <c r="AJ826" s="85"/>
      <c r="AK826" s="83"/>
      <c r="AL826" s="83"/>
      <c r="AM826" s="83"/>
      <c r="AN826" s="83"/>
    </row>
    <row r="827" spans="2:40" ht="15.75" customHeight="1">
      <c r="B827" s="83"/>
      <c r="C827" s="80"/>
      <c r="D827" s="80"/>
      <c r="E827" s="80"/>
      <c r="F827" s="188"/>
      <c r="G827" s="80"/>
      <c r="H827" s="80"/>
      <c r="I827" s="80"/>
      <c r="J827" s="187"/>
      <c r="K827" s="80"/>
      <c r="L827" s="80"/>
      <c r="M827" s="80"/>
      <c r="N827" s="80"/>
      <c r="O827" s="80"/>
      <c r="P827" s="80"/>
      <c r="Q827" s="80"/>
      <c r="R827" s="80"/>
      <c r="S827" s="80"/>
      <c r="T827" s="83"/>
      <c r="U827" s="85"/>
      <c r="V827" s="85"/>
      <c r="W827" s="85"/>
      <c r="X827" s="85"/>
      <c r="Y827" s="85"/>
      <c r="Z827" s="85"/>
      <c r="AA827" s="85"/>
      <c r="AB827" s="85"/>
      <c r="AC827" s="85"/>
      <c r="AD827" s="85"/>
      <c r="AE827" s="85"/>
      <c r="AF827" s="85"/>
      <c r="AG827" s="85"/>
      <c r="AH827" s="85"/>
      <c r="AI827" s="85"/>
      <c r="AJ827" s="85"/>
      <c r="AK827" s="83"/>
      <c r="AL827" s="83"/>
      <c r="AM827" s="83"/>
      <c r="AN827" s="83"/>
    </row>
    <row r="828" spans="2:40" ht="15.75" customHeight="1">
      <c r="B828" s="83"/>
      <c r="C828" s="80"/>
      <c r="D828" s="80"/>
      <c r="E828" s="80"/>
      <c r="F828" s="188"/>
      <c r="G828" s="80"/>
      <c r="H828" s="80"/>
      <c r="I828" s="80"/>
      <c r="J828" s="187"/>
      <c r="K828" s="80"/>
      <c r="L828" s="80"/>
      <c r="M828" s="80"/>
      <c r="N828" s="80"/>
      <c r="O828" s="80"/>
      <c r="P828" s="80"/>
      <c r="Q828" s="80"/>
      <c r="R828" s="80"/>
      <c r="S828" s="80"/>
      <c r="T828" s="83"/>
      <c r="U828" s="85"/>
      <c r="V828" s="85"/>
      <c r="W828" s="85"/>
      <c r="X828" s="85"/>
      <c r="Y828" s="85"/>
      <c r="Z828" s="85"/>
      <c r="AA828" s="85"/>
      <c r="AB828" s="85"/>
      <c r="AC828" s="85"/>
      <c r="AD828" s="85"/>
      <c r="AE828" s="85"/>
      <c r="AF828" s="85"/>
      <c r="AG828" s="85"/>
      <c r="AH828" s="85"/>
      <c r="AI828" s="85"/>
      <c r="AJ828" s="85"/>
      <c r="AK828" s="83"/>
      <c r="AL828" s="83"/>
      <c r="AM828" s="83"/>
      <c r="AN828" s="83"/>
    </row>
    <row r="829" spans="2:40" ht="15.75" customHeight="1">
      <c r="B829" s="83"/>
      <c r="C829" s="80"/>
      <c r="D829" s="80"/>
      <c r="E829" s="80"/>
      <c r="F829" s="188"/>
      <c r="G829" s="80"/>
      <c r="H829" s="80"/>
      <c r="I829" s="80"/>
      <c r="J829" s="187"/>
      <c r="K829" s="80"/>
      <c r="L829" s="80"/>
      <c r="M829" s="80"/>
      <c r="N829" s="80"/>
      <c r="O829" s="80"/>
      <c r="P829" s="80"/>
      <c r="Q829" s="80"/>
      <c r="R829" s="80"/>
      <c r="S829" s="80"/>
      <c r="T829" s="83"/>
      <c r="U829" s="85"/>
      <c r="V829" s="85"/>
      <c r="W829" s="85"/>
      <c r="X829" s="85"/>
      <c r="Y829" s="85"/>
      <c r="Z829" s="85"/>
      <c r="AA829" s="85"/>
      <c r="AB829" s="85"/>
      <c r="AC829" s="85"/>
      <c r="AD829" s="85"/>
      <c r="AE829" s="85"/>
      <c r="AF829" s="85"/>
      <c r="AG829" s="85"/>
      <c r="AH829" s="85"/>
      <c r="AI829" s="85"/>
      <c r="AJ829" s="85"/>
      <c r="AK829" s="83"/>
      <c r="AL829" s="83"/>
      <c r="AM829" s="83"/>
      <c r="AN829" s="83"/>
    </row>
    <row r="830" spans="2:40" ht="15.75" customHeight="1">
      <c r="B830" s="83"/>
      <c r="C830" s="80"/>
      <c r="D830" s="80"/>
      <c r="E830" s="80"/>
      <c r="F830" s="188"/>
      <c r="G830" s="80"/>
      <c r="H830" s="80"/>
      <c r="I830" s="80"/>
      <c r="J830" s="187"/>
      <c r="K830" s="80"/>
      <c r="L830" s="80"/>
      <c r="M830" s="80"/>
      <c r="N830" s="80"/>
      <c r="O830" s="80"/>
      <c r="P830" s="80"/>
      <c r="Q830" s="80"/>
      <c r="R830" s="80"/>
      <c r="S830" s="80"/>
      <c r="T830" s="83"/>
      <c r="U830" s="85"/>
      <c r="V830" s="85"/>
      <c r="W830" s="85"/>
      <c r="X830" s="85"/>
      <c r="Y830" s="85"/>
      <c r="Z830" s="85"/>
      <c r="AA830" s="85"/>
      <c r="AB830" s="85"/>
      <c r="AC830" s="85"/>
      <c r="AD830" s="85"/>
      <c r="AE830" s="85"/>
      <c r="AF830" s="85"/>
      <c r="AG830" s="85"/>
      <c r="AH830" s="85"/>
      <c r="AI830" s="85"/>
      <c r="AJ830" s="85"/>
      <c r="AK830" s="83"/>
      <c r="AL830" s="83"/>
      <c r="AM830" s="83"/>
      <c r="AN830" s="83"/>
    </row>
    <row r="831" spans="2:40" ht="15.75" customHeight="1">
      <c r="B831" s="83"/>
      <c r="C831" s="80"/>
      <c r="D831" s="80"/>
      <c r="E831" s="80"/>
      <c r="F831" s="188"/>
      <c r="G831" s="80"/>
      <c r="H831" s="80"/>
      <c r="I831" s="80"/>
      <c r="J831" s="187"/>
      <c r="K831" s="80"/>
      <c r="L831" s="80"/>
      <c r="M831" s="80"/>
      <c r="N831" s="80"/>
      <c r="O831" s="80"/>
      <c r="P831" s="80"/>
      <c r="Q831" s="80"/>
      <c r="R831" s="80"/>
      <c r="S831" s="80"/>
      <c r="T831" s="83"/>
      <c r="U831" s="85"/>
      <c r="V831" s="85"/>
      <c r="W831" s="85"/>
      <c r="X831" s="85"/>
      <c r="Y831" s="85"/>
      <c r="Z831" s="85"/>
      <c r="AA831" s="85"/>
      <c r="AB831" s="85"/>
      <c r="AC831" s="85"/>
      <c r="AD831" s="85"/>
      <c r="AE831" s="85"/>
      <c r="AF831" s="85"/>
      <c r="AG831" s="85"/>
      <c r="AH831" s="85"/>
      <c r="AI831" s="85"/>
      <c r="AJ831" s="85"/>
      <c r="AK831" s="83"/>
      <c r="AL831" s="83"/>
      <c r="AM831" s="83"/>
      <c r="AN831" s="83"/>
    </row>
    <row r="832" spans="2:40" ht="15.75" customHeight="1">
      <c r="B832" s="83"/>
      <c r="C832" s="80"/>
      <c r="D832" s="80"/>
      <c r="E832" s="80"/>
      <c r="F832" s="188"/>
      <c r="G832" s="80"/>
      <c r="H832" s="80"/>
      <c r="I832" s="80"/>
      <c r="J832" s="187"/>
      <c r="K832" s="80"/>
      <c r="L832" s="80"/>
      <c r="M832" s="80"/>
      <c r="N832" s="80"/>
      <c r="O832" s="80"/>
      <c r="P832" s="80"/>
      <c r="Q832" s="80"/>
      <c r="R832" s="80"/>
      <c r="S832" s="80"/>
      <c r="T832" s="83"/>
      <c r="U832" s="85"/>
      <c r="V832" s="85"/>
      <c r="W832" s="85"/>
      <c r="X832" s="85"/>
      <c r="Y832" s="85"/>
      <c r="Z832" s="85"/>
      <c r="AA832" s="85"/>
      <c r="AB832" s="85"/>
      <c r="AC832" s="85"/>
      <c r="AD832" s="85"/>
      <c r="AE832" s="85"/>
      <c r="AF832" s="85"/>
      <c r="AG832" s="85"/>
      <c r="AH832" s="85"/>
      <c r="AI832" s="85"/>
      <c r="AJ832" s="85"/>
      <c r="AK832" s="83"/>
      <c r="AL832" s="83"/>
      <c r="AM832" s="83"/>
      <c r="AN832" s="83"/>
    </row>
    <row r="833" spans="2:40" ht="15.75" customHeight="1">
      <c r="B833" s="83"/>
      <c r="C833" s="80"/>
      <c r="D833" s="80"/>
      <c r="E833" s="80"/>
      <c r="F833" s="188"/>
      <c r="G833" s="80"/>
      <c r="H833" s="80"/>
      <c r="I833" s="80"/>
      <c r="J833" s="187"/>
      <c r="K833" s="80"/>
      <c r="L833" s="80"/>
      <c r="M833" s="80"/>
      <c r="N833" s="80"/>
      <c r="O833" s="80"/>
      <c r="P833" s="80"/>
      <c r="Q833" s="80"/>
      <c r="R833" s="80"/>
      <c r="S833" s="80"/>
      <c r="T833" s="83"/>
      <c r="U833" s="85"/>
      <c r="V833" s="85"/>
      <c r="W833" s="85"/>
      <c r="X833" s="85"/>
      <c r="Y833" s="85"/>
      <c r="Z833" s="85"/>
      <c r="AA833" s="85"/>
      <c r="AB833" s="85"/>
      <c r="AC833" s="85"/>
      <c r="AD833" s="85"/>
      <c r="AE833" s="85"/>
      <c r="AF833" s="85"/>
      <c r="AG833" s="85"/>
      <c r="AH833" s="85"/>
      <c r="AI833" s="85"/>
      <c r="AJ833" s="85"/>
      <c r="AK833" s="83"/>
      <c r="AL833" s="83"/>
      <c r="AM833" s="83"/>
      <c r="AN833" s="83"/>
    </row>
    <row r="834" spans="2:40" ht="15.75" customHeight="1">
      <c r="B834" s="83"/>
      <c r="C834" s="80"/>
      <c r="D834" s="80"/>
      <c r="E834" s="80"/>
      <c r="F834" s="188"/>
      <c r="G834" s="80"/>
      <c r="H834" s="80"/>
      <c r="I834" s="80"/>
      <c r="J834" s="187"/>
      <c r="K834" s="80"/>
      <c r="L834" s="80"/>
      <c r="M834" s="80"/>
      <c r="N834" s="80"/>
      <c r="O834" s="80"/>
      <c r="P834" s="80"/>
      <c r="Q834" s="80"/>
      <c r="R834" s="80"/>
      <c r="S834" s="80"/>
      <c r="T834" s="83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  <c r="AK834" s="83"/>
      <c r="AL834" s="83"/>
      <c r="AM834" s="83"/>
      <c r="AN834" s="83"/>
    </row>
    <row r="835" spans="2:40" ht="15.75" customHeight="1">
      <c r="B835" s="83"/>
      <c r="C835" s="80"/>
      <c r="D835" s="80"/>
      <c r="E835" s="80"/>
      <c r="F835" s="188"/>
      <c r="G835" s="80"/>
      <c r="H835" s="80"/>
      <c r="I835" s="80"/>
      <c r="J835" s="187"/>
      <c r="K835" s="80"/>
      <c r="L835" s="80"/>
      <c r="M835" s="80"/>
      <c r="N835" s="80"/>
      <c r="O835" s="80"/>
      <c r="P835" s="80"/>
      <c r="Q835" s="80"/>
      <c r="R835" s="80"/>
      <c r="S835" s="80"/>
      <c r="T835" s="83"/>
      <c r="U835" s="85"/>
      <c r="V835" s="85"/>
      <c r="W835" s="85"/>
      <c r="X835" s="85"/>
      <c r="Y835" s="85"/>
      <c r="Z835" s="85"/>
      <c r="AA835" s="85"/>
      <c r="AB835" s="85"/>
      <c r="AC835" s="85"/>
      <c r="AD835" s="85"/>
      <c r="AE835" s="85"/>
      <c r="AF835" s="85"/>
      <c r="AG835" s="85"/>
      <c r="AH835" s="85"/>
      <c r="AI835" s="85"/>
      <c r="AJ835" s="85"/>
      <c r="AK835" s="83"/>
      <c r="AL835" s="83"/>
      <c r="AM835" s="83"/>
      <c r="AN835" s="83"/>
    </row>
    <row r="836" spans="2:40" ht="15.75" customHeight="1">
      <c r="B836" s="83"/>
      <c r="C836" s="80"/>
      <c r="D836" s="80"/>
      <c r="E836" s="80"/>
      <c r="F836" s="188"/>
      <c r="G836" s="80"/>
      <c r="H836" s="80"/>
      <c r="I836" s="80"/>
      <c r="J836" s="187"/>
      <c r="K836" s="80"/>
      <c r="L836" s="80"/>
      <c r="M836" s="80"/>
      <c r="N836" s="80"/>
      <c r="O836" s="80"/>
      <c r="P836" s="80"/>
      <c r="Q836" s="80"/>
      <c r="R836" s="80"/>
      <c r="S836" s="80"/>
      <c r="T836" s="83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I836" s="85"/>
      <c r="AJ836" s="85"/>
      <c r="AK836" s="83"/>
      <c r="AL836" s="83"/>
      <c r="AM836" s="83"/>
      <c r="AN836" s="83"/>
    </row>
    <row r="837" spans="2:40" ht="15.75" customHeight="1">
      <c r="B837" s="83"/>
      <c r="C837" s="80"/>
      <c r="D837" s="80"/>
      <c r="E837" s="80"/>
      <c r="F837" s="188"/>
      <c r="G837" s="80"/>
      <c r="H837" s="80"/>
      <c r="I837" s="80"/>
      <c r="J837" s="187"/>
      <c r="K837" s="80"/>
      <c r="L837" s="80"/>
      <c r="M837" s="80"/>
      <c r="N837" s="80"/>
      <c r="O837" s="80"/>
      <c r="P837" s="80"/>
      <c r="Q837" s="80"/>
      <c r="R837" s="80"/>
      <c r="S837" s="80"/>
      <c r="T837" s="83"/>
      <c r="U837" s="85"/>
      <c r="V837" s="85"/>
      <c r="W837" s="85"/>
      <c r="X837" s="85"/>
      <c r="Y837" s="85"/>
      <c r="Z837" s="85"/>
      <c r="AA837" s="85"/>
      <c r="AB837" s="85"/>
      <c r="AC837" s="85"/>
      <c r="AD837" s="85"/>
      <c r="AE837" s="85"/>
      <c r="AF837" s="85"/>
      <c r="AG837" s="85"/>
      <c r="AH837" s="85"/>
      <c r="AI837" s="85"/>
      <c r="AJ837" s="85"/>
      <c r="AK837" s="83"/>
      <c r="AL837" s="83"/>
      <c r="AM837" s="83"/>
      <c r="AN837" s="83"/>
    </row>
    <row r="838" spans="2:40" ht="15.75" customHeight="1">
      <c r="B838" s="83"/>
      <c r="C838" s="80"/>
      <c r="D838" s="80"/>
      <c r="E838" s="80"/>
      <c r="F838" s="188"/>
      <c r="G838" s="80"/>
      <c r="H838" s="80"/>
      <c r="I838" s="80"/>
      <c r="J838" s="187"/>
      <c r="K838" s="80"/>
      <c r="L838" s="80"/>
      <c r="M838" s="80"/>
      <c r="N838" s="80"/>
      <c r="O838" s="80"/>
      <c r="P838" s="80"/>
      <c r="Q838" s="80"/>
      <c r="R838" s="80"/>
      <c r="S838" s="80"/>
      <c r="T838" s="83"/>
      <c r="U838" s="85"/>
      <c r="V838" s="85"/>
      <c r="W838" s="85"/>
      <c r="X838" s="85"/>
      <c r="Y838" s="85"/>
      <c r="Z838" s="85"/>
      <c r="AA838" s="85"/>
      <c r="AB838" s="85"/>
      <c r="AC838" s="85"/>
      <c r="AD838" s="85"/>
      <c r="AE838" s="85"/>
      <c r="AF838" s="85"/>
      <c r="AG838" s="85"/>
      <c r="AH838" s="85"/>
      <c r="AI838" s="85"/>
      <c r="AJ838" s="85"/>
      <c r="AK838" s="83"/>
      <c r="AL838" s="83"/>
      <c r="AM838" s="83"/>
      <c r="AN838" s="83"/>
    </row>
    <row r="839" spans="2:40" ht="15.75" customHeight="1">
      <c r="B839" s="83"/>
      <c r="C839" s="80"/>
      <c r="D839" s="80"/>
      <c r="E839" s="80"/>
      <c r="F839" s="188"/>
      <c r="G839" s="80"/>
      <c r="H839" s="80"/>
      <c r="I839" s="80"/>
      <c r="J839" s="187"/>
      <c r="K839" s="80"/>
      <c r="L839" s="80"/>
      <c r="M839" s="80"/>
      <c r="N839" s="80"/>
      <c r="O839" s="80"/>
      <c r="P839" s="80"/>
      <c r="Q839" s="80"/>
      <c r="R839" s="80"/>
      <c r="S839" s="80"/>
      <c r="T839" s="83"/>
      <c r="U839" s="85"/>
      <c r="V839" s="85"/>
      <c r="W839" s="85"/>
      <c r="X839" s="85"/>
      <c r="Y839" s="85"/>
      <c r="Z839" s="85"/>
      <c r="AA839" s="85"/>
      <c r="AB839" s="85"/>
      <c r="AC839" s="85"/>
      <c r="AD839" s="85"/>
      <c r="AE839" s="85"/>
      <c r="AF839" s="85"/>
      <c r="AG839" s="85"/>
      <c r="AH839" s="85"/>
      <c r="AI839" s="85"/>
      <c r="AJ839" s="85"/>
      <c r="AK839" s="83"/>
      <c r="AL839" s="83"/>
      <c r="AM839" s="83"/>
      <c r="AN839" s="83"/>
    </row>
    <row r="840" spans="2:40" ht="15.75" customHeight="1">
      <c r="B840" s="83"/>
      <c r="C840" s="80"/>
      <c r="D840" s="80"/>
      <c r="E840" s="80"/>
      <c r="F840" s="188"/>
      <c r="G840" s="80"/>
      <c r="H840" s="80"/>
      <c r="I840" s="80"/>
      <c r="J840" s="187"/>
      <c r="K840" s="80"/>
      <c r="L840" s="80"/>
      <c r="M840" s="80"/>
      <c r="N840" s="80"/>
      <c r="O840" s="80"/>
      <c r="P840" s="80"/>
      <c r="Q840" s="80"/>
      <c r="R840" s="80"/>
      <c r="S840" s="80"/>
      <c r="T840" s="83"/>
      <c r="U840" s="85"/>
      <c r="V840" s="85"/>
      <c r="W840" s="85"/>
      <c r="X840" s="85"/>
      <c r="Y840" s="85"/>
      <c r="Z840" s="85"/>
      <c r="AA840" s="85"/>
      <c r="AB840" s="85"/>
      <c r="AC840" s="85"/>
      <c r="AD840" s="85"/>
      <c r="AE840" s="85"/>
      <c r="AF840" s="85"/>
      <c r="AG840" s="85"/>
      <c r="AH840" s="85"/>
      <c r="AI840" s="85"/>
      <c r="AJ840" s="85"/>
      <c r="AK840" s="83"/>
      <c r="AL840" s="83"/>
      <c r="AM840" s="83"/>
      <c r="AN840" s="83"/>
    </row>
    <row r="841" spans="2:40" ht="15.75" customHeight="1">
      <c r="B841" s="83"/>
      <c r="C841" s="80"/>
      <c r="D841" s="80"/>
      <c r="E841" s="80"/>
      <c r="F841" s="188"/>
      <c r="G841" s="80"/>
      <c r="H841" s="80"/>
      <c r="I841" s="80"/>
      <c r="J841" s="187"/>
      <c r="K841" s="80"/>
      <c r="L841" s="80"/>
      <c r="M841" s="80"/>
      <c r="N841" s="80"/>
      <c r="O841" s="80"/>
      <c r="P841" s="80"/>
      <c r="Q841" s="80"/>
      <c r="R841" s="80"/>
      <c r="S841" s="80"/>
      <c r="T841" s="83"/>
      <c r="U841" s="85"/>
      <c r="V841" s="85"/>
      <c r="W841" s="85"/>
      <c r="X841" s="85"/>
      <c r="Y841" s="85"/>
      <c r="Z841" s="85"/>
      <c r="AA841" s="85"/>
      <c r="AB841" s="85"/>
      <c r="AC841" s="85"/>
      <c r="AD841" s="85"/>
      <c r="AE841" s="85"/>
      <c r="AF841" s="85"/>
      <c r="AG841" s="85"/>
      <c r="AH841" s="85"/>
      <c r="AI841" s="85"/>
      <c r="AJ841" s="85"/>
      <c r="AK841" s="83"/>
      <c r="AL841" s="83"/>
      <c r="AM841" s="83"/>
      <c r="AN841" s="83"/>
    </row>
    <row r="842" spans="2:40" ht="15.75" customHeight="1">
      <c r="B842" s="83"/>
      <c r="C842" s="80"/>
      <c r="D842" s="80"/>
      <c r="E842" s="80"/>
      <c r="F842" s="188"/>
      <c r="G842" s="80"/>
      <c r="H842" s="80"/>
      <c r="I842" s="80"/>
      <c r="J842" s="187"/>
      <c r="K842" s="80"/>
      <c r="L842" s="80"/>
      <c r="M842" s="80"/>
      <c r="N842" s="80"/>
      <c r="O842" s="80"/>
      <c r="P842" s="80"/>
      <c r="Q842" s="80"/>
      <c r="R842" s="80"/>
      <c r="S842" s="80"/>
      <c r="T842" s="83"/>
      <c r="U842" s="85"/>
      <c r="V842" s="85"/>
      <c r="W842" s="85"/>
      <c r="X842" s="85"/>
      <c r="Y842" s="85"/>
      <c r="Z842" s="85"/>
      <c r="AA842" s="85"/>
      <c r="AB842" s="85"/>
      <c r="AC842" s="85"/>
      <c r="AD842" s="85"/>
      <c r="AE842" s="85"/>
      <c r="AF842" s="85"/>
      <c r="AG842" s="85"/>
      <c r="AH842" s="85"/>
      <c r="AI842" s="85"/>
      <c r="AJ842" s="85"/>
      <c r="AK842" s="83"/>
      <c r="AL842" s="83"/>
      <c r="AM842" s="83"/>
      <c r="AN842" s="83"/>
    </row>
    <row r="843" spans="2:40" ht="15.75" customHeight="1">
      <c r="B843" s="83"/>
      <c r="C843" s="80"/>
      <c r="D843" s="80"/>
      <c r="E843" s="80"/>
      <c r="F843" s="188"/>
      <c r="G843" s="80"/>
      <c r="H843" s="80"/>
      <c r="I843" s="80"/>
      <c r="J843" s="187"/>
      <c r="K843" s="80"/>
      <c r="L843" s="80"/>
      <c r="M843" s="80"/>
      <c r="N843" s="80"/>
      <c r="O843" s="80"/>
      <c r="P843" s="80"/>
      <c r="Q843" s="80"/>
      <c r="R843" s="80"/>
      <c r="S843" s="80"/>
      <c r="T843" s="83"/>
      <c r="U843" s="85"/>
      <c r="V843" s="85"/>
      <c r="W843" s="85"/>
      <c r="X843" s="85"/>
      <c r="Y843" s="85"/>
      <c r="Z843" s="85"/>
      <c r="AA843" s="85"/>
      <c r="AB843" s="85"/>
      <c r="AC843" s="85"/>
      <c r="AD843" s="85"/>
      <c r="AE843" s="85"/>
      <c r="AF843" s="85"/>
      <c r="AG843" s="85"/>
      <c r="AH843" s="85"/>
      <c r="AI843" s="85"/>
      <c r="AJ843" s="85"/>
      <c r="AK843" s="83"/>
      <c r="AL843" s="83"/>
      <c r="AM843" s="83"/>
      <c r="AN843" s="83"/>
    </row>
    <row r="844" spans="2:40" ht="15.75" customHeight="1">
      <c r="B844" s="83"/>
      <c r="C844" s="80"/>
      <c r="D844" s="80"/>
      <c r="E844" s="80"/>
      <c r="F844" s="188"/>
      <c r="G844" s="80"/>
      <c r="H844" s="80"/>
      <c r="I844" s="80"/>
      <c r="J844" s="187"/>
      <c r="K844" s="80"/>
      <c r="L844" s="80"/>
      <c r="M844" s="80"/>
      <c r="N844" s="80"/>
      <c r="O844" s="80"/>
      <c r="P844" s="80"/>
      <c r="Q844" s="80"/>
      <c r="R844" s="80"/>
      <c r="S844" s="80"/>
      <c r="T844" s="83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I844" s="85"/>
      <c r="AJ844" s="85"/>
      <c r="AK844" s="83"/>
      <c r="AL844" s="83"/>
      <c r="AM844" s="83"/>
      <c r="AN844" s="83"/>
    </row>
    <row r="845" spans="2:40" ht="15.75" customHeight="1">
      <c r="B845" s="83"/>
      <c r="C845" s="80"/>
      <c r="D845" s="80"/>
      <c r="E845" s="80"/>
      <c r="F845" s="188"/>
      <c r="G845" s="80"/>
      <c r="H845" s="80"/>
      <c r="I845" s="80"/>
      <c r="J845" s="187"/>
      <c r="K845" s="80"/>
      <c r="L845" s="80"/>
      <c r="M845" s="80"/>
      <c r="N845" s="80"/>
      <c r="O845" s="80"/>
      <c r="P845" s="80"/>
      <c r="Q845" s="80"/>
      <c r="R845" s="80"/>
      <c r="S845" s="80"/>
      <c r="T845" s="83"/>
      <c r="U845" s="85"/>
      <c r="V845" s="85"/>
      <c r="W845" s="85"/>
      <c r="X845" s="85"/>
      <c r="Y845" s="85"/>
      <c r="Z845" s="85"/>
      <c r="AA845" s="85"/>
      <c r="AB845" s="85"/>
      <c r="AC845" s="85"/>
      <c r="AD845" s="85"/>
      <c r="AE845" s="85"/>
      <c r="AF845" s="85"/>
      <c r="AG845" s="85"/>
      <c r="AH845" s="85"/>
      <c r="AI845" s="85"/>
      <c r="AJ845" s="85"/>
      <c r="AK845" s="83"/>
      <c r="AL845" s="83"/>
      <c r="AM845" s="83"/>
      <c r="AN845" s="83"/>
    </row>
    <row r="846" spans="2:40" ht="15.75" customHeight="1">
      <c r="B846" s="83"/>
      <c r="C846" s="80"/>
      <c r="D846" s="80"/>
      <c r="E846" s="80"/>
      <c r="F846" s="188"/>
      <c r="G846" s="80"/>
      <c r="H846" s="80"/>
      <c r="I846" s="80"/>
      <c r="J846" s="187"/>
      <c r="K846" s="80"/>
      <c r="L846" s="80"/>
      <c r="M846" s="80"/>
      <c r="N846" s="80"/>
      <c r="O846" s="80"/>
      <c r="P846" s="80"/>
      <c r="Q846" s="80"/>
      <c r="R846" s="80"/>
      <c r="S846" s="80"/>
      <c r="T846" s="83"/>
      <c r="U846" s="85"/>
      <c r="V846" s="85"/>
      <c r="W846" s="85"/>
      <c r="X846" s="85"/>
      <c r="Y846" s="85"/>
      <c r="Z846" s="85"/>
      <c r="AA846" s="85"/>
      <c r="AB846" s="85"/>
      <c r="AC846" s="85"/>
      <c r="AD846" s="85"/>
      <c r="AE846" s="85"/>
      <c r="AF846" s="85"/>
      <c r="AG846" s="85"/>
      <c r="AH846" s="85"/>
      <c r="AI846" s="85"/>
      <c r="AJ846" s="85"/>
      <c r="AK846" s="83"/>
      <c r="AL846" s="83"/>
      <c r="AM846" s="83"/>
      <c r="AN846" s="83"/>
    </row>
    <row r="847" spans="2:40" ht="15.75" customHeight="1">
      <c r="B847" s="83"/>
      <c r="C847" s="80"/>
      <c r="D847" s="80"/>
      <c r="E847" s="80"/>
      <c r="F847" s="188"/>
      <c r="G847" s="80"/>
      <c r="H847" s="80"/>
      <c r="I847" s="80"/>
      <c r="J847" s="187"/>
      <c r="K847" s="80"/>
      <c r="L847" s="80"/>
      <c r="M847" s="80"/>
      <c r="N847" s="80"/>
      <c r="O847" s="80"/>
      <c r="P847" s="80"/>
      <c r="Q847" s="80"/>
      <c r="R847" s="80"/>
      <c r="S847" s="80"/>
      <c r="T847" s="83"/>
      <c r="U847" s="85"/>
      <c r="V847" s="85"/>
      <c r="W847" s="85"/>
      <c r="X847" s="85"/>
      <c r="Y847" s="85"/>
      <c r="Z847" s="85"/>
      <c r="AA847" s="85"/>
      <c r="AB847" s="85"/>
      <c r="AC847" s="85"/>
      <c r="AD847" s="85"/>
      <c r="AE847" s="85"/>
      <c r="AF847" s="85"/>
      <c r="AG847" s="85"/>
      <c r="AH847" s="85"/>
      <c r="AI847" s="85"/>
      <c r="AJ847" s="85"/>
      <c r="AK847" s="83"/>
      <c r="AL847" s="83"/>
      <c r="AM847" s="83"/>
      <c r="AN847" s="83"/>
    </row>
    <row r="848" spans="2:40" ht="15.75" customHeight="1">
      <c r="B848" s="83"/>
      <c r="C848" s="80"/>
      <c r="D848" s="80"/>
      <c r="E848" s="80"/>
      <c r="F848" s="188"/>
      <c r="G848" s="80"/>
      <c r="H848" s="80"/>
      <c r="I848" s="80"/>
      <c r="J848" s="187"/>
      <c r="K848" s="80"/>
      <c r="L848" s="80"/>
      <c r="M848" s="80"/>
      <c r="N848" s="80"/>
      <c r="O848" s="80"/>
      <c r="P848" s="80"/>
      <c r="Q848" s="80"/>
      <c r="R848" s="80"/>
      <c r="S848" s="80"/>
      <c r="T848" s="83"/>
      <c r="U848" s="85"/>
      <c r="V848" s="85"/>
      <c r="W848" s="85"/>
      <c r="X848" s="85"/>
      <c r="Y848" s="85"/>
      <c r="Z848" s="85"/>
      <c r="AA848" s="85"/>
      <c r="AB848" s="85"/>
      <c r="AC848" s="85"/>
      <c r="AD848" s="85"/>
      <c r="AE848" s="85"/>
      <c r="AF848" s="85"/>
      <c r="AG848" s="85"/>
      <c r="AH848" s="85"/>
      <c r="AI848" s="85"/>
      <c r="AJ848" s="85"/>
      <c r="AK848" s="83"/>
      <c r="AL848" s="83"/>
      <c r="AM848" s="83"/>
      <c r="AN848" s="83"/>
    </row>
    <row r="849" spans="2:40" ht="15.75" customHeight="1">
      <c r="B849" s="83"/>
      <c r="C849" s="80"/>
      <c r="D849" s="80"/>
      <c r="E849" s="80"/>
      <c r="F849" s="188"/>
      <c r="G849" s="80"/>
      <c r="H849" s="80"/>
      <c r="I849" s="80"/>
      <c r="J849" s="187"/>
      <c r="K849" s="80"/>
      <c r="L849" s="80"/>
      <c r="M849" s="80"/>
      <c r="N849" s="80"/>
      <c r="O849" s="80"/>
      <c r="P849" s="80"/>
      <c r="Q849" s="80"/>
      <c r="R849" s="80"/>
      <c r="S849" s="80"/>
      <c r="T849" s="83"/>
      <c r="U849" s="85"/>
      <c r="V849" s="85"/>
      <c r="W849" s="85"/>
      <c r="X849" s="85"/>
      <c r="Y849" s="85"/>
      <c r="Z849" s="85"/>
      <c r="AA849" s="85"/>
      <c r="AB849" s="85"/>
      <c r="AC849" s="85"/>
      <c r="AD849" s="85"/>
      <c r="AE849" s="85"/>
      <c r="AF849" s="85"/>
      <c r="AG849" s="85"/>
      <c r="AH849" s="85"/>
      <c r="AI849" s="85"/>
      <c r="AJ849" s="85"/>
      <c r="AK849" s="83"/>
      <c r="AL849" s="83"/>
      <c r="AM849" s="83"/>
      <c r="AN849" s="83"/>
    </row>
    <row r="850" spans="2:40" ht="15.75" customHeight="1">
      <c r="B850" s="83"/>
      <c r="C850" s="80"/>
      <c r="D850" s="80"/>
      <c r="E850" s="80"/>
      <c r="F850" s="188"/>
      <c r="G850" s="80"/>
      <c r="H850" s="80"/>
      <c r="I850" s="80"/>
      <c r="J850" s="187"/>
      <c r="K850" s="80"/>
      <c r="L850" s="80"/>
      <c r="M850" s="80"/>
      <c r="N850" s="80"/>
      <c r="O850" s="80"/>
      <c r="P850" s="80"/>
      <c r="Q850" s="80"/>
      <c r="R850" s="80"/>
      <c r="S850" s="80"/>
      <c r="T850" s="83"/>
      <c r="U850" s="85"/>
      <c r="V850" s="85"/>
      <c r="W850" s="85"/>
      <c r="X850" s="85"/>
      <c r="Y850" s="85"/>
      <c r="Z850" s="85"/>
      <c r="AA850" s="85"/>
      <c r="AB850" s="85"/>
      <c r="AC850" s="85"/>
      <c r="AD850" s="85"/>
      <c r="AE850" s="85"/>
      <c r="AF850" s="85"/>
      <c r="AG850" s="85"/>
      <c r="AH850" s="85"/>
      <c r="AI850" s="85"/>
      <c r="AJ850" s="85"/>
      <c r="AK850" s="83"/>
      <c r="AL850" s="83"/>
      <c r="AM850" s="83"/>
      <c r="AN850" s="83"/>
    </row>
    <row r="851" spans="2:40" ht="15.75" customHeight="1">
      <c r="B851" s="83"/>
      <c r="C851" s="80"/>
      <c r="D851" s="80"/>
      <c r="E851" s="80"/>
      <c r="F851" s="188"/>
      <c r="G851" s="80"/>
      <c r="H851" s="80"/>
      <c r="I851" s="80"/>
      <c r="J851" s="187"/>
      <c r="K851" s="80"/>
      <c r="L851" s="80"/>
      <c r="M851" s="80"/>
      <c r="N851" s="80"/>
      <c r="O851" s="80"/>
      <c r="P851" s="80"/>
      <c r="Q851" s="80"/>
      <c r="R851" s="80"/>
      <c r="S851" s="80"/>
      <c r="T851" s="83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I851" s="85"/>
      <c r="AJ851" s="85"/>
      <c r="AK851" s="83"/>
      <c r="AL851" s="83"/>
      <c r="AM851" s="83"/>
      <c r="AN851" s="83"/>
    </row>
    <row r="852" spans="2:40" ht="15.75" customHeight="1">
      <c r="B852" s="83"/>
      <c r="C852" s="80"/>
      <c r="D852" s="80"/>
      <c r="E852" s="80"/>
      <c r="F852" s="188"/>
      <c r="G852" s="80"/>
      <c r="H852" s="80"/>
      <c r="I852" s="80"/>
      <c r="J852" s="187"/>
      <c r="K852" s="80"/>
      <c r="L852" s="80"/>
      <c r="M852" s="80"/>
      <c r="N852" s="80"/>
      <c r="O852" s="80"/>
      <c r="P852" s="80"/>
      <c r="Q852" s="80"/>
      <c r="R852" s="80"/>
      <c r="S852" s="80"/>
      <c r="T852" s="83"/>
      <c r="U852" s="85"/>
      <c r="V852" s="85"/>
      <c r="W852" s="85"/>
      <c r="X852" s="85"/>
      <c r="Y852" s="85"/>
      <c r="Z852" s="85"/>
      <c r="AA852" s="85"/>
      <c r="AB852" s="85"/>
      <c r="AC852" s="85"/>
      <c r="AD852" s="85"/>
      <c r="AE852" s="85"/>
      <c r="AF852" s="85"/>
      <c r="AG852" s="85"/>
      <c r="AH852" s="85"/>
      <c r="AI852" s="85"/>
      <c r="AJ852" s="85"/>
      <c r="AK852" s="83"/>
      <c r="AL852" s="83"/>
      <c r="AM852" s="83"/>
      <c r="AN852" s="83"/>
    </row>
    <row r="853" spans="2:40" ht="15.75" customHeight="1">
      <c r="B853" s="83"/>
      <c r="C853" s="80"/>
      <c r="D853" s="80"/>
      <c r="E853" s="80"/>
      <c r="F853" s="188"/>
      <c r="G853" s="80"/>
      <c r="H853" s="80"/>
      <c r="I853" s="80"/>
      <c r="J853" s="187"/>
      <c r="K853" s="80"/>
      <c r="L853" s="80"/>
      <c r="M853" s="80"/>
      <c r="N853" s="80"/>
      <c r="O853" s="80"/>
      <c r="P853" s="80"/>
      <c r="Q853" s="80"/>
      <c r="R853" s="80"/>
      <c r="S853" s="80"/>
      <c r="T853" s="83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  <c r="AK853" s="83"/>
      <c r="AL853" s="83"/>
      <c r="AM853" s="83"/>
      <c r="AN853" s="83"/>
    </row>
    <row r="854" spans="2:40" ht="15.75" customHeight="1">
      <c r="B854" s="83"/>
      <c r="C854" s="80"/>
      <c r="D854" s="80"/>
      <c r="E854" s="80"/>
      <c r="F854" s="188"/>
      <c r="G854" s="80"/>
      <c r="H854" s="80"/>
      <c r="I854" s="80"/>
      <c r="J854" s="187"/>
      <c r="K854" s="80"/>
      <c r="L854" s="80"/>
      <c r="M854" s="80"/>
      <c r="N854" s="80"/>
      <c r="O854" s="80"/>
      <c r="P854" s="80"/>
      <c r="Q854" s="80"/>
      <c r="R854" s="80"/>
      <c r="S854" s="80"/>
      <c r="T854" s="83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  <c r="AK854" s="83"/>
      <c r="AL854" s="83"/>
      <c r="AM854" s="83"/>
      <c r="AN854" s="83"/>
    </row>
    <row r="855" spans="2:40" ht="15.75" customHeight="1">
      <c r="B855" s="83"/>
      <c r="C855" s="80"/>
      <c r="D855" s="80"/>
      <c r="E855" s="80"/>
      <c r="F855" s="188"/>
      <c r="G855" s="80"/>
      <c r="H855" s="80"/>
      <c r="I855" s="80"/>
      <c r="J855" s="187"/>
      <c r="K855" s="80"/>
      <c r="L855" s="80"/>
      <c r="M855" s="80"/>
      <c r="N855" s="80"/>
      <c r="O855" s="80"/>
      <c r="P855" s="80"/>
      <c r="Q855" s="80"/>
      <c r="R855" s="80"/>
      <c r="S855" s="80"/>
      <c r="T855" s="83"/>
      <c r="U855" s="85"/>
      <c r="V855" s="85"/>
      <c r="W855" s="85"/>
      <c r="X855" s="85"/>
      <c r="Y855" s="85"/>
      <c r="Z855" s="85"/>
      <c r="AA855" s="85"/>
      <c r="AB855" s="85"/>
      <c r="AC855" s="85"/>
      <c r="AD855" s="85"/>
      <c r="AE855" s="85"/>
      <c r="AF855" s="85"/>
      <c r="AG855" s="85"/>
      <c r="AH855" s="85"/>
      <c r="AI855" s="85"/>
      <c r="AJ855" s="85"/>
      <c r="AK855" s="83"/>
      <c r="AL855" s="83"/>
      <c r="AM855" s="83"/>
      <c r="AN855" s="83"/>
    </row>
    <row r="856" spans="2:40" ht="15.75" customHeight="1">
      <c r="B856" s="83"/>
      <c r="C856" s="80"/>
      <c r="D856" s="80"/>
      <c r="E856" s="80"/>
      <c r="F856" s="188"/>
      <c r="G856" s="80"/>
      <c r="H856" s="80"/>
      <c r="I856" s="80"/>
      <c r="J856" s="187"/>
      <c r="K856" s="80"/>
      <c r="L856" s="80"/>
      <c r="M856" s="80"/>
      <c r="N856" s="80"/>
      <c r="O856" s="80"/>
      <c r="P856" s="80"/>
      <c r="Q856" s="80"/>
      <c r="R856" s="80"/>
      <c r="S856" s="80"/>
      <c r="T856" s="83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  <c r="AK856" s="83"/>
      <c r="AL856" s="83"/>
      <c r="AM856" s="83"/>
      <c r="AN856" s="83"/>
    </row>
    <row r="857" spans="2:40" ht="15.75" customHeight="1">
      <c r="B857" s="83"/>
      <c r="C857" s="80"/>
      <c r="D857" s="80"/>
      <c r="E857" s="80"/>
      <c r="F857" s="188"/>
      <c r="G857" s="80"/>
      <c r="H857" s="80"/>
      <c r="I857" s="80"/>
      <c r="J857" s="187"/>
      <c r="K857" s="80"/>
      <c r="L857" s="80"/>
      <c r="M857" s="80"/>
      <c r="N857" s="80"/>
      <c r="O857" s="80"/>
      <c r="P857" s="80"/>
      <c r="Q857" s="80"/>
      <c r="R857" s="80"/>
      <c r="S857" s="80"/>
      <c r="T857" s="83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3"/>
      <c r="AL857" s="83"/>
      <c r="AM857" s="83"/>
      <c r="AN857" s="83"/>
    </row>
    <row r="858" spans="2:40" ht="15.75" customHeight="1">
      <c r="B858" s="83"/>
      <c r="C858" s="80"/>
      <c r="D858" s="80"/>
      <c r="E858" s="80"/>
      <c r="F858" s="188"/>
      <c r="G858" s="80"/>
      <c r="H858" s="80"/>
      <c r="I858" s="80"/>
      <c r="J858" s="187"/>
      <c r="K858" s="80"/>
      <c r="L858" s="80"/>
      <c r="M858" s="80"/>
      <c r="N858" s="80"/>
      <c r="O858" s="80"/>
      <c r="P858" s="80"/>
      <c r="Q858" s="80"/>
      <c r="R858" s="80"/>
      <c r="S858" s="80"/>
      <c r="T858" s="83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  <c r="AK858" s="83"/>
      <c r="AL858" s="83"/>
      <c r="AM858" s="83"/>
      <c r="AN858" s="83"/>
    </row>
    <row r="859" spans="2:40" ht="15.75" customHeight="1">
      <c r="B859" s="83"/>
      <c r="C859" s="80"/>
      <c r="D859" s="80"/>
      <c r="E859" s="80"/>
      <c r="F859" s="188"/>
      <c r="G859" s="80"/>
      <c r="H859" s="80"/>
      <c r="I859" s="80"/>
      <c r="J859" s="187"/>
      <c r="K859" s="80"/>
      <c r="L859" s="80"/>
      <c r="M859" s="80"/>
      <c r="N859" s="80"/>
      <c r="O859" s="80"/>
      <c r="P859" s="80"/>
      <c r="Q859" s="80"/>
      <c r="R859" s="80"/>
      <c r="S859" s="80"/>
      <c r="T859" s="83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3"/>
      <c r="AL859" s="83"/>
      <c r="AM859" s="83"/>
      <c r="AN859" s="83"/>
    </row>
    <row r="860" spans="2:40" ht="15.75" customHeight="1">
      <c r="B860" s="83"/>
      <c r="C860" s="80"/>
      <c r="D860" s="80"/>
      <c r="E860" s="80"/>
      <c r="F860" s="188"/>
      <c r="G860" s="80"/>
      <c r="H860" s="80"/>
      <c r="I860" s="80"/>
      <c r="J860" s="187"/>
      <c r="K860" s="80"/>
      <c r="L860" s="80"/>
      <c r="M860" s="80"/>
      <c r="N860" s="80"/>
      <c r="O860" s="80"/>
      <c r="P860" s="80"/>
      <c r="Q860" s="80"/>
      <c r="R860" s="80"/>
      <c r="S860" s="80"/>
      <c r="T860" s="83"/>
      <c r="U860" s="85"/>
      <c r="V860" s="85"/>
      <c r="W860" s="85"/>
      <c r="X860" s="85"/>
      <c r="Y860" s="85"/>
      <c r="Z860" s="85"/>
      <c r="AA860" s="85"/>
      <c r="AB860" s="85"/>
      <c r="AC860" s="85"/>
      <c r="AD860" s="85"/>
      <c r="AE860" s="85"/>
      <c r="AF860" s="85"/>
      <c r="AG860" s="85"/>
      <c r="AH860" s="85"/>
      <c r="AI860" s="85"/>
      <c r="AJ860" s="85"/>
      <c r="AK860" s="83"/>
      <c r="AL860" s="83"/>
      <c r="AM860" s="83"/>
      <c r="AN860" s="83"/>
    </row>
    <row r="861" spans="2:40" ht="15.75" customHeight="1">
      <c r="B861" s="83"/>
      <c r="C861" s="80"/>
      <c r="D861" s="80"/>
      <c r="E861" s="80"/>
      <c r="F861" s="188"/>
      <c r="G861" s="80"/>
      <c r="H861" s="80"/>
      <c r="I861" s="80"/>
      <c r="J861" s="187"/>
      <c r="K861" s="80"/>
      <c r="L861" s="80"/>
      <c r="M861" s="80"/>
      <c r="N861" s="80"/>
      <c r="O861" s="80"/>
      <c r="P861" s="80"/>
      <c r="Q861" s="80"/>
      <c r="R861" s="80"/>
      <c r="S861" s="80"/>
      <c r="T861" s="83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  <c r="AK861" s="83"/>
      <c r="AL861" s="83"/>
      <c r="AM861" s="83"/>
      <c r="AN861" s="83"/>
    </row>
    <row r="862" spans="2:40" ht="15.75" customHeight="1">
      <c r="B862" s="83"/>
      <c r="C862" s="80"/>
      <c r="D862" s="80"/>
      <c r="E862" s="80"/>
      <c r="F862" s="188"/>
      <c r="G862" s="80"/>
      <c r="H862" s="80"/>
      <c r="I862" s="80"/>
      <c r="J862" s="187"/>
      <c r="K862" s="80"/>
      <c r="L862" s="80"/>
      <c r="M862" s="80"/>
      <c r="N862" s="80"/>
      <c r="O862" s="80"/>
      <c r="P862" s="80"/>
      <c r="Q862" s="80"/>
      <c r="R862" s="80"/>
      <c r="S862" s="80"/>
      <c r="T862" s="83"/>
      <c r="U862" s="85"/>
      <c r="V862" s="85"/>
      <c r="W862" s="85"/>
      <c r="X862" s="85"/>
      <c r="Y862" s="85"/>
      <c r="Z862" s="85"/>
      <c r="AA862" s="85"/>
      <c r="AB862" s="85"/>
      <c r="AC862" s="85"/>
      <c r="AD862" s="85"/>
      <c r="AE862" s="85"/>
      <c r="AF862" s="85"/>
      <c r="AG862" s="85"/>
      <c r="AH862" s="85"/>
      <c r="AI862" s="85"/>
      <c r="AJ862" s="85"/>
      <c r="AK862" s="83"/>
      <c r="AL862" s="83"/>
      <c r="AM862" s="83"/>
      <c r="AN862" s="83"/>
    </row>
    <row r="863" spans="2:40" ht="15.75" customHeight="1">
      <c r="B863" s="83"/>
      <c r="C863" s="80"/>
      <c r="D863" s="80"/>
      <c r="E863" s="80"/>
      <c r="F863" s="188"/>
      <c r="G863" s="80"/>
      <c r="H863" s="80"/>
      <c r="I863" s="80"/>
      <c r="J863" s="187"/>
      <c r="K863" s="80"/>
      <c r="L863" s="80"/>
      <c r="M863" s="80"/>
      <c r="N863" s="80"/>
      <c r="O863" s="80"/>
      <c r="P863" s="80"/>
      <c r="Q863" s="80"/>
      <c r="R863" s="80"/>
      <c r="S863" s="80"/>
      <c r="T863" s="83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3"/>
      <c r="AL863" s="83"/>
      <c r="AM863" s="83"/>
      <c r="AN863" s="83"/>
    </row>
    <row r="864" spans="2:40" ht="15.75" customHeight="1">
      <c r="B864" s="83"/>
      <c r="C864" s="80"/>
      <c r="D864" s="80"/>
      <c r="E864" s="80"/>
      <c r="F864" s="188"/>
      <c r="G864" s="80"/>
      <c r="H864" s="80"/>
      <c r="I864" s="80"/>
      <c r="J864" s="187"/>
      <c r="K864" s="80"/>
      <c r="L864" s="80"/>
      <c r="M864" s="80"/>
      <c r="N864" s="80"/>
      <c r="O864" s="80"/>
      <c r="P864" s="80"/>
      <c r="Q864" s="80"/>
      <c r="R864" s="80"/>
      <c r="S864" s="80"/>
      <c r="T864" s="83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  <c r="AK864" s="83"/>
      <c r="AL864" s="83"/>
      <c r="AM864" s="83"/>
      <c r="AN864" s="83"/>
    </row>
    <row r="865" spans="2:40" ht="15.75" customHeight="1">
      <c r="B865" s="83"/>
      <c r="C865" s="80"/>
      <c r="D865" s="80"/>
      <c r="E865" s="80"/>
      <c r="F865" s="188"/>
      <c r="G865" s="80"/>
      <c r="H865" s="80"/>
      <c r="I865" s="80"/>
      <c r="J865" s="187"/>
      <c r="K865" s="80"/>
      <c r="L865" s="80"/>
      <c r="M865" s="80"/>
      <c r="N865" s="80"/>
      <c r="O865" s="80"/>
      <c r="P865" s="80"/>
      <c r="Q865" s="80"/>
      <c r="R865" s="80"/>
      <c r="S865" s="80"/>
      <c r="T865" s="83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3"/>
      <c r="AL865" s="83"/>
      <c r="AM865" s="83"/>
      <c r="AN865" s="83"/>
    </row>
    <row r="866" spans="2:40" ht="15.75" customHeight="1">
      <c r="B866" s="83"/>
      <c r="C866" s="80"/>
      <c r="D866" s="80"/>
      <c r="E866" s="80"/>
      <c r="F866" s="188"/>
      <c r="G866" s="80"/>
      <c r="H866" s="80"/>
      <c r="I866" s="80"/>
      <c r="J866" s="187"/>
      <c r="K866" s="80"/>
      <c r="L866" s="80"/>
      <c r="M866" s="80"/>
      <c r="N866" s="80"/>
      <c r="O866" s="80"/>
      <c r="P866" s="80"/>
      <c r="Q866" s="80"/>
      <c r="R866" s="80"/>
      <c r="S866" s="80"/>
      <c r="T866" s="83"/>
      <c r="U866" s="85"/>
      <c r="V866" s="85"/>
      <c r="W866" s="85"/>
      <c r="X866" s="85"/>
      <c r="Y866" s="85"/>
      <c r="Z866" s="85"/>
      <c r="AA866" s="85"/>
      <c r="AB866" s="85"/>
      <c r="AC866" s="85"/>
      <c r="AD866" s="85"/>
      <c r="AE866" s="85"/>
      <c r="AF866" s="85"/>
      <c r="AG866" s="85"/>
      <c r="AH866" s="85"/>
      <c r="AI866" s="85"/>
      <c r="AJ866" s="85"/>
      <c r="AK866" s="83"/>
      <c r="AL866" s="83"/>
      <c r="AM866" s="83"/>
      <c r="AN866" s="83"/>
    </row>
    <row r="867" spans="2:40" ht="15.75" customHeight="1">
      <c r="B867" s="83"/>
      <c r="C867" s="80"/>
      <c r="D867" s="80"/>
      <c r="E867" s="80"/>
      <c r="F867" s="188"/>
      <c r="G867" s="80"/>
      <c r="H867" s="80"/>
      <c r="I867" s="80"/>
      <c r="J867" s="187"/>
      <c r="K867" s="80"/>
      <c r="L867" s="80"/>
      <c r="M867" s="80"/>
      <c r="N867" s="80"/>
      <c r="O867" s="80"/>
      <c r="P867" s="80"/>
      <c r="Q867" s="80"/>
      <c r="R867" s="80"/>
      <c r="S867" s="80"/>
      <c r="T867" s="83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I867" s="85"/>
      <c r="AJ867" s="85"/>
      <c r="AK867" s="83"/>
      <c r="AL867" s="83"/>
      <c r="AM867" s="83"/>
      <c r="AN867" s="83"/>
    </row>
    <row r="868" spans="2:40" ht="15.75" customHeight="1">
      <c r="B868" s="83"/>
      <c r="C868" s="80"/>
      <c r="D868" s="80"/>
      <c r="E868" s="80"/>
      <c r="F868" s="188"/>
      <c r="G868" s="80"/>
      <c r="H868" s="80"/>
      <c r="I868" s="80"/>
      <c r="J868" s="187"/>
      <c r="K868" s="80"/>
      <c r="L868" s="80"/>
      <c r="M868" s="80"/>
      <c r="N868" s="80"/>
      <c r="O868" s="80"/>
      <c r="P868" s="80"/>
      <c r="Q868" s="80"/>
      <c r="R868" s="80"/>
      <c r="S868" s="80"/>
      <c r="T868" s="83"/>
      <c r="U868" s="85"/>
      <c r="V868" s="85"/>
      <c r="W868" s="85"/>
      <c r="X868" s="85"/>
      <c r="Y868" s="85"/>
      <c r="Z868" s="85"/>
      <c r="AA868" s="85"/>
      <c r="AB868" s="85"/>
      <c r="AC868" s="85"/>
      <c r="AD868" s="85"/>
      <c r="AE868" s="85"/>
      <c r="AF868" s="85"/>
      <c r="AG868" s="85"/>
      <c r="AH868" s="85"/>
      <c r="AI868" s="85"/>
      <c r="AJ868" s="85"/>
      <c r="AK868" s="83"/>
      <c r="AL868" s="83"/>
      <c r="AM868" s="83"/>
      <c r="AN868" s="83"/>
    </row>
    <row r="869" spans="2:40" ht="15.75" customHeight="1">
      <c r="B869" s="83"/>
      <c r="C869" s="80"/>
      <c r="D869" s="80"/>
      <c r="E869" s="80"/>
      <c r="F869" s="188"/>
      <c r="G869" s="80"/>
      <c r="H869" s="80"/>
      <c r="I869" s="80"/>
      <c r="J869" s="187"/>
      <c r="K869" s="80"/>
      <c r="L869" s="80"/>
      <c r="M869" s="80"/>
      <c r="N869" s="80"/>
      <c r="O869" s="80"/>
      <c r="P869" s="80"/>
      <c r="Q869" s="80"/>
      <c r="R869" s="80"/>
      <c r="S869" s="80"/>
      <c r="T869" s="83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I869" s="85"/>
      <c r="AJ869" s="85"/>
      <c r="AK869" s="83"/>
      <c r="AL869" s="83"/>
      <c r="AM869" s="83"/>
      <c r="AN869" s="83"/>
    </row>
    <row r="870" spans="2:40" ht="15.75" customHeight="1">
      <c r="B870" s="83"/>
      <c r="C870" s="80"/>
      <c r="D870" s="80"/>
      <c r="E870" s="80"/>
      <c r="F870" s="188"/>
      <c r="G870" s="80"/>
      <c r="H870" s="80"/>
      <c r="I870" s="80"/>
      <c r="J870" s="187"/>
      <c r="K870" s="80"/>
      <c r="L870" s="80"/>
      <c r="M870" s="80"/>
      <c r="N870" s="80"/>
      <c r="O870" s="80"/>
      <c r="P870" s="80"/>
      <c r="Q870" s="80"/>
      <c r="R870" s="80"/>
      <c r="S870" s="80"/>
      <c r="T870" s="83"/>
      <c r="U870" s="85"/>
      <c r="V870" s="85"/>
      <c r="W870" s="85"/>
      <c r="X870" s="85"/>
      <c r="Y870" s="85"/>
      <c r="Z870" s="85"/>
      <c r="AA870" s="85"/>
      <c r="AB870" s="85"/>
      <c r="AC870" s="85"/>
      <c r="AD870" s="85"/>
      <c r="AE870" s="85"/>
      <c r="AF870" s="85"/>
      <c r="AG870" s="85"/>
      <c r="AH870" s="85"/>
      <c r="AI870" s="85"/>
      <c r="AJ870" s="85"/>
      <c r="AK870" s="83"/>
      <c r="AL870" s="83"/>
      <c r="AM870" s="83"/>
      <c r="AN870" s="83"/>
    </row>
    <row r="871" spans="2:40" ht="15.75" customHeight="1">
      <c r="B871" s="83"/>
      <c r="C871" s="80"/>
      <c r="D871" s="80"/>
      <c r="E871" s="80"/>
      <c r="F871" s="188"/>
      <c r="G871" s="80"/>
      <c r="H871" s="80"/>
      <c r="I871" s="80"/>
      <c r="J871" s="187"/>
      <c r="K871" s="80"/>
      <c r="L871" s="80"/>
      <c r="M871" s="80"/>
      <c r="N871" s="80"/>
      <c r="O871" s="80"/>
      <c r="P871" s="80"/>
      <c r="Q871" s="80"/>
      <c r="R871" s="80"/>
      <c r="S871" s="80"/>
      <c r="T871" s="83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I871" s="85"/>
      <c r="AJ871" s="85"/>
      <c r="AK871" s="83"/>
      <c r="AL871" s="83"/>
      <c r="AM871" s="83"/>
      <c r="AN871" s="83"/>
    </row>
    <row r="872" spans="2:40" ht="15.75" customHeight="1">
      <c r="B872" s="83"/>
      <c r="C872" s="80"/>
      <c r="D872" s="80"/>
      <c r="E872" s="80"/>
      <c r="F872" s="188"/>
      <c r="G872" s="80"/>
      <c r="H872" s="80"/>
      <c r="I872" s="80"/>
      <c r="J872" s="187"/>
      <c r="K872" s="80"/>
      <c r="L872" s="80"/>
      <c r="M872" s="80"/>
      <c r="N872" s="80"/>
      <c r="O872" s="80"/>
      <c r="P872" s="80"/>
      <c r="Q872" s="80"/>
      <c r="R872" s="80"/>
      <c r="S872" s="80"/>
      <c r="T872" s="83"/>
      <c r="U872" s="85"/>
      <c r="V872" s="85"/>
      <c r="W872" s="85"/>
      <c r="X872" s="85"/>
      <c r="Y872" s="85"/>
      <c r="Z872" s="85"/>
      <c r="AA872" s="85"/>
      <c r="AB872" s="85"/>
      <c r="AC872" s="85"/>
      <c r="AD872" s="85"/>
      <c r="AE872" s="85"/>
      <c r="AF872" s="85"/>
      <c r="AG872" s="85"/>
      <c r="AH872" s="85"/>
      <c r="AI872" s="85"/>
      <c r="AJ872" s="85"/>
      <c r="AK872" s="83"/>
      <c r="AL872" s="83"/>
      <c r="AM872" s="83"/>
      <c r="AN872" s="83"/>
    </row>
    <row r="873" spans="2:40" ht="15.75" customHeight="1">
      <c r="B873" s="83"/>
      <c r="C873" s="80"/>
      <c r="D873" s="80"/>
      <c r="E873" s="80"/>
      <c r="F873" s="188"/>
      <c r="G873" s="80"/>
      <c r="H873" s="80"/>
      <c r="I873" s="80"/>
      <c r="J873" s="187"/>
      <c r="K873" s="80"/>
      <c r="L873" s="80"/>
      <c r="M873" s="80"/>
      <c r="N873" s="80"/>
      <c r="O873" s="80"/>
      <c r="P873" s="80"/>
      <c r="Q873" s="80"/>
      <c r="R873" s="80"/>
      <c r="S873" s="80"/>
      <c r="T873" s="83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I873" s="85"/>
      <c r="AJ873" s="85"/>
      <c r="AK873" s="83"/>
      <c r="AL873" s="83"/>
      <c r="AM873" s="83"/>
      <c r="AN873" s="83"/>
    </row>
    <row r="874" spans="2:40" ht="15.75" customHeight="1">
      <c r="B874" s="83"/>
      <c r="C874" s="80"/>
      <c r="D874" s="80"/>
      <c r="E874" s="80"/>
      <c r="F874" s="188"/>
      <c r="G874" s="80"/>
      <c r="H874" s="80"/>
      <c r="I874" s="80"/>
      <c r="J874" s="187"/>
      <c r="K874" s="80"/>
      <c r="L874" s="80"/>
      <c r="M874" s="80"/>
      <c r="N874" s="80"/>
      <c r="O874" s="80"/>
      <c r="P874" s="80"/>
      <c r="Q874" s="80"/>
      <c r="R874" s="80"/>
      <c r="S874" s="80"/>
      <c r="T874" s="83"/>
      <c r="U874" s="85"/>
      <c r="V874" s="85"/>
      <c r="W874" s="85"/>
      <c r="X874" s="85"/>
      <c r="Y874" s="85"/>
      <c r="Z874" s="85"/>
      <c r="AA874" s="85"/>
      <c r="AB874" s="85"/>
      <c r="AC874" s="85"/>
      <c r="AD874" s="85"/>
      <c r="AE874" s="85"/>
      <c r="AF874" s="85"/>
      <c r="AG874" s="85"/>
      <c r="AH874" s="85"/>
      <c r="AI874" s="85"/>
      <c r="AJ874" s="85"/>
      <c r="AK874" s="83"/>
      <c r="AL874" s="83"/>
      <c r="AM874" s="83"/>
      <c r="AN874" s="83"/>
    </row>
    <row r="875" spans="2:40" ht="15.75" customHeight="1">
      <c r="B875" s="83"/>
      <c r="C875" s="80"/>
      <c r="D875" s="80"/>
      <c r="E875" s="80"/>
      <c r="F875" s="188"/>
      <c r="G875" s="80"/>
      <c r="H875" s="80"/>
      <c r="I875" s="80"/>
      <c r="J875" s="187"/>
      <c r="K875" s="80"/>
      <c r="L875" s="80"/>
      <c r="M875" s="80"/>
      <c r="N875" s="80"/>
      <c r="O875" s="80"/>
      <c r="P875" s="80"/>
      <c r="Q875" s="80"/>
      <c r="R875" s="80"/>
      <c r="S875" s="80"/>
      <c r="T875" s="83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I875" s="85"/>
      <c r="AJ875" s="85"/>
      <c r="AK875" s="83"/>
      <c r="AL875" s="83"/>
      <c r="AM875" s="83"/>
      <c r="AN875" s="83"/>
    </row>
    <row r="876" spans="2:40" ht="15.75" customHeight="1">
      <c r="B876" s="83"/>
      <c r="C876" s="80"/>
      <c r="D876" s="80"/>
      <c r="E876" s="80"/>
      <c r="F876" s="188"/>
      <c r="G876" s="80"/>
      <c r="H876" s="80"/>
      <c r="I876" s="80"/>
      <c r="J876" s="187"/>
      <c r="K876" s="80"/>
      <c r="L876" s="80"/>
      <c r="M876" s="80"/>
      <c r="N876" s="80"/>
      <c r="O876" s="80"/>
      <c r="P876" s="80"/>
      <c r="Q876" s="80"/>
      <c r="R876" s="80"/>
      <c r="S876" s="80"/>
      <c r="T876" s="83"/>
      <c r="U876" s="85"/>
      <c r="V876" s="85"/>
      <c r="W876" s="85"/>
      <c r="X876" s="85"/>
      <c r="Y876" s="85"/>
      <c r="Z876" s="85"/>
      <c r="AA876" s="85"/>
      <c r="AB876" s="85"/>
      <c r="AC876" s="85"/>
      <c r="AD876" s="85"/>
      <c r="AE876" s="85"/>
      <c r="AF876" s="85"/>
      <c r="AG876" s="85"/>
      <c r="AH876" s="85"/>
      <c r="AI876" s="85"/>
      <c r="AJ876" s="85"/>
      <c r="AK876" s="83"/>
      <c r="AL876" s="83"/>
      <c r="AM876" s="83"/>
      <c r="AN876" s="83"/>
    </row>
    <row r="877" spans="2:40" ht="15.75" customHeight="1">
      <c r="B877" s="83"/>
      <c r="C877" s="80"/>
      <c r="D877" s="80"/>
      <c r="E877" s="80"/>
      <c r="F877" s="188"/>
      <c r="G877" s="80"/>
      <c r="H877" s="80"/>
      <c r="I877" s="80"/>
      <c r="J877" s="187"/>
      <c r="K877" s="80"/>
      <c r="L877" s="80"/>
      <c r="M877" s="80"/>
      <c r="N877" s="80"/>
      <c r="O877" s="80"/>
      <c r="P877" s="80"/>
      <c r="Q877" s="80"/>
      <c r="R877" s="80"/>
      <c r="S877" s="80"/>
      <c r="T877" s="83"/>
      <c r="U877" s="85"/>
      <c r="V877" s="85"/>
      <c r="W877" s="85"/>
      <c r="X877" s="85"/>
      <c r="Y877" s="85"/>
      <c r="Z877" s="85"/>
      <c r="AA877" s="85"/>
      <c r="AB877" s="85"/>
      <c r="AC877" s="85"/>
      <c r="AD877" s="85"/>
      <c r="AE877" s="85"/>
      <c r="AF877" s="85"/>
      <c r="AG877" s="85"/>
      <c r="AH877" s="85"/>
      <c r="AI877" s="85"/>
      <c r="AJ877" s="85"/>
      <c r="AK877" s="83"/>
      <c r="AL877" s="83"/>
      <c r="AM877" s="83"/>
      <c r="AN877" s="83"/>
    </row>
    <row r="878" spans="2:40" ht="15.75" customHeight="1">
      <c r="B878" s="83"/>
      <c r="C878" s="80"/>
      <c r="D878" s="80"/>
      <c r="E878" s="80"/>
      <c r="F878" s="188"/>
      <c r="G878" s="80"/>
      <c r="H878" s="80"/>
      <c r="I878" s="80"/>
      <c r="J878" s="187"/>
      <c r="K878" s="80"/>
      <c r="L878" s="80"/>
      <c r="M878" s="80"/>
      <c r="N878" s="80"/>
      <c r="O878" s="80"/>
      <c r="P878" s="80"/>
      <c r="Q878" s="80"/>
      <c r="R878" s="80"/>
      <c r="S878" s="80"/>
      <c r="T878" s="83"/>
      <c r="U878" s="85"/>
      <c r="V878" s="85"/>
      <c r="W878" s="85"/>
      <c r="X878" s="85"/>
      <c r="Y878" s="85"/>
      <c r="Z878" s="85"/>
      <c r="AA878" s="85"/>
      <c r="AB878" s="85"/>
      <c r="AC878" s="85"/>
      <c r="AD878" s="85"/>
      <c r="AE878" s="85"/>
      <c r="AF878" s="85"/>
      <c r="AG878" s="85"/>
      <c r="AH878" s="85"/>
      <c r="AI878" s="85"/>
      <c r="AJ878" s="85"/>
      <c r="AK878" s="83"/>
      <c r="AL878" s="83"/>
      <c r="AM878" s="83"/>
      <c r="AN878" s="83"/>
    </row>
    <row r="879" spans="2:40" ht="15.75" customHeight="1">
      <c r="B879" s="83"/>
      <c r="C879" s="80"/>
      <c r="D879" s="80"/>
      <c r="E879" s="80"/>
      <c r="F879" s="188"/>
      <c r="G879" s="80"/>
      <c r="H879" s="80"/>
      <c r="I879" s="80"/>
      <c r="J879" s="187"/>
      <c r="K879" s="80"/>
      <c r="L879" s="80"/>
      <c r="M879" s="80"/>
      <c r="N879" s="80"/>
      <c r="O879" s="80"/>
      <c r="P879" s="80"/>
      <c r="Q879" s="80"/>
      <c r="R879" s="80"/>
      <c r="S879" s="80"/>
      <c r="T879" s="83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I879" s="85"/>
      <c r="AJ879" s="85"/>
      <c r="AK879" s="83"/>
      <c r="AL879" s="83"/>
      <c r="AM879" s="83"/>
      <c r="AN879" s="83"/>
    </row>
    <row r="880" spans="2:40" ht="15.75" customHeight="1">
      <c r="B880" s="83"/>
      <c r="C880" s="80"/>
      <c r="D880" s="80"/>
      <c r="E880" s="80"/>
      <c r="F880" s="188"/>
      <c r="G880" s="80"/>
      <c r="H880" s="80"/>
      <c r="I880" s="80"/>
      <c r="J880" s="187"/>
      <c r="K880" s="80"/>
      <c r="L880" s="80"/>
      <c r="M880" s="80"/>
      <c r="N880" s="80"/>
      <c r="O880" s="80"/>
      <c r="P880" s="80"/>
      <c r="Q880" s="80"/>
      <c r="R880" s="80"/>
      <c r="S880" s="80"/>
      <c r="T880" s="83"/>
      <c r="U880" s="85"/>
      <c r="V880" s="85"/>
      <c r="W880" s="85"/>
      <c r="X880" s="85"/>
      <c r="Y880" s="85"/>
      <c r="Z880" s="85"/>
      <c r="AA880" s="85"/>
      <c r="AB880" s="85"/>
      <c r="AC880" s="85"/>
      <c r="AD880" s="85"/>
      <c r="AE880" s="85"/>
      <c r="AF880" s="85"/>
      <c r="AG880" s="85"/>
      <c r="AH880" s="85"/>
      <c r="AI880" s="85"/>
      <c r="AJ880" s="85"/>
      <c r="AK880" s="83"/>
      <c r="AL880" s="83"/>
      <c r="AM880" s="83"/>
      <c r="AN880" s="83"/>
    </row>
    <row r="881" spans="2:40" ht="15.75" customHeight="1">
      <c r="B881" s="83"/>
      <c r="C881" s="80"/>
      <c r="D881" s="80"/>
      <c r="E881" s="80"/>
      <c r="F881" s="188"/>
      <c r="G881" s="80"/>
      <c r="H881" s="80"/>
      <c r="I881" s="80"/>
      <c r="J881" s="187"/>
      <c r="K881" s="80"/>
      <c r="L881" s="80"/>
      <c r="M881" s="80"/>
      <c r="N881" s="80"/>
      <c r="O881" s="80"/>
      <c r="P881" s="80"/>
      <c r="Q881" s="80"/>
      <c r="R881" s="80"/>
      <c r="S881" s="80"/>
      <c r="T881" s="83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I881" s="85"/>
      <c r="AJ881" s="85"/>
      <c r="AK881" s="83"/>
      <c r="AL881" s="83"/>
      <c r="AM881" s="83"/>
      <c r="AN881" s="83"/>
    </row>
    <row r="882" spans="2:40" ht="15.75" customHeight="1">
      <c r="B882" s="83"/>
      <c r="C882" s="80"/>
      <c r="D882" s="80"/>
      <c r="E882" s="80"/>
      <c r="F882" s="188"/>
      <c r="G882" s="80"/>
      <c r="H882" s="80"/>
      <c r="I882" s="80"/>
      <c r="J882" s="187"/>
      <c r="K882" s="80"/>
      <c r="L882" s="80"/>
      <c r="M882" s="80"/>
      <c r="N882" s="80"/>
      <c r="O882" s="80"/>
      <c r="P882" s="80"/>
      <c r="Q882" s="80"/>
      <c r="R882" s="80"/>
      <c r="S882" s="80"/>
      <c r="T882" s="83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I882" s="85"/>
      <c r="AJ882" s="85"/>
      <c r="AK882" s="83"/>
      <c r="AL882" s="83"/>
      <c r="AM882" s="83"/>
      <c r="AN882" s="83"/>
    </row>
    <row r="883" spans="2:40" ht="15.75" customHeight="1">
      <c r="B883" s="83"/>
      <c r="C883" s="80"/>
      <c r="D883" s="80"/>
      <c r="E883" s="80"/>
      <c r="F883" s="188"/>
      <c r="G883" s="80"/>
      <c r="H883" s="80"/>
      <c r="I883" s="80"/>
      <c r="J883" s="187"/>
      <c r="K883" s="80"/>
      <c r="L883" s="80"/>
      <c r="M883" s="80"/>
      <c r="N883" s="80"/>
      <c r="O883" s="80"/>
      <c r="P883" s="80"/>
      <c r="Q883" s="80"/>
      <c r="R883" s="80"/>
      <c r="S883" s="80"/>
      <c r="T883" s="83"/>
      <c r="U883" s="85"/>
      <c r="V883" s="85"/>
      <c r="W883" s="85"/>
      <c r="X883" s="85"/>
      <c r="Y883" s="85"/>
      <c r="Z883" s="85"/>
      <c r="AA883" s="85"/>
      <c r="AB883" s="85"/>
      <c r="AC883" s="85"/>
      <c r="AD883" s="85"/>
      <c r="AE883" s="85"/>
      <c r="AF883" s="85"/>
      <c r="AG883" s="85"/>
      <c r="AH883" s="85"/>
      <c r="AI883" s="85"/>
      <c r="AJ883" s="85"/>
      <c r="AK883" s="83"/>
      <c r="AL883" s="83"/>
      <c r="AM883" s="83"/>
      <c r="AN883" s="83"/>
    </row>
    <row r="884" spans="2:40" ht="15.75" customHeight="1">
      <c r="B884" s="83"/>
      <c r="C884" s="80"/>
      <c r="D884" s="80"/>
      <c r="E884" s="80"/>
      <c r="F884" s="188"/>
      <c r="G884" s="80"/>
      <c r="H884" s="80"/>
      <c r="I884" s="80"/>
      <c r="J884" s="187"/>
      <c r="K884" s="80"/>
      <c r="L884" s="80"/>
      <c r="M884" s="80"/>
      <c r="N884" s="80"/>
      <c r="O884" s="80"/>
      <c r="P884" s="80"/>
      <c r="Q884" s="80"/>
      <c r="R884" s="80"/>
      <c r="S884" s="80"/>
      <c r="T884" s="83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  <c r="AK884" s="83"/>
      <c r="AL884" s="83"/>
      <c r="AM884" s="83"/>
      <c r="AN884" s="83"/>
    </row>
    <row r="885" spans="2:40" ht="15.75" customHeight="1">
      <c r="B885" s="83"/>
      <c r="C885" s="80"/>
      <c r="D885" s="80"/>
      <c r="E885" s="80"/>
      <c r="F885" s="188"/>
      <c r="G885" s="80"/>
      <c r="H885" s="80"/>
      <c r="I885" s="80"/>
      <c r="J885" s="187"/>
      <c r="K885" s="80"/>
      <c r="L885" s="80"/>
      <c r="M885" s="80"/>
      <c r="N885" s="80"/>
      <c r="O885" s="80"/>
      <c r="P885" s="80"/>
      <c r="Q885" s="80"/>
      <c r="R885" s="80"/>
      <c r="S885" s="80"/>
      <c r="T885" s="83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I885" s="85"/>
      <c r="AJ885" s="85"/>
      <c r="AK885" s="83"/>
      <c r="AL885" s="83"/>
      <c r="AM885" s="83"/>
      <c r="AN885" s="83"/>
    </row>
    <row r="886" spans="2:40" ht="15.75" customHeight="1">
      <c r="B886" s="83"/>
      <c r="C886" s="80"/>
      <c r="D886" s="80"/>
      <c r="E886" s="80"/>
      <c r="F886" s="188"/>
      <c r="G886" s="80"/>
      <c r="H886" s="80"/>
      <c r="I886" s="80"/>
      <c r="J886" s="187"/>
      <c r="K886" s="80"/>
      <c r="L886" s="80"/>
      <c r="M886" s="80"/>
      <c r="N886" s="80"/>
      <c r="O886" s="80"/>
      <c r="P886" s="80"/>
      <c r="Q886" s="80"/>
      <c r="R886" s="80"/>
      <c r="S886" s="80"/>
      <c r="T886" s="83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3"/>
      <c r="AL886" s="83"/>
      <c r="AM886" s="83"/>
      <c r="AN886" s="83"/>
    </row>
    <row r="887" spans="2:40" ht="15.75" customHeight="1">
      <c r="B887" s="83"/>
      <c r="C887" s="80"/>
      <c r="D887" s="80"/>
      <c r="E887" s="80"/>
      <c r="F887" s="188"/>
      <c r="G887" s="80"/>
      <c r="H887" s="80"/>
      <c r="I887" s="80"/>
      <c r="J887" s="187"/>
      <c r="K887" s="80"/>
      <c r="L887" s="80"/>
      <c r="M887" s="80"/>
      <c r="N887" s="80"/>
      <c r="O887" s="80"/>
      <c r="P887" s="80"/>
      <c r="Q887" s="80"/>
      <c r="R887" s="80"/>
      <c r="S887" s="80"/>
      <c r="T887" s="83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3"/>
      <c r="AL887" s="83"/>
      <c r="AM887" s="83"/>
      <c r="AN887" s="83"/>
    </row>
    <row r="888" spans="2:40" ht="15.75" customHeight="1">
      <c r="B888" s="83"/>
      <c r="C888" s="80"/>
      <c r="D888" s="80"/>
      <c r="E888" s="80"/>
      <c r="F888" s="188"/>
      <c r="G888" s="80"/>
      <c r="H888" s="80"/>
      <c r="I888" s="80"/>
      <c r="J888" s="187"/>
      <c r="K888" s="80"/>
      <c r="L888" s="80"/>
      <c r="M888" s="80"/>
      <c r="N888" s="80"/>
      <c r="O888" s="80"/>
      <c r="P888" s="80"/>
      <c r="Q888" s="80"/>
      <c r="R888" s="80"/>
      <c r="S888" s="80"/>
      <c r="T888" s="83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3"/>
      <c r="AL888" s="83"/>
      <c r="AM888" s="83"/>
      <c r="AN888" s="83"/>
    </row>
    <row r="889" spans="2:40" ht="15.75" customHeight="1">
      <c r="B889" s="83"/>
      <c r="C889" s="80"/>
      <c r="D889" s="80"/>
      <c r="E889" s="80"/>
      <c r="F889" s="188"/>
      <c r="G889" s="80"/>
      <c r="H889" s="80"/>
      <c r="I889" s="80"/>
      <c r="J889" s="187"/>
      <c r="K889" s="80"/>
      <c r="L889" s="80"/>
      <c r="M889" s="80"/>
      <c r="N889" s="80"/>
      <c r="O889" s="80"/>
      <c r="P889" s="80"/>
      <c r="Q889" s="80"/>
      <c r="R889" s="80"/>
      <c r="S889" s="80"/>
      <c r="T889" s="83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3"/>
      <c r="AL889" s="83"/>
      <c r="AM889" s="83"/>
      <c r="AN889" s="83"/>
    </row>
    <row r="890" spans="2:40" ht="15.75" customHeight="1">
      <c r="B890" s="83"/>
      <c r="C890" s="80"/>
      <c r="D890" s="80"/>
      <c r="E890" s="80"/>
      <c r="F890" s="188"/>
      <c r="G890" s="80"/>
      <c r="H890" s="80"/>
      <c r="I890" s="80"/>
      <c r="J890" s="187"/>
      <c r="K890" s="80"/>
      <c r="L890" s="80"/>
      <c r="M890" s="80"/>
      <c r="N890" s="80"/>
      <c r="O890" s="80"/>
      <c r="P890" s="80"/>
      <c r="Q890" s="80"/>
      <c r="R890" s="80"/>
      <c r="S890" s="80"/>
      <c r="T890" s="83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3"/>
      <c r="AL890" s="83"/>
      <c r="AM890" s="83"/>
      <c r="AN890" s="83"/>
    </row>
    <row r="891" spans="2:40" ht="15.75" customHeight="1">
      <c r="B891" s="83"/>
      <c r="C891" s="80"/>
      <c r="D891" s="80"/>
      <c r="E891" s="80"/>
      <c r="F891" s="188"/>
      <c r="G891" s="80"/>
      <c r="H891" s="80"/>
      <c r="I891" s="80"/>
      <c r="J891" s="187"/>
      <c r="K891" s="80"/>
      <c r="L891" s="80"/>
      <c r="M891" s="80"/>
      <c r="N891" s="80"/>
      <c r="O891" s="80"/>
      <c r="P891" s="80"/>
      <c r="Q891" s="80"/>
      <c r="R891" s="80"/>
      <c r="S891" s="80"/>
      <c r="T891" s="83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3"/>
      <c r="AL891" s="83"/>
      <c r="AM891" s="83"/>
      <c r="AN891" s="83"/>
    </row>
    <row r="892" spans="2:40" ht="15.75" customHeight="1">
      <c r="B892" s="83"/>
      <c r="C892" s="80"/>
      <c r="D892" s="80"/>
      <c r="E892" s="80"/>
      <c r="F892" s="188"/>
      <c r="G892" s="80"/>
      <c r="H892" s="80"/>
      <c r="I892" s="80"/>
      <c r="J892" s="187"/>
      <c r="K892" s="80"/>
      <c r="L892" s="80"/>
      <c r="M892" s="80"/>
      <c r="N892" s="80"/>
      <c r="O892" s="80"/>
      <c r="P892" s="80"/>
      <c r="Q892" s="80"/>
      <c r="R892" s="80"/>
      <c r="S892" s="80"/>
      <c r="T892" s="83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3"/>
      <c r="AL892" s="83"/>
      <c r="AM892" s="83"/>
      <c r="AN892" s="83"/>
    </row>
    <row r="893" spans="2:40" ht="15.75" customHeight="1">
      <c r="B893" s="83"/>
      <c r="C893" s="80"/>
      <c r="D893" s="80"/>
      <c r="E893" s="80"/>
      <c r="F893" s="188"/>
      <c r="G893" s="80"/>
      <c r="H893" s="80"/>
      <c r="I893" s="80"/>
      <c r="J893" s="187"/>
      <c r="K893" s="80"/>
      <c r="L893" s="80"/>
      <c r="M893" s="80"/>
      <c r="N893" s="80"/>
      <c r="O893" s="80"/>
      <c r="P893" s="80"/>
      <c r="Q893" s="80"/>
      <c r="R893" s="80"/>
      <c r="S893" s="80"/>
      <c r="T893" s="83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3"/>
      <c r="AL893" s="83"/>
      <c r="AM893" s="83"/>
      <c r="AN893" s="83"/>
    </row>
    <row r="894" spans="2:40" ht="15.75" customHeight="1">
      <c r="B894" s="83"/>
      <c r="C894" s="80"/>
      <c r="D894" s="80"/>
      <c r="E894" s="80"/>
      <c r="F894" s="188"/>
      <c r="G894" s="80"/>
      <c r="H894" s="80"/>
      <c r="I894" s="80"/>
      <c r="J894" s="187"/>
      <c r="K894" s="80"/>
      <c r="L894" s="80"/>
      <c r="M894" s="80"/>
      <c r="N894" s="80"/>
      <c r="O894" s="80"/>
      <c r="P894" s="80"/>
      <c r="Q894" s="80"/>
      <c r="R894" s="80"/>
      <c r="S894" s="80"/>
      <c r="T894" s="83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3"/>
      <c r="AL894" s="83"/>
      <c r="AM894" s="83"/>
      <c r="AN894" s="83"/>
    </row>
    <row r="895" spans="2:40" ht="15.75" customHeight="1">
      <c r="B895" s="83"/>
      <c r="C895" s="80"/>
      <c r="D895" s="80"/>
      <c r="E895" s="80"/>
      <c r="F895" s="188"/>
      <c r="G895" s="80"/>
      <c r="H895" s="80"/>
      <c r="I895" s="80"/>
      <c r="J895" s="187"/>
      <c r="K895" s="80"/>
      <c r="L895" s="80"/>
      <c r="M895" s="80"/>
      <c r="N895" s="80"/>
      <c r="O895" s="80"/>
      <c r="P895" s="80"/>
      <c r="Q895" s="80"/>
      <c r="R895" s="80"/>
      <c r="S895" s="80"/>
      <c r="T895" s="83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3"/>
      <c r="AL895" s="83"/>
      <c r="AM895" s="83"/>
      <c r="AN895" s="83"/>
    </row>
    <row r="896" spans="2:40" ht="15.75" customHeight="1">
      <c r="B896" s="83"/>
      <c r="C896" s="80"/>
      <c r="D896" s="80"/>
      <c r="E896" s="80"/>
      <c r="F896" s="188"/>
      <c r="G896" s="80"/>
      <c r="H896" s="80"/>
      <c r="I896" s="80"/>
      <c r="J896" s="187"/>
      <c r="K896" s="80"/>
      <c r="L896" s="80"/>
      <c r="M896" s="80"/>
      <c r="N896" s="80"/>
      <c r="O896" s="80"/>
      <c r="P896" s="80"/>
      <c r="Q896" s="80"/>
      <c r="R896" s="80"/>
      <c r="S896" s="80"/>
      <c r="T896" s="83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3"/>
      <c r="AL896" s="83"/>
      <c r="AM896" s="83"/>
      <c r="AN896" s="83"/>
    </row>
    <row r="897" spans="2:40" ht="15.75" customHeight="1">
      <c r="B897" s="83"/>
      <c r="C897" s="80"/>
      <c r="D897" s="80"/>
      <c r="E897" s="80"/>
      <c r="F897" s="188"/>
      <c r="G897" s="80"/>
      <c r="H897" s="80"/>
      <c r="I897" s="80"/>
      <c r="J897" s="187"/>
      <c r="K897" s="80"/>
      <c r="L897" s="80"/>
      <c r="M897" s="80"/>
      <c r="N897" s="80"/>
      <c r="O897" s="80"/>
      <c r="P897" s="80"/>
      <c r="Q897" s="80"/>
      <c r="R897" s="80"/>
      <c r="S897" s="80"/>
      <c r="T897" s="83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3"/>
      <c r="AL897" s="83"/>
      <c r="AM897" s="83"/>
      <c r="AN897" s="83"/>
    </row>
    <row r="898" spans="2:40" ht="15.75" customHeight="1">
      <c r="B898" s="83"/>
      <c r="C898" s="80"/>
      <c r="D898" s="80"/>
      <c r="E898" s="80"/>
      <c r="F898" s="188"/>
      <c r="G898" s="80"/>
      <c r="H898" s="80"/>
      <c r="I898" s="80"/>
      <c r="J898" s="187"/>
      <c r="K898" s="80"/>
      <c r="L898" s="80"/>
      <c r="M898" s="80"/>
      <c r="N898" s="80"/>
      <c r="O898" s="80"/>
      <c r="P898" s="80"/>
      <c r="Q898" s="80"/>
      <c r="R898" s="80"/>
      <c r="S898" s="80"/>
      <c r="T898" s="83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3"/>
      <c r="AL898" s="83"/>
      <c r="AM898" s="83"/>
      <c r="AN898" s="83"/>
    </row>
    <row r="899" spans="2:40" ht="15.75" customHeight="1">
      <c r="B899" s="83"/>
      <c r="C899" s="80"/>
      <c r="D899" s="80"/>
      <c r="E899" s="80"/>
      <c r="F899" s="188"/>
      <c r="G899" s="80"/>
      <c r="H899" s="80"/>
      <c r="I899" s="80"/>
      <c r="J899" s="187"/>
      <c r="K899" s="80"/>
      <c r="L899" s="80"/>
      <c r="M899" s="80"/>
      <c r="N899" s="80"/>
      <c r="O899" s="80"/>
      <c r="P899" s="80"/>
      <c r="Q899" s="80"/>
      <c r="R899" s="80"/>
      <c r="S899" s="80"/>
      <c r="T899" s="83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3"/>
      <c r="AL899" s="83"/>
      <c r="AM899" s="83"/>
      <c r="AN899" s="83"/>
    </row>
    <row r="900" spans="2:40" ht="15.75" customHeight="1">
      <c r="B900" s="83"/>
      <c r="C900" s="80"/>
      <c r="D900" s="80"/>
      <c r="E900" s="80"/>
      <c r="F900" s="188"/>
      <c r="G900" s="80"/>
      <c r="H900" s="80"/>
      <c r="I900" s="80"/>
      <c r="J900" s="187"/>
      <c r="K900" s="80"/>
      <c r="L900" s="80"/>
      <c r="M900" s="80"/>
      <c r="N900" s="80"/>
      <c r="O900" s="80"/>
      <c r="P900" s="80"/>
      <c r="Q900" s="80"/>
      <c r="R900" s="80"/>
      <c r="S900" s="80"/>
      <c r="T900" s="83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3"/>
      <c r="AL900" s="83"/>
      <c r="AM900" s="83"/>
      <c r="AN900" s="83"/>
    </row>
    <row r="901" spans="2:40" ht="15.75" customHeight="1">
      <c r="B901" s="83"/>
      <c r="C901" s="80"/>
      <c r="D901" s="80"/>
      <c r="E901" s="80"/>
      <c r="F901" s="188"/>
      <c r="G901" s="80"/>
      <c r="H901" s="80"/>
      <c r="I901" s="80"/>
      <c r="J901" s="187"/>
      <c r="K901" s="80"/>
      <c r="L901" s="80"/>
      <c r="M901" s="80"/>
      <c r="N901" s="80"/>
      <c r="O901" s="80"/>
      <c r="P901" s="80"/>
      <c r="Q901" s="80"/>
      <c r="R901" s="80"/>
      <c r="S901" s="80"/>
      <c r="T901" s="83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3"/>
      <c r="AL901" s="83"/>
      <c r="AM901" s="83"/>
      <c r="AN901" s="83"/>
    </row>
    <row r="902" spans="2:40" ht="15.75" customHeight="1">
      <c r="B902" s="83"/>
      <c r="C902" s="80"/>
      <c r="D902" s="80"/>
      <c r="E902" s="80"/>
      <c r="F902" s="188"/>
      <c r="G902" s="80"/>
      <c r="H902" s="80"/>
      <c r="I902" s="80"/>
      <c r="J902" s="187"/>
      <c r="K902" s="80"/>
      <c r="L902" s="80"/>
      <c r="M902" s="80"/>
      <c r="N902" s="80"/>
      <c r="O902" s="80"/>
      <c r="P902" s="80"/>
      <c r="Q902" s="80"/>
      <c r="R902" s="80"/>
      <c r="S902" s="80"/>
      <c r="T902" s="83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  <c r="AK902" s="83"/>
      <c r="AL902" s="83"/>
      <c r="AM902" s="83"/>
      <c r="AN902" s="83"/>
    </row>
    <row r="903" spans="2:40" ht="15.75" customHeight="1">
      <c r="B903" s="83"/>
      <c r="C903" s="80"/>
      <c r="D903" s="80"/>
      <c r="E903" s="80"/>
      <c r="F903" s="188"/>
      <c r="G903" s="80"/>
      <c r="H903" s="80"/>
      <c r="I903" s="80"/>
      <c r="J903" s="187"/>
      <c r="K903" s="80"/>
      <c r="L903" s="80"/>
      <c r="M903" s="80"/>
      <c r="N903" s="80"/>
      <c r="O903" s="80"/>
      <c r="P903" s="80"/>
      <c r="Q903" s="80"/>
      <c r="R903" s="80"/>
      <c r="S903" s="80"/>
      <c r="T903" s="83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3"/>
      <c r="AL903" s="83"/>
      <c r="AM903" s="83"/>
      <c r="AN903" s="83"/>
    </row>
    <row r="904" spans="2:40" ht="15.75" customHeight="1">
      <c r="B904" s="83"/>
      <c r="C904" s="80"/>
      <c r="D904" s="80"/>
      <c r="E904" s="80"/>
      <c r="F904" s="188"/>
      <c r="G904" s="80"/>
      <c r="H904" s="80"/>
      <c r="I904" s="80"/>
      <c r="J904" s="187"/>
      <c r="K904" s="80"/>
      <c r="L904" s="80"/>
      <c r="M904" s="80"/>
      <c r="N904" s="80"/>
      <c r="O904" s="80"/>
      <c r="P904" s="80"/>
      <c r="Q904" s="80"/>
      <c r="R904" s="80"/>
      <c r="S904" s="80"/>
      <c r="T904" s="83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  <c r="AK904" s="83"/>
      <c r="AL904" s="83"/>
      <c r="AM904" s="83"/>
      <c r="AN904" s="83"/>
    </row>
    <row r="905" spans="2:40" ht="15.75" customHeight="1">
      <c r="B905" s="83"/>
      <c r="C905" s="80"/>
      <c r="D905" s="80"/>
      <c r="E905" s="80"/>
      <c r="F905" s="188"/>
      <c r="G905" s="80"/>
      <c r="H905" s="80"/>
      <c r="I905" s="80"/>
      <c r="J905" s="187"/>
      <c r="K905" s="80"/>
      <c r="L905" s="80"/>
      <c r="M905" s="80"/>
      <c r="N905" s="80"/>
      <c r="O905" s="80"/>
      <c r="P905" s="80"/>
      <c r="Q905" s="80"/>
      <c r="R905" s="80"/>
      <c r="S905" s="80"/>
      <c r="T905" s="83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  <c r="AK905" s="83"/>
      <c r="AL905" s="83"/>
      <c r="AM905" s="83"/>
      <c r="AN905" s="83"/>
    </row>
    <row r="906" spans="2:40" ht="15.75" customHeight="1">
      <c r="B906" s="83"/>
      <c r="C906" s="80"/>
      <c r="D906" s="80"/>
      <c r="E906" s="80"/>
      <c r="F906" s="188"/>
      <c r="G906" s="80"/>
      <c r="H906" s="80"/>
      <c r="I906" s="80"/>
      <c r="J906" s="187"/>
      <c r="K906" s="80"/>
      <c r="L906" s="80"/>
      <c r="M906" s="80"/>
      <c r="N906" s="80"/>
      <c r="O906" s="80"/>
      <c r="P906" s="80"/>
      <c r="Q906" s="80"/>
      <c r="R906" s="80"/>
      <c r="S906" s="80"/>
      <c r="T906" s="83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  <c r="AK906" s="83"/>
      <c r="AL906" s="83"/>
      <c r="AM906" s="83"/>
      <c r="AN906" s="83"/>
    </row>
    <row r="907" spans="2:40" ht="15.75" customHeight="1">
      <c r="B907" s="83"/>
      <c r="C907" s="80"/>
      <c r="D907" s="80"/>
      <c r="E907" s="80"/>
      <c r="F907" s="188"/>
      <c r="G907" s="80"/>
      <c r="H907" s="80"/>
      <c r="I907" s="80"/>
      <c r="J907" s="187"/>
      <c r="K907" s="80"/>
      <c r="L907" s="80"/>
      <c r="M907" s="80"/>
      <c r="N907" s="80"/>
      <c r="O907" s="80"/>
      <c r="P907" s="80"/>
      <c r="Q907" s="80"/>
      <c r="R907" s="80"/>
      <c r="S907" s="80"/>
      <c r="T907" s="83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  <c r="AK907" s="83"/>
      <c r="AL907" s="83"/>
      <c r="AM907" s="83"/>
      <c r="AN907" s="83"/>
    </row>
    <row r="908" spans="2:40" ht="15.75" customHeight="1">
      <c r="B908" s="83"/>
      <c r="C908" s="80"/>
      <c r="D908" s="80"/>
      <c r="E908" s="80"/>
      <c r="F908" s="188"/>
      <c r="G908" s="80"/>
      <c r="H908" s="80"/>
      <c r="I908" s="80"/>
      <c r="J908" s="187"/>
      <c r="K908" s="80"/>
      <c r="L908" s="80"/>
      <c r="M908" s="80"/>
      <c r="N908" s="80"/>
      <c r="O908" s="80"/>
      <c r="P908" s="80"/>
      <c r="Q908" s="80"/>
      <c r="R908" s="80"/>
      <c r="S908" s="80"/>
      <c r="T908" s="83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  <c r="AK908" s="83"/>
      <c r="AL908" s="83"/>
      <c r="AM908" s="83"/>
      <c r="AN908" s="83"/>
    </row>
    <row r="909" spans="2:40" ht="15.75" customHeight="1">
      <c r="B909" s="83"/>
      <c r="C909" s="80"/>
      <c r="D909" s="80"/>
      <c r="E909" s="80"/>
      <c r="F909" s="188"/>
      <c r="G909" s="80"/>
      <c r="H909" s="80"/>
      <c r="I909" s="80"/>
      <c r="J909" s="187"/>
      <c r="K909" s="80"/>
      <c r="L909" s="80"/>
      <c r="M909" s="80"/>
      <c r="N909" s="80"/>
      <c r="O909" s="80"/>
      <c r="P909" s="80"/>
      <c r="Q909" s="80"/>
      <c r="R909" s="80"/>
      <c r="S909" s="80"/>
      <c r="T909" s="83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  <c r="AK909" s="83"/>
      <c r="AL909" s="83"/>
      <c r="AM909" s="83"/>
      <c r="AN909" s="83"/>
    </row>
    <row r="910" spans="2:40" ht="15.75" customHeight="1">
      <c r="B910" s="83"/>
      <c r="C910" s="80"/>
      <c r="D910" s="80"/>
      <c r="E910" s="80"/>
      <c r="F910" s="188"/>
      <c r="G910" s="80"/>
      <c r="H910" s="80"/>
      <c r="I910" s="80"/>
      <c r="J910" s="187"/>
      <c r="K910" s="80"/>
      <c r="L910" s="80"/>
      <c r="M910" s="80"/>
      <c r="N910" s="80"/>
      <c r="O910" s="80"/>
      <c r="P910" s="80"/>
      <c r="Q910" s="80"/>
      <c r="R910" s="80"/>
      <c r="S910" s="80"/>
      <c r="T910" s="83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  <c r="AK910" s="83"/>
      <c r="AL910" s="83"/>
      <c r="AM910" s="83"/>
      <c r="AN910" s="83"/>
    </row>
    <row r="911" spans="2:40" ht="15.75" customHeight="1">
      <c r="B911" s="83"/>
      <c r="C911" s="80"/>
      <c r="D911" s="80"/>
      <c r="E911" s="80"/>
      <c r="F911" s="188"/>
      <c r="G911" s="80"/>
      <c r="H911" s="80"/>
      <c r="I911" s="80"/>
      <c r="J911" s="187"/>
      <c r="K911" s="80"/>
      <c r="L911" s="80"/>
      <c r="M911" s="80"/>
      <c r="N911" s="80"/>
      <c r="O911" s="80"/>
      <c r="P911" s="80"/>
      <c r="Q911" s="80"/>
      <c r="R911" s="80"/>
      <c r="S911" s="80"/>
      <c r="T911" s="83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I911" s="85"/>
      <c r="AJ911" s="85"/>
      <c r="AK911" s="83"/>
      <c r="AL911" s="83"/>
      <c r="AM911" s="83"/>
      <c r="AN911" s="83"/>
    </row>
    <row r="912" spans="2:40" ht="15.75" customHeight="1">
      <c r="B912" s="83"/>
      <c r="C912" s="80"/>
      <c r="D912" s="80"/>
      <c r="E912" s="80"/>
      <c r="F912" s="188"/>
      <c r="G912" s="80"/>
      <c r="H912" s="80"/>
      <c r="I912" s="80"/>
      <c r="J912" s="187"/>
      <c r="K912" s="80"/>
      <c r="L912" s="80"/>
      <c r="M912" s="80"/>
      <c r="N912" s="80"/>
      <c r="O912" s="80"/>
      <c r="P912" s="80"/>
      <c r="Q912" s="80"/>
      <c r="R912" s="80"/>
      <c r="S912" s="80"/>
      <c r="T912" s="83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  <c r="AK912" s="83"/>
      <c r="AL912" s="83"/>
      <c r="AM912" s="83"/>
      <c r="AN912" s="83"/>
    </row>
    <row r="913" spans="2:40" ht="15.75" customHeight="1">
      <c r="B913" s="83"/>
      <c r="C913" s="80"/>
      <c r="D913" s="80"/>
      <c r="E913" s="80"/>
      <c r="F913" s="188"/>
      <c r="G913" s="80"/>
      <c r="H913" s="80"/>
      <c r="I913" s="80"/>
      <c r="J913" s="187"/>
      <c r="K913" s="80"/>
      <c r="L913" s="80"/>
      <c r="M913" s="80"/>
      <c r="N913" s="80"/>
      <c r="O913" s="80"/>
      <c r="P913" s="80"/>
      <c r="Q913" s="80"/>
      <c r="R913" s="80"/>
      <c r="S913" s="80"/>
      <c r="T913" s="83"/>
      <c r="U913" s="85"/>
      <c r="V913" s="85"/>
      <c r="W913" s="85"/>
      <c r="X913" s="85"/>
      <c r="Y913" s="85"/>
      <c r="Z913" s="85"/>
      <c r="AA913" s="85"/>
      <c r="AB913" s="85"/>
      <c r="AC913" s="85"/>
      <c r="AD913" s="85"/>
      <c r="AE913" s="85"/>
      <c r="AF913" s="85"/>
      <c r="AG913" s="85"/>
      <c r="AH913" s="85"/>
      <c r="AI913" s="85"/>
      <c r="AJ913" s="85"/>
      <c r="AK913" s="83"/>
      <c r="AL913" s="83"/>
      <c r="AM913" s="83"/>
      <c r="AN913" s="83"/>
    </row>
    <row r="914" spans="2:40" ht="15.75" customHeight="1">
      <c r="B914" s="83"/>
      <c r="C914" s="80"/>
      <c r="D914" s="80"/>
      <c r="E914" s="80"/>
      <c r="F914" s="188"/>
      <c r="G914" s="80"/>
      <c r="H914" s="80"/>
      <c r="I914" s="80"/>
      <c r="J914" s="187"/>
      <c r="K914" s="80"/>
      <c r="L914" s="80"/>
      <c r="M914" s="80"/>
      <c r="N914" s="80"/>
      <c r="O914" s="80"/>
      <c r="P914" s="80"/>
      <c r="Q914" s="80"/>
      <c r="R914" s="80"/>
      <c r="S914" s="80"/>
      <c r="T914" s="83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  <c r="AK914" s="83"/>
      <c r="AL914" s="83"/>
      <c r="AM914" s="83"/>
      <c r="AN914" s="83"/>
    </row>
    <row r="915" spans="2:40" ht="15.75" customHeight="1">
      <c r="B915" s="83"/>
      <c r="C915" s="80"/>
      <c r="D915" s="80"/>
      <c r="E915" s="80"/>
      <c r="F915" s="188"/>
      <c r="G915" s="80"/>
      <c r="H915" s="80"/>
      <c r="I915" s="80"/>
      <c r="J915" s="187"/>
      <c r="K915" s="80"/>
      <c r="L915" s="80"/>
      <c r="M915" s="80"/>
      <c r="N915" s="80"/>
      <c r="O915" s="80"/>
      <c r="P915" s="80"/>
      <c r="Q915" s="80"/>
      <c r="R915" s="80"/>
      <c r="S915" s="80"/>
      <c r="T915" s="83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  <c r="AK915" s="83"/>
      <c r="AL915" s="83"/>
      <c r="AM915" s="83"/>
      <c r="AN915" s="83"/>
    </row>
    <row r="916" spans="2:40" ht="15.75" customHeight="1">
      <c r="B916" s="83"/>
      <c r="C916" s="80"/>
      <c r="D916" s="80"/>
      <c r="E916" s="80"/>
      <c r="F916" s="188"/>
      <c r="G916" s="80"/>
      <c r="H916" s="80"/>
      <c r="I916" s="80"/>
      <c r="J916" s="187"/>
      <c r="K916" s="80"/>
      <c r="L916" s="80"/>
      <c r="M916" s="80"/>
      <c r="N916" s="80"/>
      <c r="O916" s="80"/>
      <c r="P916" s="80"/>
      <c r="Q916" s="80"/>
      <c r="R916" s="80"/>
      <c r="S916" s="80"/>
      <c r="T916" s="83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  <c r="AK916" s="83"/>
      <c r="AL916" s="83"/>
      <c r="AM916" s="83"/>
      <c r="AN916" s="83"/>
    </row>
    <row r="917" spans="2:40" ht="15.75" customHeight="1">
      <c r="B917" s="83"/>
      <c r="C917" s="80"/>
      <c r="D917" s="80"/>
      <c r="E917" s="80"/>
      <c r="F917" s="188"/>
      <c r="G917" s="80"/>
      <c r="H917" s="80"/>
      <c r="I917" s="80"/>
      <c r="J917" s="187"/>
      <c r="K917" s="80"/>
      <c r="L917" s="80"/>
      <c r="M917" s="80"/>
      <c r="N917" s="80"/>
      <c r="O917" s="80"/>
      <c r="P917" s="80"/>
      <c r="Q917" s="80"/>
      <c r="R917" s="80"/>
      <c r="S917" s="80"/>
      <c r="T917" s="83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  <c r="AK917" s="83"/>
      <c r="AL917" s="83"/>
      <c r="AM917" s="83"/>
      <c r="AN917" s="83"/>
    </row>
    <row r="918" spans="2:40" ht="15.75" customHeight="1">
      <c r="B918" s="83"/>
      <c r="C918" s="80"/>
      <c r="D918" s="80"/>
      <c r="E918" s="80"/>
      <c r="F918" s="188"/>
      <c r="G918" s="80"/>
      <c r="H918" s="80"/>
      <c r="I918" s="80"/>
      <c r="J918" s="187"/>
      <c r="K918" s="80"/>
      <c r="L918" s="80"/>
      <c r="M918" s="80"/>
      <c r="N918" s="80"/>
      <c r="O918" s="80"/>
      <c r="P918" s="80"/>
      <c r="Q918" s="80"/>
      <c r="R918" s="80"/>
      <c r="S918" s="80"/>
      <c r="T918" s="83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3"/>
      <c r="AL918" s="83"/>
      <c r="AM918" s="83"/>
      <c r="AN918" s="83"/>
    </row>
    <row r="919" spans="2:40" ht="15.75" customHeight="1">
      <c r="B919" s="83"/>
      <c r="C919" s="80"/>
      <c r="D919" s="80"/>
      <c r="E919" s="80"/>
      <c r="F919" s="188"/>
      <c r="G919" s="80"/>
      <c r="H919" s="80"/>
      <c r="I919" s="80"/>
      <c r="J919" s="187"/>
      <c r="K919" s="80"/>
      <c r="L919" s="80"/>
      <c r="M919" s="80"/>
      <c r="N919" s="80"/>
      <c r="O919" s="80"/>
      <c r="P919" s="80"/>
      <c r="Q919" s="80"/>
      <c r="R919" s="80"/>
      <c r="S919" s="80"/>
      <c r="T919" s="83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3"/>
      <c r="AL919" s="83"/>
      <c r="AM919" s="83"/>
      <c r="AN919" s="83"/>
    </row>
    <row r="920" spans="2:40" ht="15.75" customHeight="1">
      <c r="B920" s="83"/>
      <c r="C920" s="80"/>
      <c r="D920" s="80"/>
      <c r="E920" s="80"/>
      <c r="F920" s="188"/>
      <c r="G920" s="80"/>
      <c r="H920" s="80"/>
      <c r="I920" s="80"/>
      <c r="J920" s="187"/>
      <c r="K920" s="80"/>
      <c r="L920" s="80"/>
      <c r="M920" s="80"/>
      <c r="N920" s="80"/>
      <c r="O920" s="80"/>
      <c r="P920" s="80"/>
      <c r="Q920" s="80"/>
      <c r="R920" s="80"/>
      <c r="S920" s="80"/>
      <c r="T920" s="83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3"/>
      <c r="AL920" s="83"/>
      <c r="AM920" s="83"/>
      <c r="AN920" s="83"/>
    </row>
    <row r="921" spans="2:40" ht="15.75" customHeight="1">
      <c r="B921" s="83"/>
      <c r="C921" s="80"/>
      <c r="D921" s="80"/>
      <c r="E921" s="80"/>
      <c r="F921" s="188"/>
      <c r="G921" s="80"/>
      <c r="H921" s="80"/>
      <c r="I921" s="80"/>
      <c r="J921" s="187"/>
      <c r="K921" s="80"/>
      <c r="L921" s="80"/>
      <c r="M921" s="80"/>
      <c r="N921" s="80"/>
      <c r="O921" s="80"/>
      <c r="P921" s="80"/>
      <c r="Q921" s="80"/>
      <c r="R921" s="80"/>
      <c r="S921" s="80"/>
      <c r="T921" s="83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3"/>
      <c r="AL921" s="83"/>
      <c r="AM921" s="83"/>
      <c r="AN921" s="83"/>
    </row>
    <row r="922" spans="2:40" ht="15.75" customHeight="1">
      <c r="B922" s="83"/>
      <c r="C922" s="80"/>
      <c r="D922" s="80"/>
      <c r="E922" s="80"/>
      <c r="F922" s="188"/>
      <c r="G922" s="80"/>
      <c r="H922" s="80"/>
      <c r="I922" s="80"/>
      <c r="J922" s="187"/>
      <c r="K922" s="80"/>
      <c r="L922" s="80"/>
      <c r="M922" s="80"/>
      <c r="N922" s="80"/>
      <c r="O922" s="80"/>
      <c r="P922" s="80"/>
      <c r="Q922" s="80"/>
      <c r="R922" s="80"/>
      <c r="S922" s="80"/>
      <c r="T922" s="83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3"/>
      <c r="AL922" s="83"/>
      <c r="AM922" s="83"/>
      <c r="AN922" s="83"/>
    </row>
    <row r="923" spans="2:40" ht="15.75" customHeight="1">
      <c r="B923" s="83"/>
      <c r="C923" s="80"/>
      <c r="D923" s="80"/>
      <c r="E923" s="80"/>
      <c r="F923" s="188"/>
      <c r="G923" s="80"/>
      <c r="H923" s="80"/>
      <c r="I923" s="80"/>
      <c r="J923" s="187"/>
      <c r="K923" s="80"/>
      <c r="L923" s="80"/>
      <c r="M923" s="80"/>
      <c r="N923" s="80"/>
      <c r="O923" s="80"/>
      <c r="P923" s="80"/>
      <c r="Q923" s="80"/>
      <c r="R923" s="80"/>
      <c r="S923" s="80"/>
      <c r="T923" s="83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3"/>
      <c r="AL923" s="83"/>
      <c r="AM923" s="83"/>
      <c r="AN923" s="83"/>
    </row>
    <row r="924" spans="2:40" ht="15.75" customHeight="1">
      <c r="B924" s="83"/>
      <c r="C924" s="80"/>
      <c r="D924" s="80"/>
      <c r="E924" s="80"/>
      <c r="F924" s="188"/>
      <c r="G924" s="80"/>
      <c r="H924" s="80"/>
      <c r="I924" s="80"/>
      <c r="J924" s="187"/>
      <c r="K924" s="80"/>
      <c r="L924" s="80"/>
      <c r="M924" s="80"/>
      <c r="N924" s="80"/>
      <c r="O924" s="80"/>
      <c r="P924" s="80"/>
      <c r="Q924" s="80"/>
      <c r="R924" s="80"/>
      <c r="S924" s="80"/>
      <c r="T924" s="83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3"/>
      <c r="AL924" s="83"/>
      <c r="AM924" s="83"/>
      <c r="AN924" s="83"/>
    </row>
    <row r="925" spans="2:40" ht="15.75" customHeight="1">
      <c r="B925" s="83"/>
      <c r="C925" s="80"/>
      <c r="D925" s="80"/>
      <c r="E925" s="80"/>
      <c r="F925" s="188"/>
      <c r="G925" s="80"/>
      <c r="H925" s="80"/>
      <c r="I925" s="80"/>
      <c r="J925" s="187"/>
      <c r="K925" s="80"/>
      <c r="L925" s="80"/>
      <c r="M925" s="80"/>
      <c r="N925" s="80"/>
      <c r="O925" s="80"/>
      <c r="P925" s="80"/>
      <c r="Q925" s="80"/>
      <c r="R925" s="80"/>
      <c r="S925" s="80"/>
      <c r="T925" s="83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3"/>
      <c r="AL925" s="83"/>
      <c r="AM925" s="83"/>
      <c r="AN925" s="83"/>
    </row>
    <row r="926" spans="2:40" ht="15.75" customHeight="1">
      <c r="B926" s="83"/>
      <c r="C926" s="80"/>
      <c r="D926" s="80"/>
      <c r="E926" s="80"/>
      <c r="F926" s="188"/>
      <c r="G926" s="80"/>
      <c r="H926" s="80"/>
      <c r="I926" s="80"/>
      <c r="J926" s="187"/>
      <c r="K926" s="80"/>
      <c r="L926" s="80"/>
      <c r="M926" s="80"/>
      <c r="N926" s="80"/>
      <c r="O926" s="80"/>
      <c r="P926" s="80"/>
      <c r="Q926" s="80"/>
      <c r="R926" s="80"/>
      <c r="S926" s="80"/>
      <c r="T926" s="83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  <c r="AK926" s="83"/>
      <c r="AL926" s="83"/>
      <c r="AM926" s="83"/>
      <c r="AN926" s="83"/>
    </row>
    <row r="927" spans="2:40" ht="15.75" customHeight="1">
      <c r="B927" s="83"/>
      <c r="C927" s="80"/>
      <c r="D927" s="80"/>
      <c r="E927" s="80"/>
      <c r="F927" s="188"/>
      <c r="G927" s="80"/>
      <c r="H927" s="80"/>
      <c r="I927" s="80"/>
      <c r="J927" s="187"/>
      <c r="K927" s="80"/>
      <c r="L927" s="80"/>
      <c r="M927" s="80"/>
      <c r="N927" s="80"/>
      <c r="O927" s="80"/>
      <c r="P927" s="80"/>
      <c r="Q927" s="80"/>
      <c r="R927" s="80"/>
      <c r="S927" s="80"/>
      <c r="T927" s="83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  <c r="AK927" s="83"/>
      <c r="AL927" s="83"/>
      <c r="AM927" s="83"/>
      <c r="AN927" s="83"/>
    </row>
    <row r="928" spans="2:40" ht="15.75" customHeight="1">
      <c r="B928" s="83"/>
      <c r="C928" s="80"/>
      <c r="D928" s="80"/>
      <c r="E928" s="80"/>
      <c r="F928" s="188"/>
      <c r="G928" s="80"/>
      <c r="H928" s="80"/>
      <c r="I928" s="80"/>
      <c r="J928" s="187"/>
      <c r="K928" s="80"/>
      <c r="L928" s="80"/>
      <c r="M928" s="80"/>
      <c r="N928" s="80"/>
      <c r="O928" s="80"/>
      <c r="P928" s="80"/>
      <c r="Q928" s="80"/>
      <c r="R928" s="80"/>
      <c r="S928" s="80"/>
      <c r="T928" s="83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  <c r="AK928" s="83"/>
      <c r="AL928" s="83"/>
      <c r="AM928" s="83"/>
      <c r="AN928" s="83"/>
    </row>
    <row r="929" spans="2:40" ht="15.75" customHeight="1">
      <c r="B929" s="83"/>
      <c r="C929" s="80"/>
      <c r="D929" s="80"/>
      <c r="E929" s="80"/>
      <c r="F929" s="188"/>
      <c r="G929" s="80"/>
      <c r="H929" s="80"/>
      <c r="I929" s="80"/>
      <c r="J929" s="187"/>
      <c r="K929" s="80"/>
      <c r="L929" s="80"/>
      <c r="M929" s="80"/>
      <c r="N929" s="80"/>
      <c r="O929" s="80"/>
      <c r="P929" s="80"/>
      <c r="Q929" s="80"/>
      <c r="R929" s="80"/>
      <c r="S929" s="80"/>
      <c r="T929" s="83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  <c r="AK929" s="83"/>
      <c r="AL929" s="83"/>
      <c r="AM929" s="83"/>
      <c r="AN929" s="83"/>
    </row>
    <row r="930" spans="2:40" ht="15.75" customHeight="1">
      <c r="B930" s="83"/>
      <c r="C930" s="80"/>
      <c r="D930" s="80"/>
      <c r="E930" s="80"/>
      <c r="F930" s="188"/>
      <c r="G930" s="80"/>
      <c r="H930" s="80"/>
      <c r="I930" s="80"/>
      <c r="J930" s="187"/>
      <c r="K930" s="80"/>
      <c r="L930" s="80"/>
      <c r="M930" s="80"/>
      <c r="N930" s="80"/>
      <c r="O930" s="80"/>
      <c r="P930" s="80"/>
      <c r="Q930" s="80"/>
      <c r="R930" s="80"/>
      <c r="S930" s="80"/>
      <c r="T930" s="83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3"/>
      <c r="AL930" s="83"/>
      <c r="AM930" s="83"/>
      <c r="AN930" s="83"/>
    </row>
    <row r="931" spans="2:40" ht="15.75" customHeight="1">
      <c r="B931" s="83"/>
      <c r="C931" s="80"/>
      <c r="D931" s="80"/>
      <c r="E931" s="80"/>
      <c r="F931" s="188"/>
      <c r="G931" s="80"/>
      <c r="H931" s="80"/>
      <c r="I931" s="80"/>
      <c r="J931" s="187"/>
      <c r="K931" s="80"/>
      <c r="L931" s="80"/>
      <c r="M931" s="80"/>
      <c r="N931" s="80"/>
      <c r="O931" s="80"/>
      <c r="P931" s="80"/>
      <c r="Q931" s="80"/>
      <c r="R931" s="80"/>
      <c r="S931" s="80"/>
      <c r="T931" s="83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  <c r="AK931" s="83"/>
      <c r="AL931" s="83"/>
      <c r="AM931" s="83"/>
      <c r="AN931" s="83"/>
    </row>
    <row r="932" spans="2:40" ht="15.75" customHeight="1">
      <c r="B932" s="83"/>
      <c r="C932" s="80"/>
      <c r="D932" s="80"/>
      <c r="E932" s="80"/>
      <c r="F932" s="188"/>
      <c r="G932" s="80"/>
      <c r="H932" s="80"/>
      <c r="I932" s="80"/>
      <c r="J932" s="187"/>
      <c r="K932" s="80"/>
      <c r="L932" s="80"/>
      <c r="M932" s="80"/>
      <c r="N932" s="80"/>
      <c r="O932" s="80"/>
      <c r="P932" s="80"/>
      <c r="Q932" s="80"/>
      <c r="R932" s="80"/>
      <c r="S932" s="80"/>
      <c r="T932" s="83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  <c r="AK932" s="83"/>
      <c r="AL932" s="83"/>
      <c r="AM932" s="83"/>
      <c r="AN932" s="83"/>
    </row>
    <row r="933" spans="2:40" ht="15.75" customHeight="1">
      <c r="B933" s="83"/>
      <c r="C933" s="80"/>
      <c r="D933" s="80"/>
      <c r="E933" s="80"/>
      <c r="F933" s="188"/>
      <c r="G933" s="80"/>
      <c r="H933" s="80"/>
      <c r="I933" s="80"/>
      <c r="J933" s="187"/>
      <c r="K933" s="80"/>
      <c r="L933" s="80"/>
      <c r="M933" s="80"/>
      <c r="N933" s="80"/>
      <c r="O933" s="80"/>
      <c r="P933" s="80"/>
      <c r="Q933" s="80"/>
      <c r="R933" s="80"/>
      <c r="S933" s="80"/>
      <c r="T933" s="83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3"/>
      <c r="AL933" s="83"/>
      <c r="AM933" s="83"/>
      <c r="AN933" s="83"/>
    </row>
    <row r="934" spans="2:40" ht="15.75" customHeight="1">
      <c r="B934" s="83"/>
      <c r="C934" s="80"/>
      <c r="D934" s="80"/>
      <c r="E934" s="80"/>
      <c r="F934" s="188"/>
      <c r="G934" s="80"/>
      <c r="H934" s="80"/>
      <c r="I934" s="80"/>
      <c r="J934" s="187"/>
      <c r="K934" s="80"/>
      <c r="L934" s="80"/>
      <c r="M934" s="80"/>
      <c r="N934" s="80"/>
      <c r="O934" s="80"/>
      <c r="P934" s="80"/>
      <c r="Q934" s="80"/>
      <c r="R934" s="80"/>
      <c r="S934" s="80"/>
      <c r="T934" s="83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3"/>
      <c r="AL934" s="83"/>
      <c r="AM934" s="83"/>
      <c r="AN934" s="83"/>
    </row>
    <row r="935" spans="2:40" ht="15.75" customHeight="1">
      <c r="B935" s="83"/>
      <c r="C935" s="80"/>
      <c r="D935" s="80"/>
      <c r="E935" s="80"/>
      <c r="F935" s="188"/>
      <c r="G935" s="80"/>
      <c r="H935" s="80"/>
      <c r="I935" s="80"/>
      <c r="J935" s="187"/>
      <c r="K935" s="80"/>
      <c r="L935" s="80"/>
      <c r="M935" s="80"/>
      <c r="N935" s="80"/>
      <c r="O935" s="80"/>
      <c r="P935" s="80"/>
      <c r="Q935" s="80"/>
      <c r="R935" s="80"/>
      <c r="S935" s="80"/>
      <c r="T935" s="83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3"/>
      <c r="AL935" s="83"/>
      <c r="AM935" s="83"/>
      <c r="AN935" s="83"/>
    </row>
    <row r="936" spans="2:40" ht="15.75" customHeight="1">
      <c r="B936" s="83"/>
      <c r="C936" s="80"/>
      <c r="D936" s="80"/>
      <c r="E936" s="80"/>
      <c r="F936" s="188"/>
      <c r="G936" s="80"/>
      <c r="H936" s="80"/>
      <c r="I936" s="80"/>
      <c r="J936" s="187"/>
      <c r="K936" s="80"/>
      <c r="L936" s="80"/>
      <c r="M936" s="80"/>
      <c r="N936" s="80"/>
      <c r="O936" s="80"/>
      <c r="P936" s="80"/>
      <c r="Q936" s="80"/>
      <c r="R936" s="80"/>
      <c r="S936" s="80"/>
      <c r="T936" s="83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3"/>
      <c r="AL936" s="83"/>
      <c r="AM936" s="83"/>
      <c r="AN936" s="83"/>
    </row>
    <row r="937" spans="2:40" ht="15.75" customHeight="1">
      <c r="B937" s="83"/>
      <c r="C937" s="80"/>
      <c r="D937" s="80"/>
      <c r="E937" s="80"/>
      <c r="F937" s="188"/>
      <c r="G937" s="80"/>
      <c r="H937" s="80"/>
      <c r="I937" s="80"/>
      <c r="J937" s="187"/>
      <c r="K937" s="80"/>
      <c r="L937" s="80"/>
      <c r="M937" s="80"/>
      <c r="N937" s="80"/>
      <c r="O937" s="80"/>
      <c r="P937" s="80"/>
      <c r="Q937" s="80"/>
      <c r="R937" s="80"/>
      <c r="S937" s="80"/>
      <c r="T937" s="83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3"/>
      <c r="AL937" s="83"/>
      <c r="AM937" s="83"/>
      <c r="AN937" s="83"/>
    </row>
    <row r="938" spans="2:40" ht="15.75" customHeight="1">
      <c r="B938" s="83"/>
      <c r="C938" s="80"/>
      <c r="D938" s="80"/>
      <c r="E938" s="80"/>
      <c r="F938" s="188"/>
      <c r="G938" s="80"/>
      <c r="H938" s="80"/>
      <c r="I938" s="80"/>
      <c r="J938" s="187"/>
      <c r="K938" s="80"/>
      <c r="L938" s="80"/>
      <c r="M938" s="80"/>
      <c r="N938" s="80"/>
      <c r="O938" s="80"/>
      <c r="P938" s="80"/>
      <c r="Q938" s="80"/>
      <c r="R938" s="80"/>
      <c r="S938" s="80"/>
      <c r="T938" s="83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3"/>
      <c r="AL938" s="83"/>
      <c r="AM938" s="83"/>
      <c r="AN938" s="83"/>
    </row>
    <row r="939" spans="2:40" ht="15.75" customHeight="1">
      <c r="B939" s="83"/>
      <c r="C939" s="80"/>
      <c r="D939" s="80"/>
      <c r="E939" s="80"/>
      <c r="F939" s="188"/>
      <c r="G939" s="80"/>
      <c r="H939" s="80"/>
      <c r="I939" s="80"/>
      <c r="J939" s="187"/>
      <c r="K939" s="80"/>
      <c r="L939" s="80"/>
      <c r="M939" s="80"/>
      <c r="N939" s="80"/>
      <c r="O939" s="80"/>
      <c r="P939" s="80"/>
      <c r="Q939" s="80"/>
      <c r="R939" s="80"/>
      <c r="S939" s="80"/>
      <c r="T939" s="83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3"/>
      <c r="AL939" s="83"/>
      <c r="AM939" s="83"/>
      <c r="AN939" s="83"/>
    </row>
    <row r="940" spans="2:40" ht="15.75" customHeight="1">
      <c r="B940" s="83"/>
      <c r="C940" s="80"/>
      <c r="D940" s="80"/>
      <c r="E940" s="80"/>
      <c r="F940" s="188"/>
      <c r="G940" s="80"/>
      <c r="H940" s="80"/>
      <c r="I940" s="80"/>
      <c r="J940" s="187"/>
      <c r="K940" s="80"/>
      <c r="L940" s="80"/>
      <c r="M940" s="80"/>
      <c r="N940" s="80"/>
      <c r="O940" s="80"/>
      <c r="P940" s="80"/>
      <c r="Q940" s="80"/>
      <c r="R940" s="80"/>
      <c r="S940" s="80"/>
      <c r="T940" s="83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3"/>
      <c r="AL940" s="83"/>
      <c r="AM940" s="83"/>
      <c r="AN940" s="83"/>
    </row>
    <row r="941" spans="2:40" ht="15.75" customHeight="1">
      <c r="B941" s="83"/>
      <c r="C941" s="80"/>
      <c r="D941" s="80"/>
      <c r="E941" s="80"/>
      <c r="F941" s="188"/>
      <c r="G941" s="80"/>
      <c r="H941" s="80"/>
      <c r="I941" s="80"/>
      <c r="J941" s="187"/>
      <c r="K941" s="80"/>
      <c r="L941" s="80"/>
      <c r="M941" s="80"/>
      <c r="N941" s="80"/>
      <c r="O941" s="80"/>
      <c r="P941" s="80"/>
      <c r="Q941" s="80"/>
      <c r="R941" s="80"/>
      <c r="S941" s="80"/>
      <c r="T941" s="83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3"/>
      <c r="AL941" s="83"/>
      <c r="AM941" s="83"/>
      <c r="AN941" s="83"/>
    </row>
    <row r="942" spans="2:40" ht="15.75" customHeight="1">
      <c r="B942" s="83"/>
      <c r="C942" s="80"/>
      <c r="D942" s="80"/>
      <c r="E942" s="80"/>
      <c r="F942" s="188"/>
      <c r="G942" s="80"/>
      <c r="H942" s="80"/>
      <c r="I942" s="80"/>
      <c r="J942" s="187"/>
      <c r="K942" s="80"/>
      <c r="L942" s="80"/>
      <c r="M942" s="80"/>
      <c r="N942" s="80"/>
      <c r="O942" s="80"/>
      <c r="P942" s="80"/>
      <c r="Q942" s="80"/>
      <c r="R942" s="80"/>
      <c r="S942" s="80"/>
      <c r="T942" s="83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3"/>
      <c r="AL942" s="83"/>
      <c r="AM942" s="83"/>
      <c r="AN942" s="83"/>
    </row>
    <row r="943" spans="2:40" ht="15.75" customHeight="1">
      <c r="B943" s="83"/>
      <c r="C943" s="80"/>
      <c r="D943" s="80"/>
      <c r="E943" s="80"/>
      <c r="F943" s="188"/>
      <c r="G943" s="80"/>
      <c r="H943" s="80"/>
      <c r="I943" s="80"/>
      <c r="J943" s="187"/>
      <c r="K943" s="80"/>
      <c r="L943" s="80"/>
      <c r="M943" s="80"/>
      <c r="N943" s="80"/>
      <c r="O943" s="80"/>
      <c r="P943" s="80"/>
      <c r="Q943" s="80"/>
      <c r="R943" s="80"/>
      <c r="S943" s="80"/>
      <c r="T943" s="83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3"/>
      <c r="AL943" s="83"/>
      <c r="AM943" s="83"/>
      <c r="AN943" s="83"/>
    </row>
    <row r="944" spans="2:40" ht="15.75" customHeight="1">
      <c r="B944" s="83"/>
      <c r="C944" s="80"/>
      <c r="D944" s="80"/>
      <c r="E944" s="80"/>
      <c r="F944" s="188"/>
      <c r="G944" s="80"/>
      <c r="H944" s="80"/>
      <c r="I944" s="80"/>
      <c r="J944" s="187"/>
      <c r="K944" s="80"/>
      <c r="L944" s="80"/>
      <c r="M944" s="80"/>
      <c r="N944" s="80"/>
      <c r="O944" s="80"/>
      <c r="P944" s="80"/>
      <c r="Q944" s="80"/>
      <c r="R944" s="80"/>
      <c r="S944" s="80"/>
      <c r="T944" s="83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  <c r="AK944" s="83"/>
      <c r="AL944" s="83"/>
      <c r="AM944" s="83"/>
      <c r="AN944" s="83"/>
    </row>
    <row r="945" spans="2:40" ht="15.75" customHeight="1">
      <c r="B945" s="83"/>
      <c r="C945" s="80"/>
      <c r="D945" s="80"/>
      <c r="E945" s="80"/>
      <c r="F945" s="188"/>
      <c r="G945" s="80"/>
      <c r="H945" s="80"/>
      <c r="I945" s="80"/>
      <c r="J945" s="187"/>
      <c r="K945" s="80"/>
      <c r="L945" s="80"/>
      <c r="M945" s="80"/>
      <c r="N945" s="80"/>
      <c r="O945" s="80"/>
      <c r="P945" s="80"/>
      <c r="Q945" s="80"/>
      <c r="R945" s="80"/>
      <c r="S945" s="80"/>
      <c r="T945" s="83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  <c r="AK945" s="83"/>
      <c r="AL945" s="83"/>
      <c r="AM945" s="83"/>
      <c r="AN945" s="83"/>
    </row>
    <row r="946" spans="2:40" ht="15.75" customHeight="1">
      <c r="B946" s="83"/>
      <c r="C946" s="80"/>
      <c r="D946" s="80"/>
      <c r="E946" s="80"/>
      <c r="F946" s="188"/>
      <c r="G946" s="80"/>
      <c r="H946" s="80"/>
      <c r="I946" s="80"/>
      <c r="J946" s="187"/>
      <c r="K946" s="80"/>
      <c r="L946" s="80"/>
      <c r="M946" s="80"/>
      <c r="N946" s="80"/>
      <c r="O946" s="80"/>
      <c r="P946" s="80"/>
      <c r="Q946" s="80"/>
      <c r="R946" s="80"/>
      <c r="S946" s="80"/>
      <c r="T946" s="83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  <c r="AK946" s="83"/>
      <c r="AL946" s="83"/>
      <c r="AM946" s="83"/>
      <c r="AN946" s="83"/>
    </row>
    <row r="947" spans="2:40" ht="15.75" customHeight="1">
      <c r="B947" s="83"/>
      <c r="C947" s="80"/>
      <c r="D947" s="80"/>
      <c r="E947" s="80"/>
      <c r="F947" s="188"/>
      <c r="G947" s="80"/>
      <c r="H947" s="80"/>
      <c r="I947" s="80"/>
      <c r="J947" s="187"/>
      <c r="K947" s="80"/>
      <c r="L947" s="80"/>
      <c r="M947" s="80"/>
      <c r="N947" s="80"/>
      <c r="O947" s="80"/>
      <c r="P947" s="80"/>
      <c r="Q947" s="80"/>
      <c r="R947" s="80"/>
      <c r="S947" s="80"/>
      <c r="T947" s="83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  <c r="AK947" s="83"/>
      <c r="AL947" s="83"/>
      <c r="AM947" s="83"/>
      <c r="AN947" s="83"/>
    </row>
    <row r="948" spans="2:40" ht="15.75" customHeight="1">
      <c r="B948" s="83"/>
      <c r="C948" s="80"/>
      <c r="D948" s="80"/>
      <c r="E948" s="80"/>
      <c r="F948" s="188"/>
      <c r="G948" s="80"/>
      <c r="H948" s="80"/>
      <c r="I948" s="80"/>
      <c r="J948" s="187"/>
      <c r="K948" s="80"/>
      <c r="L948" s="80"/>
      <c r="M948" s="80"/>
      <c r="N948" s="80"/>
      <c r="O948" s="80"/>
      <c r="P948" s="80"/>
      <c r="Q948" s="80"/>
      <c r="R948" s="80"/>
      <c r="S948" s="80"/>
      <c r="T948" s="83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  <c r="AK948" s="83"/>
      <c r="AL948" s="83"/>
      <c r="AM948" s="83"/>
      <c r="AN948" s="83"/>
    </row>
    <row r="949" spans="2:40" ht="15.75" customHeight="1">
      <c r="B949" s="83"/>
      <c r="C949" s="80"/>
      <c r="D949" s="80"/>
      <c r="E949" s="80"/>
      <c r="F949" s="188"/>
      <c r="G949" s="80"/>
      <c r="H949" s="80"/>
      <c r="I949" s="80"/>
      <c r="J949" s="187"/>
      <c r="K949" s="80"/>
      <c r="L949" s="80"/>
      <c r="M949" s="80"/>
      <c r="N949" s="80"/>
      <c r="O949" s="80"/>
      <c r="P949" s="80"/>
      <c r="Q949" s="80"/>
      <c r="R949" s="80"/>
      <c r="S949" s="80"/>
      <c r="T949" s="83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3"/>
      <c r="AL949" s="83"/>
      <c r="AM949" s="83"/>
      <c r="AN949" s="83"/>
    </row>
    <row r="950" spans="2:40" ht="15.75" customHeight="1">
      <c r="B950" s="83"/>
      <c r="C950" s="80"/>
      <c r="D950" s="80"/>
      <c r="E950" s="80"/>
      <c r="F950" s="188"/>
      <c r="G950" s="80"/>
      <c r="H950" s="80"/>
      <c r="I950" s="80"/>
      <c r="J950" s="187"/>
      <c r="K950" s="80"/>
      <c r="L950" s="80"/>
      <c r="M950" s="80"/>
      <c r="N950" s="80"/>
      <c r="O950" s="80"/>
      <c r="P950" s="80"/>
      <c r="Q950" s="80"/>
      <c r="R950" s="80"/>
      <c r="S950" s="80"/>
      <c r="T950" s="83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  <c r="AK950" s="83"/>
      <c r="AL950" s="83"/>
      <c r="AM950" s="83"/>
      <c r="AN950" s="83"/>
    </row>
    <row r="951" spans="2:40" ht="15.75" customHeight="1">
      <c r="B951" s="83"/>
      <c r="C951" s="80"/>
      <c r="D951" s="80"/>
      <c r="E951" s="80"/>
      <c r="F951" s="188"/>
      <c r="G951" s="80"/>
      <c r="H951" s="80"/>
      <c r="I951" s="80"/>
      <c r="J951" s="187"/>
      <c r="K951" s="80"/>
      <c r="L951" s="80"/>
      <c r="M951" s="80"/>
      <c r="N951" s="80"/>
      <c r="O951" s="80"/>
      <c r="P951" s="80"/>
      <c r="Q951" s="80"/>
      <c r="R951" s="80"/>
      <c r="S951" s="80"/>
      <c r="T951" s="83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3"/>
      <c r="AL951" s="83"/>
      <c r="AM951" s="83"/>
      <c r="AN951" s="83"/>
    </row>
    <row r="952" spans="2:40" ht="15.75" customHeight="1">
      <c r="B952" s="83"/>
      <c r="C952" s="80"/>
      <c r="D952" s="80"/>
      <c r="E952" s="80"/>
      <c r="F952" s="188"/>
      <c r="G952" s="80"/>
      <c r="H952" s="80"/>
      <c r="I952" s="80"/>
      <c r="J952" s="187"/>
      <c r="K952" s="80"/>
      <c r="L952" s="80"/>
      <c r="M952" s="80"/>
      <c r="N952" s="80"/>
      <c r="O952" s="80"/>
      <c r="P952" s="80"/>
      <c r="Q952" s="80"/>
      <c r="R952" s="80"/>
      <c r="S952" s="80"/>
      <c r="T952" s="83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  <c r="AK952" s="83"/>
      <c r="AL952" s="83"/>
      <c r="AM952" s="83"/>
      <c r="AN952" s="83"/>
    </row>
    <row r="953" spans="2:40" ht="15.75" customHeight="1">
      <c r="B953" s="83"/>
      <c r="C953" s="80"/>
      <c r="D953" s="80"/>
      <c r="E953" s="80"/>
      <c r="F953" s="188"/>
      <c r="G953" s="80"/>
      <c r="H953" s="80"/>
      <c r="I953" s="80"/>
      <c r="J953" s="187"/>
      <c r="K953" s="80"/>
      <c r="L953" s="80"/>
      <c r="M953" s="80"/>
      <c r="N953" s="80"/>
      <c r="O953" s="80"/>
      <c r="P953" s="80"/>
      <c r="Q953" s="80"/>
      <c r="R953" s="80"/>
      <c r="S953" s="80"/>
      <c r="T953" s="83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3"/>
      <c r="AL953" s="83"/>
      <c r="AM953" s="83"/>
      <c r="AN953" s="83"/>
    </row>
    <row r="954" spans="2:40" ht="15.75" customHeight="1">
      <c r="B954" s="83"/>
      <c r="C954" s="80"/>
      <c r="D954" s="80"/>
      <c r="E954" s="80"/>
      <c r="F954" s="188"/>
      <c r="G954" s="80"/>
      <c r="H954" s="80"/>
      <c r="I954" s="80"/>
      <c r="J954" s="187"/>
      <c r="K954" s="80"/>
      <c r="L954" s="80"/>
      <c r="M954" s="80"/>
      <c r="N954" s="80"/>
      <c r="O954" s="80"/>
      <c r="P954" s="80"/>
      <c r="Q954" s="80"/>
      <c r="R954" s="80"/>
      <c r="S954" s="80"/>
      <c r="T954" s="83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3"/>
      <c r="AL954" s="83"/>
      <c r="AM954" s="83"/>
      <c r="AN954" s="83"/>
    </row>
    <row r="955" spans="2:40" ht="15.75" customHeight="1">
      <c r="B955" s="83"/>
      <c r="C955" s="80"/>
      <c r="D955" s="80"/>
      <c r="E955" s="80"/>
      <c r="F955" s="188"/>
      <c r="G955" s="80"/>
      <c r="H955" s="80"/>
      <c r="I955" s="80"/>
      <c r="J955" s="187"/>
      <c r="K955" s="80"/>
      <c r="L955" s="80"/>
      <c r="M955" s="80"/>
      <c r="N955" s="80"/>
      <c r="O955" s="80"/>
      <c r="P955" s="80"/>
      <c r="Q955" s="80"/>
      <c r="R955" s="80"/>
      <c r="S955" s="80"/>
      <c r="T955" s="83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  <c r="AK955" s="83"/>
      <c r="AL955" s="83"/>
      <c r="AM955" s="83"/>
      <c r="AN955" s="83"/>
    </row>
    <row r="956" spans="2:40" ht="15.75" customHeight="1">
      <c r="B956" s="83"/>
      <c r="C956" s="80"/>
      <c r="D956" s="80"/>
      <c r="E956" s="80"/>
      <c r="F956" s="188"/>
      <c r="G956" s="80"/>
      <c r="H956" s="80"/>
      <c r="I956" s="80"/>
      <c r="J956" s="187"/>
      <c r="K956" s="80"/>
      <c r="L956" s="80"/>
      <c r="M956" s="80"/>
      <c r="N956" s="80"/>
      <c r="O956" s="80"/>
      <c r="P956" s="80"/>
      <c r="Q956" s="80"/>
      <c r="R956" s="80"/>
      <c r="S956" s="80"/>
      <c r="T956" s="83"/>
      <c r="U956" s="85"/>
      <c r="V956" s="85"/>
      <c r="W956" s="85"/>
      <c r="X956" s="85"/>
      <c r="Y956" s="85"/>
      <c r="Z956" s="85"/>
      <c r="AA956" s="85"/>
      <c r="AB956" s="85"/>
      <c r="AC956" s="85"/>
      <c r="AD956" s="85"/>
      <c r="AE956" s="85"/>
      <c r="AF956" s="85"/>
      <c r="AG956" s="85"/>
      <c r="AH956" s="85"/>
      <c r="AI956" s="85"/>
      <c r="AJ956" s="85"/>
      <c r="AK956" s="83"/>
      <c r="AL956" s="83"/>
      <c r="AM956" s="83"/>
      <c r="AN956" s="83"/>
    </row>
    <row r="957" spans="2:40" ht="15.75" customHeight="1">
      <c r="B957" s="83"/>
      <c r="C957" s="80"/>
      <c r="D957" s="80"/>
      <c r="E957" s="80"/>
      <c r="F957" s="188"/>
      <c r="G957" s="80"/>
      <c r="H957" s="80"/>
      <c r="I957" s="80"/>
      <c r="J957" s="187"/>
      <c r="K957" s="80"/>
      <c r="L957" s="80"/>
      <c r="M957" s="80"/>
      <c r="N957" s="80"/>
      <c r="O957" s="80"/>
      <c r="P957" s="80"/>
      <c r="Q957" s="80"/>
      <c r="R957" s="80"/>
      <c r="S957" s="80"/>
      <c r="T957" s="83"/>
      <c r="U957" s="85"/>
      <c r="V957" s="85"/>
      <c r="W957" s="85"/>
      <c r="X957" s="85"/>
      <c r="Y957" s="85"/>
      <c r="Z957" s="85"/>
      <c r="AA957" s="85"/>
      <c r="AB957" s="85"/>
      <c r="AC957" s="85"/>
      <c r="AD957" s="85"/>
      <c r="AE957" s="85"/>
      <c r="AF957" s="85"/>
      <c r="AG957" s="85"/>
      <c r="AH957" s="85"/>
      <c r="AI957" s="85"/>
      <c r="AJ957" s="85"/>
      <c r="AK957" s="83"/>
      <c r="AL957" s="83"/>
      <c r="AM957" s="83"/>
      <c r="AN957" s="83"/>
    </row>
    <row r="958" spans="2:40" ht="15.75" customHeight="1">
      <c r="B958" s="83"/>
      <c r="C958" s="80"/>
      <c r="D958" s="80"/>
      <c r="E958" s="80"/>
      <c r="F958" s="188"/>
      <c r="G958" s="80"/>
      <c r="H958" s="80"/>
      <c r="I958" s="80"/>
      <c r="J958" s="187"/>
      <c r="K958" s="80"/>
      <c r="L958" s="80"/>
      <c r="M958" s="80"/>
      <c r="N958" s="80"/>
      <c r="O958" s="80"/>
      <c r="P958" s="80"/>
      <c r="Q958" s="80"/>
      <c r="R958" s="80"/>
      <c r="S958" s="80"/>
      <c r="T958" s="83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  <c r="AK958" s="83"/>
      <c r="AL958" s="83"/>
      <c r="AM958" s="83"/>
      <c r="AN958" s="83"/>
    </row>
    <row r="959" spans="2:40" ht="15.75" customHeight="1">
      <c r="B959" s="83"/>
      <c r="C959" s="80"/>
      <c r="D959" s="80"/>
      <c r="E959" s="80"/>
      <c r="F959" s="188"/>
      <c r="G959" s="80"/>
      <c r="H959" s="80"/>
      <c r="I959" s="80"/>
      <c r="J959" s="187"/>
      <c r="K959" s="80"/>
      <c r="L959" s="80"/>
      <c r="M959" s="80"/>
      <c r="N959" s="80"/>
      <c r="O959" s="80"/>
      <c r="P959" s="80"/>
      <c r="Q959" s="80"/>
      <c r="R959" s="80"/>
      <c r="S959" s="80"/>
      <c r="T959" s="83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3"/>
      <c r="AL959" s="83"/>
      <c r="AM959" s="83"/>
      <c r="AN959" s="83"/>
    </row>
    <row r="960" spans="2:40" ht="15.75" customHeight="1">
      <c r="B960" s="83"/>
      <c r="C960" s="80"/>
      <c r="D960" s="80"/>
      <c r="E960" s="80"/>
      <c r="F960" s="188"/>
      <c r="G960" s="80"/>
      <c r="H960" s="80"/>
      <c r="I960" s="80"/>
      <c r="J960" s="187"/>
      <c r="K960" s="80"/>
      <c r="L960" s="80"/>
      <c r="M960" s="80"/>
      <c r="N960" s="80"/>
      <c r="O960" s="80"/>
      <c r="P960" s="80"/>
      <c r="Q960" s="80"/>
      <c r="R960" s="80"/>
      <c r="S960" s="80"/>
      <c r="T960" s="83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  <c r="AK960" s="83"/>
      <c r="AL960" s="83"/>
      <c r="AM960" s="83"/>
      <c r="AN960" s="83"/>
    </row>
    <row r="961" spans="2:40" ht="15.75" customHeight="1">
      <c r="B961" s="83"/>
      <c r="C961" s="80"/>
      <c r="D961" s="80"/>
      <c r="E961" s="80"/>
      <c r="F961" s="188"/>
      <c r="G961" s="80"/>
      <c r="H961" s="80"/>
      <c r="I961" s="80"/>
      <c r="J961" s="187"/>
      <c r="K961" s="80"/>
      <c r="L961" s="80"/>
      <c r="M961" s="80"/>
      <c r="N961" s="80"/>
      <c r="O961" s="80"/>
      <c r="P961" s="80"/>
      <c r="Q961" s="80"/>
      <c r="R961" s="80"/>
      <c r="S961" s="80"/>
      <c r="T961" s="83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  <c r="AK961" s="83"/>
      <c r="AL961" s="83"/>
      <c r="AM961" s="83"/>
      <c r="AN961" s="83"/>
    </row>
    <row r="962" spans="2:40" ht="15.75" customHeight="1">
      <c r="B962" s="83"/>
      <c r="C962" s="80"/>
      <c r="D962" s="80"/>
      <c r="E962" s="80"/>
      <c r="F962" s="188"/>
      <c r="G962" s="80"/>
      <c r="H962" s="80"/>
      <c r="I962" s="80"/>
      <c r="J962" s="187"/>
      <c r="K962" s="80"/>
      <c r="L962" s="80"/>
      <c r="M962" s="80"/>
      <c r="N962" s="80"/>
      <c r="O962" s="80"/>
      <c r="P962" s="80"/>
      <c r="Q962" s="80"/>
      <c r="R962" s="80"/>
      <c r="S962" s="80"/>
      <c r="T962" s="83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  <c r="AK962" s="83"/>
      <c r="AL962" s="83"/>
      <c r="AM962" s="83"/>
      <c r="AN962" s="83"/>
    </row>
    <row r="963" spans="2:40" ht="15.75" customHeight="1">
      <c r="B963" s="83"/>
      <c r="C963" s="80"/>
      <c r="D963" s="80"/>
      <c r="E963" s="80"/>
      <c r="F963" s="188"/>
      <c r="G963" s="80"/>
      <c r="H963" s="80"/>
      <c r="I963" s="80"/>
      <c r="J963" s="187"/>
      <c r="K963" s="80"/>
      <c r="L963" s="80"/>
      <c r="M963" s="80"/>
      <c r="N963" s="80"/>
      <c r="O963" s="80"/>
      <c r="P963" s="80"/>
      <c r="Q963" s="80"/>
      <c r="R963" s="80"/>
      <c r="S963" s="80"/>
      <c r="T963" s="83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3"/>
      <c r="AL963" s="83"/>
      <c r="AM963" s="83"/>
      <c r="AN963" s="83"/>
    </row>
    <row r="964" spans="2:40" ht="15.75" customHeight="1">
      <c r="B964" s="83"/>
      <c r="C964" s="80"/>
      <c r="D964" s="80"/>
      <c r="E964" s="80"/>
      <c r="F964" s="188"/>
      <c r="G964" s="80"/>
      <c r="H964" s="80"/>
      <c r="I964" s="80"/>
      <c r="J964" s="187"/>
      <c r="K964" s="80"/>
      <c r="L964" s="80"/>
      <c r="M964" s="80"/>
      <c r="N964" s="80"/>
      <c r="O964" s="80"/>
      <c r="P964" s="80"/>
      <c r="Q964" s="80"/>
      <c r="R964" s="80"/>
      <c r="S964" s="80"/>
      <c r="T964" s="83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  <c r="AK964" s="83"/>
      <c r="AL964" s="83"/>
      <c r="AM964" s="83"/>
      <c r="AN964" s="83"/>
    </row>
    <row r="965" spans="2:40" ht="15.75" customHeight="1">
      <c r="B965" s="83"/>
      <c r="C965" s="80"/>
      <c r="D965" s="80"/>
      <c r="E965" s="80"/>
      <c r="F965" s="188"/>
      <c r="G965" s="80"/>
      <c r="H965" s="80"/>
      <c r="I965" s="80"/>
      <c r="J965" s="187"/>
      <c r="K965" s="80"/>
      <c r="L965" s="80"/>
      <c r="M965" s="80"/>
      <c r="N965" s="80"/>
      <c r="O965" s="80"/>
      <c r="P965" s="80"/>
      <c r="Q965" s="80"/>
      <c r="R965" s="80"/>
      <c r="S965" s="80"/>
      <c r="T965" s="83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  <c r="AK965" s="83"/>
      <c r="AL965" s="83"/>
      <c r="AM965" s="83"/>
      <c r="AN965" s="83"/>
    </row>
    <row r="966" spans="2:40" ht="15.75" customHeight="1">
      <c r="B966" s="83"/>
      <c r="C966" s="80"/>
      <c r="D966" s="80"/>
      <c r="E966" s="80"/>
      <c r="F966" s="188"/>
      <c r="G966" s="80"/>
      <c r="H966" s="80"/>
      <c r="I966" s="80"/>
      <c r="J966" s="187"/>
      <c r="K966" s="80"/>
      <c r="L966" s="80"/>
      <c r="M966" s="80"/>
      <c r="N966" s="80"/>
      <c r="O966" s="80"/>
      <c r="P966" s="80"/>
      <c r="Q966" s="80"/>
      <c r="R966" s="80"/>
      <c r="S966" s="80"/>
      <c r="T966" s="83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  <c r="AK966" s="83"/>
      <c r="AL966" s="83"/>
      <c r="AM966" s="83"/>
      <c r="AN966" s="83"/>
    </row>
    <row r="967" spans="2:40" ht="15.75" customHeight="1">
      <c r="B967" s="83"/>
      <c r="C967" s="80"/>
      <c r="D967" s="80"/>
      <c r="E967" s="80"/>
      <c r="F967" s="188"/>
      <c r="G967" s="80"/>
      <c r="H967" s="80"/>
      <c r="I967" s="80"/>
      <c r="J967" s="187"/>
      <c r="K967" s="80"/>
      <c r="L967" s="80"/>
      <c r="M967" s="80"/>
      <c r="N967" s="80"/>
      <c r="O967" s="80"/>
      <c r="P967" s="80"/>
      <c r="Q967" s="80"/>
      <c r="R967" s="80"/>
      <c r="S967" s="80"/>
      <c r="T967" s="83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  <c r="AK967" s="83"/>
      <c r="AL967" s="83"/>
      <c r="AM967" s="83"/>
      <c r="AN967" s="83"/>
    </row>
    <row r="968" spans="2:40" ht="15.75" customHeight="1">
      <c r="B968" s="83"/>
      <c r="C968" s="80"/>
      <c r="D968" s="80"/>
      <c r="E968" s="80"/>
      <c r="F968" s="188"/>
      <c r="G968" s="80"/>
      <c r="H968" s="80"/>
      <c r="I968" s="80"/>
      <c r="J968" s="187"/>
      <c r="K968" s="80"/>
      <c r="L968" s="80"/>
      <c r="M968" s="80"/>
      <c r="N968" s="80"/>
      <c r="O968" s="80"/>
      <c r="P968" s="80"/>
      <c r="Q968" s="80"/>
      <c r="R968" s="80"/>
      <c r="S968" s="80"/>
      <c r="T968" s="83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I968" s="85"/>
      <c r="AJ968" s="85"/>
      <c r="AK968" s="83"/>
      <c r="AL968" s="83"/>
      <c r="AM968" s="83"/>
      <c r="AN968" s="83"/>
    </row>
    <row r="969" spans="2:40" ht="15.75" customHeight="1"/>
    <row r="970" spans="2:40" ht="15.75" customHeight="1"/>
    <row r="971" spans="2:40" ht="15.75" customHeight="1"/>
    <row r="972" spans="2:40" ht="15.75" customHeight="1"/>
  </sheetData>
  <mergeCells count="6">
    <mergeCell ref="C197:E197"/>
    <mergeCell ref="AK172:AM172"/>
    <mergeCell ref="AK171:AM171"/>
    <mergeCell ref="C194:E194"/>
    <mergeCell ref="C195:E195"/>
    <mergeCell ref="C196:E196"/>
  </mergeCells>
  <phoneticPr fontId="19" type="noConversion"/>
  <pageMargins left="0.51181102362204722" right="0.51181102362204722" top="1.1811023622047243" bottom="1.1811023622047243" header="0.78740157480314954" footer="0.78740157480314954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21"/>
  <sheetViews>
    <sheetView zoomScaleNormal="100" workbookViewId="0">
      <selection activeCell="C150" sqref="C150"/>
    </sheetView>
  </sheetViews>
  <sheetFormatPr defaultRowHeight="15" customHeight="1"/>
  <cols>
    <col min="1" max="1" width="2.8984375" style="16" customWidth="1"/>
    <col min="2" max="2" width="25.69921875" style="21" customWidth="1"/>
    <col min="3" max="3" width="7.69921875" style="16" customWidth="1"/>
    <col min="4" max="4" width="6.796875" style="16" customWidth="1"/>
    <col min="5" max="5" width="15.59765625" style="16" customWidth="1"/>
    <col min="6" max="6" width="9.796875" style="10" customWidth="1"/>
    <col min="7" max="7" width="8.5" style="16" customWidth="1"/>
    <col min="8" max="8" width="7" style="16" customWidth="1"/>
    <col min="9" max="9" width="8.69921875" style="16" customWidth="1"/>
    <col min="10" max="10" width="8.69921875" style="21" customWidth="1"/>
    <col min="11" max="11" width="2.796875" style="16" customWidth="1"/>
    <col min="12" max="12" width="7.69921875" style="16" customWidth="1"/>
    <col min="13" max="13" width="6.69921875" style="16" customWidth="1"/>
    <col min="14" max="14" width="9.69921875" style="16" customWidth="1"/>
    <col min="15" max="16" width="9" style="16" customWidth="1"/>
    <col min="17" max="17" width="7.69921875" style="16" customWidth="1"/>
    <col min="18" max="18" width="7.796875" style="16" customWidth="1"/>
    <col min="19" max="19" width="2.796875" style="16" customWidth="1"/>
    <col min="20" max="20" width="7.69921875" style="16" customWidth="1"/>
    <col min="21" max="21" width="8.796875" style="16" customWidth="1"/>
    <col min="22" max="22" width="2.69921875" style="16" customWidth="1"/>
    <col min="23" max="23" width="7.796875" style="16" customWidth="1"/>
    <col min="24" max="24" width="5.5" style="16" bestFit="1" customWidth="1"/>
    <col min="25" max="25" width="7.59765625" style="16" bestFit="1" customWidth="1"/>
    <col min="26" max="26" width="6.19921875" style="16" bestFit="1" customWidth="1"/>
    <col min="27" max="27" width="8.296875" style="16" bestFit="1" customWidth="1"/>
    <col min="28" max="28" width="8.69921875" style="16" bestFit="1" customWidth="1"/>
    <col min="29" max="29" width="8.69921875" style="16" customWidth="1"/>
    <col min="30" max="30" width="2.69921875" style="16" customWidth="1"/>
    <col min="31" max="31" width="6.796875" style="9" customWidth="1"/>
    <col min="32" max="32" width="8.69921875" style="9" customWidth="1"/>
    <col min="33" max="33" width="13.3984375" customWidth="1"/>
    <col min="34" max="34" width="13.09765625" customWidth="1"/>
    <col min="35" max="35" width="8.296875" customWidth="1"/>
    <col min="36" max="1024" width="13.3984375" customWidth="1"/>
  </cols>
  <sheetData>
    <row r="1" spans="1:32" ht="15" customHeight="1">
      <c r="A1" s="9"/>
      <c r="B1" s="10"/>
      <c r="C1" s="9"/>
      <c r="D1" s="9"/>
      <c r="E1" s="9"/>
      <c r="G1" s="9"/>
      <c r="H1" s="9"/>
      <c r="I1" s="9"/>
      <c r="J1" s="10"/>
      <c r="K1" s="9"/>
      <c r="L1" s="9"/>
    </row>
    <row r="2" spans="1:32" ht="15" customHeight="1">
      <c r="A2" s="281" t="s">
        <v>281</v>
      </c>
      <c r="B2" s="282" t="s">
        <v>282</v>
      </c>
      <c r="C2" s="191"/>
      <c r="D2" s="85"/>
      <c r="E2" s="85"/>
      <c r="G2" s="9"/>
      <c r="H2" s="9"/>
      <c r="I2" s="66" t="s">
        <v>423</v>
      </c>
      <c r="J2" s="10"/>
      <c r="K2" s="9"/>
      <c r="L2" s="9"/>
    </row>
    <row r="3" spans="1:32" ht="15" customHeight="1">
      <c r="A3" s="281" t="s">
        <v>283</v>
      </c>
      <c r="B3" s="282" t="s">
        <v>284</v>
      </c>
      <c r="C3" s="191"/>
      <c r="D3" s="85"/>
      <c r="E3" s="85"/>
      <c r="G3" s="9"/>
      <c r="H3" s="9"/>
      <c r="I3" s="67" t="s">
        <v>391</v>
      </c>
      <c r="J3" s="10"/>
      <c r="K3" s="9"/>
      <c r="L3" s="9"/>
    </row>
    <row r="4" spans="1:32" ht="15" customHeight="1">
      <c r="A4" s="85"/>
      <c r="B4" s="283" t="s">
        <v>636</v>
      </c>
      <c r="C4" s="191"/>
      <c r="D4" s="85"/>
      <c r="E4" s="85"/>
      <c r="G4" s="9"/>
      <c r="H4" s="9"/>
      <c r="I4" s="68" t="s">
        <v>392</v>
      </c>
      <c r="J4" s="10"/>
      <c r="K4" s="9"/>
      <c r="L4" s="9"/>
    </row>
    <row r="5" spans="1:32" ht="15" customHeight="1">
      <c r="I5" s="70" t="s">
        <v>442</v>
      </c>
    </row>
    <row r="6" spans="1:32" ht="13.8">
      <c r="B6" s="43"/>
      <c r="I6" s="71" t="s">
        <v>526</v>
      </c>
      <c r="L6" s="44"/>
      <c r="M6" s="44"/>
      <c r="T6" s="44"/>
      <c r="U6" s="44"/>
      <c r="W6" s="44"/>
      <c r="AE6" s="45"/>
      <c r="AF6" s="45"/>
    </row>
    <row r="7" spans="1:32" ht="13.8">
      <c r="B7" s="276" t="s">
        <v>35</v>
      </c>
      <c r="C7" s="191"/>
      <c r="D7" s="191"/>
      <c r="E7" s="191"/>
      <c r="F7" s="188"/>
      <c r="G7" s="191"/>
      <c r="H7" s="191"/>
      <c r="I7" s="191"/>
      <c r="J7" s="188"/>
      <c r="K7" s="191"/>
      <c r="L7" s="273" t="s">
        <v>36</v>
      </c>
      <c r="M7" s="273"/>
      <c r="N7" s="191"/>
      <c r="O7" s="191"/>
      <c r="P7" s="191"/>
      <c r="Q7" s="191"/>
      <c r="R7" s="191"/>
      <c r="S7" s="191"/>
      <c r="T7" s="273" t="s">
        <v>33</v>
      </c>
      <c r="U7" s="273"/>
      <c r="V7" s="191"/>
      <c r="W7" s="273" t="s">
        <v>37</v>
      </c>
      <c r="X7" s="191"/>
      <c r="Y7" s="191"/>
      <c r="Z7" s="191"/>
      <c r="AA7" s="191"/>
      <c r="AB7" s="191"/>
      <c r="AC7" s="191"/>
      <c r="AD7" s="191"/>
      <c r="AE7" s="275" t="s">
        <v>34</v>
      </c>
      <c r="AF7" s="275"/>
    </row>
    <row r="8" spans="1:32" ht="15" customHeight="1">
      <c r="A8" s="28" t="s">
        <v>345</v>
      </c>
    </row>
    <row r="9" spans="1:32" ht="14.4">
      <c r="A9" s="28" t="s">
        <v>344</v>
      </c>
      <c r="B9" s="79" t="s">
        <v>38</v>
      </c>
      <c r="C9" s="79" t="s">
        <v>39</v>
      </c>
      <c r="D9" s="79" t="s">
        <v>40</v>
      </c>
      <c r="E9" s="79" t="s">
        <v>41</v>
      </c>
      <c r="F9" s="79" t="s">
        <v>42</v>
      </c>
      <c r="G9" s="79" t="s">
        <v>43</v>
      </c>
      <c r="H9" s="79" t="s">
        <v>44</v>
      </c>
      <c r="I9" s="79" t="s">
        <v>45</v>
      </c>
      <c r="J9" s="79" t="s">
        <v>46</v>
      </c>
      <c r="K9" s="83"/>
      <c r="L9" s="82" t="s">
        <v>39</v>
      </c>
      <c r="M9" s="82" t="s">
        <v>40</v>
      </c>
      <c r="N9" s="82" t="s">
        <v>47</v>
      </c>
      <c r="O9" s="82" t="s">
        <v>48</v>
      </c>
      <c r="P9" s="82" t="s">
        <v>44</v>
      </c>
      <c r="Q9" s="82" t="s">
        <v>49</v>
      </c>
      <c r="R9" s="82" t="s">
        <v>46</v>
      </c>
      <c r="S9" s="83"/>
      <c r="T9" s="84" t="s">
        <v>39</v>
      </c>
      <c r="U9" s="84" t="s">
        <v>47</v>
      </c>
      <c r="V9" s="83"/>
      <c r="W9" s="159" t="s">
        <v>39</v>
      </c>
      <c r="X9" s="160" t="s">
        <v>41</v>
      </c>
      <c r="Y9" s="160" t="s">
        <v>42</v>
      </c>
      <c r="Z9" s="159" t="s">
        <v>43</v>
      </c>
      <c r="AA9" s="88" t="s">
        <v>44</v>
      </c>
      <c r="AB9" s="88" t="s">
        <v>45</v>
      </c>
      <c r="AC9" s="88" t="s">
        <v>46</v>
      </c>
      <c r="AD9" s="83"/>
      <c r="AE9" s="84" t="s">
        <v>39</v>
      </c>
      <c r="AF9" s="84" t="s">
        <v>47</v>
      </c>
    </row>
    <row r="10" spans="1:32" ht="14.4">
      <c r="B10" s="79"/>
      <c r="C10" s="79" t="s">
        <v>50</v>
      </c>
      <c r="D10" s="79"/>
      <c r="E10" s="79" t="s">
        <v>51</v>
      </c>
      <c r="F10" s="79" t="s">
        <v>52</v>
      </c>
      <c r="G10" s="79" t="s">
        <v>51</v>
      </c>
      <c r="H10" s="79" t="s">
        <v>51</v>
      </c>
      <c r="I10" s="79" t="s">
        <v>51</v>
      </c>
      <c r="J10" s="79" t="s">
        <v>51</v>
      </c>
      <c r="K10" s="83"/>
      <c r="L10" s="82"/>
      <c r="M10" s="82"/>
      <c r="N10" s="82" t="s">
        <v>52</v>
      </c>
      <c r="O10" s="82" t="s">
        <v>51</v>
      </c>
      <c r="P10" s="82" t="s">
        <v>51</v>
      </c>
      <c r="Q10" s="82" t="s">
        <v>51</v>
      </c>
      <c r="R10" s="82" t="s">
        <v>51</v>
      </c>
      <c r="S10" s="83"/>
      <c r="T10" s="84"/>
      <c r="U10" s="84" t="s">
        <v>52</v>
      </c>
      <c r="V10" s="83"/>
      <c r="W10" s="159"/>
      <c r="X10" s="160" t="s">
        <v>51</v>
      </c>
      <c r="Y10" s="160" t="s">
        <v>52</v>
      </c>
      <c r="Z10" s="159" t="s">
        <v>51</v>
      </c>
      <c r="AA10" s="88" t="s">
        <v>51</v>
      </c>
      <c r="AB10" s="88" t="s">
        <v>51</v>
      </c>
      <c r="AC10" s="88" t="s">
        <v>51</v>
      </c>
      <c r="AD10" s="83"/>
      <c r="AE10" s="84"/>
      <c r="AF10" s="84" t="s">
        <v>52</v>
      </c>
    </row>
    <row r="11" spans="1:32" s="11" customFormat="1" ht="14.4">
      <c r="A11" s="18"/>
      <c r="B11" s="161" t="s">
        <v>378</v>
      </c>
      <c r="C11" s="318" t="s">
        <v>17</v>
      </c>
      <c r="D11" s="95">
        <v>1</v>
      </c>
      <c r="E11" s="95" t="s">
        <v>57</v>
      </c>
      <c r="F11" s="95" t="s">
        <v>57</v>
      </c>
      <c r="G11" s="123">
        <v>79.23</v>
      </c>
      <c r="H11" s="118"/>
      <c r="I11" s="95">
        <f t="shared" ref="I11:I65" si="0">(G11-H11)</f>
        <v>79.23</v>
      </c>
      <c r="J11" s="95">
        <f t="shared" ref="J11:J65" si="1">I11*D11</f>
        <v>79.23</v>
      </c>
      <c r="K11" s="90"/>
      <c r="L11" s="162" t="s">
        <v>19</v>
      </c>
      <c r="M11" s="108">
        <v>1</v>
      </c>
      <c r="N11" s="145">
        <f>40.33-(7.75+3.35)</f>
        <v>29.229999999999997</v>
      </c>
      <c r="O11" s="123">
        <v>2.7</v>
      </c>
      <c r="P11" s="92"/>
      <c r="Q11" s="92"/>
      <c r="R11" s="108">
        <f t="shared" ref="R11:R65" si="2">(N11*O11-P11)*M11</f>
        <v>78.920999999999992</v>
      </c>
      <c r="S11" s="90"/>
      <c r="T11" s="108" t="s">
        <v>19</v>
      </c>
      <c r="U11" s="163">
        <f>N11*M11</f>
        <v>29.229999999999997</v>
      </c>
      <c r="V11" s="90"/>
      <c r="W11" s="162" t="s">
        <v>17</v>
      </c>
      <c r="X11" s="95" t="str">
        <f t="shared" ref="X11:X29" si="3">E11</f>
        <v>cad</v>
      </c>
      <c r="Y11" s="95" t="str">
        <f t="shared" ref="Y11:Y29" si="4">F11</f>
        <v>cad</v>
      </c>
      <c r="Z11" s="108">
        <f t="shared" ref="Z11:Z30" si="5">G11</f>
        <v>79.23</v>
      </c>
      <c r="AA11" s="108">
        <f t="shared" ref="AA11:AA29" si="6">H11</f>
        <v>0</v>
      </c>
      <c r="AB11" s="108">
        <f t="shared" ref="AB11:AB29" si="7">I11</f>
        <v>79.23</v>
      </c>
      <c r="AC11" s="108">
        <f t="shared" ref="AC11:AC88" si="8">J11</f>
        <v>79.23</v>
      </c>
      <c r="AD11" s="90"/>
      <c r="AE11" s="92" t="s">
        <v>17</v>
      </c>
      <c r="AF11" s="108">
        <f t="shared" ref="AF11" si="9">N11*M11+1.35</f>
        <v>30.58</v>
      </c>
    </row>
    <row r="12" spans="1:32" s="11" customFormat="1" ht="14.4">
      <c r="A12" s="18"/>
      <c r="B12" s="161" t="s">
        <v>378</v>
      </c>
      <c r="C12" s="95"/>
      <c r="D12" s="95"/>
      <c r="E12" s="95"/>
      <c r="F12" s="95"/>
      <c r="G12" s="95"/>
      <c r="H12" s="118"/>
      <c r="I12" s="95">
        <f t="shared" ref="I12:I18" si="10">(G12-H12)</f>
        <v>0</v>
      </c>
      <c r="J12" s="95">
        <f t="shared" ref="J12:J18" si="11">I12*D12</f>
        <v>0</v>
      </c>
      <c r="K12" s="90"/>
      <c r="L12" s="164" t="s">
        <v>19</v>
      </c>
      <c r="M12" s="108">
        <v>1</v>
      </c>
      <c r="N12" s="145">
        <v>3.35</v>
      </c>
      <c r="O12" s="123">
        <v>1</v>
      </c>
      <c r="P12" s="92"/>
      <c r="Q12" s="92"/>
      <c r="R12" s="165">
        <f t="shared" si="2"/>
        <v>3.35</v>
      </c>
      <c r="S12" s="90"/>
      <c r="T12" s="108"/>
      <c r="U12" s="163"/>
      <c r="V12" s="90"/>
      <c r="W12" s="162"/>
      <c r="X12" s="95"/>
      <c r="Y12" s="95"/>
      <c r="Z12" s="108"/>
      <c r="AA12" s="108"/>
      <c r="AB12" s="108"/>
      <c r="AC12" s="108"/>
      <c r="AD12" s="90"/>
      <c r="AE12" s="92"/>
      <c r="AF12" s="108"/>
    </row>
    <row r="13" spans="1:32" s="11" customFormat="1" ht="14.4">
      <c r="A13" s="18"/>
      <c r="B13" s="161"/>
      <c r="C13" s="95"/>
      <c r="D13" s="95"/>
      <c r="E13" s="95"/>
      <c r="F13" s="95"/>
      <c r="G13" s="141"/>
      <c r="H13" s="118"/>
      <c r="I13" s="95"/>
      <c r="J13" s="95"/>
      <c r="K13" s="90"/>
      <c r="L13" s="95"/>
      <c r="M13" s="108"/>
      <c r="N13" s="95"/>
      <c r="O13" s="95"/>
      <c r="P13" s="92"/>
      <c r="Q13" s="92"/>
      <c r="R13" s="95"/>
      <c r="S13" s="90"/>
      <c r="T13" s="108"/>
      <c r="U13" s="163"/>
      <c r="V13" s="90"/>
      <c r="W13" s="166" t="s">
        <v>19</v>
      </c>
      <c r="X13" s="141">
        <f t="shared" ref="X13" si="12">E13</f>
        <v>0</v>
      </c>
      <c r="Y13" s="141">
        <f t="shared" ref="Y13" si="13">F13</f>
        <v>0</v>
      </c>
      <c r="Z13" s="141">
        <v>12.5</v>
      </c>
      <c r="AA13" s="108"/>
      <c r="AB13" s="141">
        <f>Z13</f>
        <v>12.5</v>
      </c>
      <c r="AC13" s="141">
        <f>Z13</f>
        <v>12.5</v>
      </c>
      <c r="AD13" s="90"/>
      <c r="AE13" s="92"/>
      <c r="AF13" s="108"/>
    </row>
    <row r="14" spans="1:32" s="11" customFormat="1" ht="14.4">
      <c r="A14" s="18"/>
      <c r="B14" s="161" t="s">
        <v>466</v>
      </c>
      <c r="C14" s="95" t="s">
        <v>17</v>
      </c>
      <c r="D14" s="95">
        <v>1</v>
      </c>
      <c r="E14" s="95" t="s">
        <v>57</v>
      </c>
      <c r="F14" s="95" t="s">
        <v>57</v>
      </c>
      <c r="G14" s="123">
        <v>32.54</v>
      </c>
      <c r="H14" s="118"/>
      <c r="I14" s="95">
        <f t="shared" si="10"/>
        <v>32.54</v>
      </c>
      <c r="J14" s="95">
        <f t="shared" si="11"/>
        <v>32.54</v>
      </c>
      <c r="K14" s="90"/>
      <c r="L14" s="95" t="s">
        <v>17</v>
      </c>
      <c r="M14" s="108">
        <v>1</v>
      </c>
      <c r="N14" s="145">
        <v>24.18</v>
      </c>
      <c r="O14" s="123">
        <v>3.65</v>
      </c>
      <c r="P14" s="92"/>
      <c r="Q14" s="92"/>
      <c r="R14" s="95">
        <f t="shared" si="2"/>
        <v>88.256999999999991</v>
      </c>
      <c r="S14" s="90"/>
      <c r="T14" s="108" t="s">
        <v>17</v>
      </c>
      <c r="U14" s="163">
        <f t="shared" ref="U14:U18" si="14">N14*M14</f>
        <v>24.18</v>
      </c>
      <c r="V14" s="90"/>
      <c r="W14" s="162" t="s">
        <v>26</v>
      </c>
      <c r="X14" s="95" t="str">
        <f t="shared" ref="X14:X18" si="15">E14</f>
        <v>cad</v>
      </c>
      <c r="Y14" s="95" t="str">
        <f t="shared" ref="Y14:Y18" si="16">F14</f>
        <v>cad</v>
      </c>
      <c r="Z14" s="108">
        <f t="shared" ref="Z14:Z18" si="17">G14</f>
        <v>32.54</v>
      </c>
      <c r="AA14" s="108"/>
      <c r="AB14" s="108">
        <f t="shared" ref="AB14:AB18" si="18">I14</f>
        <v>32.54</v>
      </c>
      <c r="AC14" s="108">
        <f t="shared" ref="AC14:AC18" si="19">J14</f>
        <v>32.54</v>
      </c>
      <c r="AD14" s="90"/>
      <c r="AE14" s="92"/>
      <c r="AF14" s="108"/>
    </row>
    <row r="15" spans="1:32" s="11" customFormat="1" ht="14.4">
      <c r="A15" s="18"/>
      <c r="B15" s="167" t="s">
        <v>467</v>
      </c>
      <c r="C15" s="95" t="s">
        <v>17</v>
      </c>
      <c r="D15" s="95">
        <v>1</v>
      </c>
      <c r="E15" s="95" t="s">
        <v>57</v>
      </c>
      <c r="F15" s="95" t="s">
        <v>57</v>
      </c>
      <c r="G15" s="168">
        <v>33.380000000000003</v>
      </c>
      <c r="H15" s="118"/>
      <c r="I15" s="95">
        <f t="shared" si="10"/>
        <v>33.380000000000003</v>
      </c>
      <c r="J15" s="95">
        <f t="shared" si="11"/>
        <v>33.380000000000003</v>
      </c>
      <c r="K15" s="90"/>
      <c r="L15" s="95" t="s">
        <v>17</v>
      </c>
      <c r="M15" s="108">
        <v>1</v>
      </c>
      <c r="N15" s="169">
        <v>24</v>
      </c>
      <c r="O15" s="168">
        <v>2.7</v>
      </c>
      <c r="P15" s="92"/>
      <c r="Q15" s="92"/>
      <c r="R15" s="95">
        <f t="shared" si="2"/>
        <v>64.800000000000011</v>
      </c>
      <c r="S15" s="90"/>
      <c r="T15" s="108" t="s">
        <v>17</v>
      </c>
      <c r="U15" s="163">
        <f t="shared" si="14"/>
        <v>24</v>
      </c>
      <c r="V15" s="90"/>
      <c r="W15" s="162" t="s">
        <v>17</v>
      </c>
      <c r="X15" s="95" t="str">
        <f t="shared" si="15"/>
        <v>cad</v>
      </c>
      <c r="Y15" s="95" t="str">
        <f t="shared" si="16"/>
        <v>cad</v>
      </c>
      <c r="Z15" s="108">
        <f t="shared" si="17"/>
        <v>33.380000000000003</v>
      </c>
      <c r="AA15" s="108"/>
      <c r="AB15" s="108">
        <f t="shared" si="18"/>
        <v>33.380000000000003</v>
      </c>
      <c r="AC15" s="108">
        <f t="shared" si="19"/>
        <v>33.380000000000003</v>
      </c>
      <c r="AD15" s="90"/>
      <c r="AE15" s="162" t="s">
        <v>17</v>
      </c>
      <c r="AF15" s="108">
        <f t="shared" ref="AF15:AF18" si="20">N15*M15+1.35</f>
        <v>25.35</v>
      </c>
    </row>
    <row r="16" spans="1:32" s="11" customFormat="1" ht="14.4">
      <c r="A16" s="18"/>
      <c r="B16" s="167" t="s">
        <v>157</v>
      </c>
      <c r="C16" s="318" t="s">
        <v>17</v>
      </c>
      <c r="D16" s="95">
        <v>1</v>
      </c>
      <c r="E16" s="95" t="s">
        <v>57</v>
      </c>
      <c r="F16" s="95" t="s">
        <v>57</v>
      </c>
      <c r="G16" s="168">
        <v>23.53</v>
      </c>
      <c r="H16" s="118"/>
      <c r="I16" s="95">
        <f t="shared" ref="I16" si="21">(G16-H16)</f>
        <v>23.53</v>
      </c>
      <c r="J16" s="95">
        <f t="shared" ref="J16" si="22">I16*D16</f>
        <v>23.53</v>
      </c>
      <c r="K16" s="90"/>
      <c r="L16" s="95" t="s">
        <v>17</v>
      </c>
      <c r="M16" s="108">
        <v>1</v>
      </c>
      <c r="N16" s="169">
        <f>32.8-1.3</f>
        <v>31.499999999999996</v>
      </c>
      <c r="O16" s="168">
        <v>2.7</v>
      </c>
      <c r="P16" s="92"/>
      <c r="Q16" s="92"/>
      <c r="R16" s="95">
        <f t="shared" si="2"/>
        <v>85.05</v>
      </c>
      <c r="S16" s="90"/>
      <c r="T16" s="108" t="s">
        <v>21</v>
      </c>
      <c r="U16" s="163">
        <f t="shared" si="14"/>
        <v>31.499999999999996</v>
      </c>
      <c r="V16" s="90"/>
      <c r="W16" s="162" t="s">
        <v>17</v>
      </c>
      <c r="X16" s="95" t="str">
        <f t="shared" ref="X16" si="23">E16</f>
        <v>cad</v>
      </c>
      <c r="Y16" s="95" t="str">
        <f t="shared" ref="Y16" si="24">F16</f>
        <v>cad</v>
      </c>
      <c r="Z16" s="108">
        <f t="shared" ref="Z16" si="25">G16</f>
        <v>23.53</v>
      </c>
      <c r="AA16" s="108"/>
      <c r="AB16" s="108">
        <f t="shared" ref="AB16" si="26">I16</f>
        <v>23.53</v>
      </c>
      <c r="AC16" s="108">
        <f t="shared" ref="AC16" si="27">J16</f>
        <v>23.53</v>
      </c>
      <c r="AD16" s="90"/>
      <c r="AE16" s="162" t="s">
        <v>17</v>
      </c>
      <c r="AF16" s="108">
        <f t="shared" ref="AF16" si="28">N16*M16+1.35</f>
        <v>32.849999999999994</v>
      </c>
    </row>
    <row r="17" spans="1:32" s="11" customFormat="1" ht="14.4">
      <c r="A17" s="18"/>
      <c r="B17" s="167" t="s">
        <v>81</v>
      </c>
      <c r="C17" s="95" t="s">
        <v>17</v>
      </c>
      <c r="D17" s="95">
        <v>1</v>
      </c>
      <c r="E17" s="95" t="s">
        <v>57</v>
      </c>
      <c r="F17" s="95" t="s">
        <v>57</v>
      </c>
      <c r="G17" s="168">
        <v>32.46</v>
      </c>
      <c r="H17" s="118"/>
      <c r="I17" s="95">
        <f t="shared" si="10"/>
        <v>32.46</v>
      </c>
      <c r="J17" s="95">
        <f t="shared" si="11"/>
        <v>32.46</v>
      </c>
      <c r="K17" s="90"/>
      <c r="L17" s="95" t="s">
        <v>17</v>
      </c>
      <c r="M17" s="108">
        <v>1</v>
      </c>
      <c r="N17" s="169">
        <v>28.05</v>
      </c>
      <c r="O17" s="168">
        <v>2.7</v>
      </c>
      <c r="P17" s="92"/>
      <c r="Q17" s="92"/>
      <c r="R17" s="95">
        <f t="shared" si="2"/>
        <v>75.735000000000014</v>
      </c>
      <c r="S17" s="90"/>
      <c r="T17" s="108" t="s">
        <v>17</v>
      </c>
      <c r="U17" s="163">
        <f t="shared" si="14"/>
        <v>28.05</v>
      </c>
      <c r="V17" s="90"/>
      <c r="W17" s="162" t="s">
        <v>17</v>
      </c>
      <c r="X17" s="95" t="str">
        <f t="shared" si="15"/>
        <v>cad</v>
      </c>
      <c r="Y17" s="95" t="str">
        <f t="shared" si="16"/>
        <v>cad</v>
      </c>
      <c r="Z17" s="108">
        <f t="shared" si="17"/>
        <v>32.46</v>
      </c>
      <c r="AA17" s="108"/>
      <c r="AB17" s="108">
        <f t="shared" si="18"/>
        <v>32.46</v>
      </c>
      <c r="AC17" s="108">
        <f t="shared" si="19"/>
        <v>32.46</v>
      </c>
      <c r="AD17" s="90"/>
      <c r="AE17" s="162" t="s">
        <v>17</v>
      </c>
      <c r="AF17" s="108">
        <f t="shared" si="20"/>
        <v>29.400000000000002</v>
      </c>
    </row>
    <row r="18" spans="1:32" s="11" customFormat="1" ht="14.4">
      <c r="A18" s="18"/>
      <c r="B18" s="167" t="s">
        <v>468</v>
      </c>
      <c r="C18" s="95" t="s">
        <v>17</v>
      </c>
      <c r="D18" s="95">
        <v>1</v>
      </c>
      <c r="E18" s="95" t="s">
        <v>57</v>
      </c>
      <c r="F18" s="95" t="s">
        <v>57</v>
      </c>
      <c r="G18" s="168">
        <v>9.65</v>
      </c>
      <c r="H18" s="118"/>
      <c r="I18" s="95">
        <f t="shared" si="10"/>
        <v>9.65</v>
      </c>
      <c r="J18" s="95">
        <f t="shared" si="11"/>
        <v>9.65</v>
      </c>
      <c r="K18" s="90"/>
      <c r="L18" s="95" t="s">
        <v>17</v>
      </c>
      <c r="M18" s="108">
        <v>1</v>
      </c>
      <c r="N18" s="169">
        <v>12.45</v>
      </c>
      <c r="O18" s="168">
        <v>2.7</v>
      </c>
      <c r="P18" s="92"/>
      <c r="Q18" s="92"/>
      <c r="R18" s="95">
        <f t="shared" si="2"/>
        <v>33.615000000000002</v>
      </c>
      <c r="S18" s="90"/>
      <c r="T18" s="108" t="s">
        <v>17</v>
      </c>
      <c r="U18" s="163">
        <f t="shared" si="14"/>
        <v>12.45</v>
      </c>
      <c r="V18" s="90"/>
      <c r="W18" s="162" t="s">
        <v>17</v>
      </c>
      <c r="X18" s="95" t="str">
        <f t="shared" si="15"/>
        <v>cad</v>
      </c>
      <c r="Y18" s="95" t="str">
        <f t="shared" si="16"/>
        <v>cad</v>
      </c>
      <c r="Z18" s="108">
        <f t="shared" si="17"/>
        <v>9.65</v>
      </c>
      <c r="AA18" s="108"/>
      <c r="AB18" s="108">
        <f t="shared" si="18"/>
        <v>9.65</v>
      </c>
      <c r="AC18" s="108">
        <f t="shared" si="19"/>
        <v>9.65</v>
      </c>
      <c r="AD18" s="90"/>
      <c r="AE18" s="162" t="s">
        <v>17</v>
      </c>
      <c r="AF18" s="108">
        <f t="shared" si="20"/>
        <v>13.799999999999999</v>
      </c>
    </row>
    <row r="19" spans="1:32" s="11" customFormat="1" ht="14.4">
      <c r="A19" s="18"/>
      <c r="B19" s="167" t="s">
        <v>441</v>
      </c>
      <c r="C19" s="318" t="s">
        <v>17</v>
      </c>
      <c r="D19" s="95">
        <v>1</v>
      </c>
      <c r="E19" s="95" t="s">
        <v>57</v>
      </c>
      <c r="F19" s="95" t="s">
        <v>57</v>
      </c>
      <c r="G19" s="168">
        <v>13.06</v>
      </c>
      <c r="H19" s="118"/>
      <c r="I19" s="95">
        <f t="shared" ref="I19" si="29">(G19-H19)</f>
        <v>13.06</v>
      </c>
      <c r="J19" s="95">
        <f t="shared" ref="J19" si="30">I19*D19</f>
        <v>13.06</v>
      </c>
      <c r="K19" s="90"/>
      <c r="L19" s="162" t="s">
        <v>19</v>
      </c>
      <c r="M19" s="108">
        <v>1</v>
      </c>
      <c r="N19" s="169">
        <v>3.93</v>
      </c>
      <c r="O19" s="168">
        <v>7</v>
      </c>
      <c r="P19" s="92"/>
      <c r="Q19" s="92"/>
      <c r="R19" s="108">
        <f t="shared" si="2"/>
        <v>27.51</v>
      </c>
      <c r="S19" s="90"/>
      <c r="T19" s="108" t="s">
        <v>19</v>
      </c>
      <c r="U19" s="163">
        <f>N19*M19</f>
        <v>3.93</v>
      </c>
      <c r="V19" s="90"/>
      <c r="W19" s="162" t="s">
        <v>17</v>
      </c>
      <c r="X19" s="95" t="str">
        <f t="shared" ref="X19" si="31">E19</f>
        <v>cad</v>
      </c>
      <c r="Y19" s="95" t="str">
        <f t="shared" ref="Y19" si="32">F19</f>
        <v>cad</v>
      </c>
      <c r="Z19" s="108">
        <f t="shared" si="5"/>
        <v>13.06</v>
      </c>
      <c r="AA19" s="108"/>
      <c r="AB19" s="108">
        <f t="shared" ref="AB19" si="33">I19</f>
        <v>13.06</v>
      </c>
      <c r="AC19" s="108">
        <f t="shared" ref="AC19" si="34">J19</f>
        <v>13.06</v>
      </c>
      <c r="AD19" s="90"/>
      <c r="AE19" s="162" t="s">
        <v>17</v>
      </c>
      <c r="AF19" s="108">
        <f>N19*M19</f>
        <v>3.93</v>
      </c>
    </row>
    <row r="20" spans="1:32" s="11" customFormat="1" ht="14.4">
      <c r="A20" s="18"/>
      <c r="B20" s="167" t="s">
        <v>443</v>
      </c>
      <c r="C20" s="95"/>
      <c r="D20" s="95"/>
      <c r="E20" s="95"/>
      <c r="F20" s="95"/>
      <c r="G20" s="95"/>
      <c r="H20" s="118"/>
      <c r="I20" s="95"/>
      <c r="J20" s="95"/>
      <c r="K20" s="90"/>
      <c r="L20" s="164" t="s">
        <v>19</v>
      </c>
      <c r="M20" s="108">
        <v>1</v>
      </c>
      <c r="N20" s="169">
        <v>3.2</v>
      </c>
      <c r="O20" s="168">
        <v>1</v>
      </c>
      <c r="P20" s="92"/>
      <c r="Q20" s="92"/>
      <c r="R20" s="165">
        <f t="shared" si="2"/>
        <v>3.2</v>
      </c>
      <c r="S20" s="90"/>
      <c r="T20" s="108"/>
      <c r="U20" s="163"/>
      <c r="V20" s="90"/>
      <c r="W20" s="162"/>
      <c r="X20" s="95"/>
      <c r="Y20" s="95"/>
      <c r="Z20" s="108"/>
      <c r="AA20" s="108"/>
      <c r="AB20" s="108"/>
      <c r="AC20" s="108"/>
      <c r="AD20" s="90"/>
      <c r="AE20" s="92"/>
      <c r="AF20" s="108"/>
    </row>
    <row r="21" spans="1:32" s="11" customFormat="1" ht="14.4">
      <c r="A21" s="18"/>
      <c r="B21" s="167" t="s">
        <v>444</v>
      </c>
      <c r="C21" s="318" t="s">
        <v>17</v>
      </c>
      <c r="D21" s="95">
        <v>1</v>
      </c>
      <c r="E21" s="95" t="s">
        <v>57</v>
      </c>
      <c r="F21" s="95" t="s">
        <v>57</v>
      </c>
      <c r="G21" s="168">
        <v>9.81</v>
      </c>
      <c r="H21" s="118"/>
      <c r="I21" s="95">
        <f t="shared" ref="I21" si="35">(G21-H21)</f>
        <v>9.81</v>
      </c>
      <c r="J21" s="95">
        <f t="shared" ref="J21" si="36">I21*D21</f>
        <v>9.81</v>
      </c>
      <c r="K21" s="90"/>
      <c r="L21" s="162" t="s">
        <v>19</v>
      </c>
      <c r="M21" s="108">
        <v>1</v>
      </c>
      <c r="N21" s="168">
        <f>13.52-1.35</f>
        <v>12.17</v>
      </c>
      <c r="O21" s="168">
        <v>2.7</v>
      </c>
      <c r="P21" s="92"/>
      <c r="Q21" s="92"/>
      <c r="R21" s="108">
        <f t="shared" si="2"/>
        <v>32.859000000000002</v>
      </c>
      <c r="S21" s="90"/>
      <c r="T21" s="108" t="s">
        <v>19</v>
      </c>
      <c r="U21" s="163">
        <f t="shared" ref="U21:U26" si="37">N21*M21</f>
        <v>12.17</v>
      </c>
      <c r="V21" s="90"/>
      <c r="W21" s="162" t="s">
        <v>17</v>
      </c>
      <c r="X21" s="95" t="str">
        <f t="shared" ref="X21" si="38">E21</f>
        <v>cad</v>
      </c>
      <c r="Y21" s="95" t="str">
        <f t="shared" ref="Y21" si="39">F21</f>
        <v>cad</v>
      </c>
      <c r="Z21" s="108">
        <f t="shared" ref="Z21:Z23" si="40">G21</f>
        <v>9.81</v>
      </c>
      <c r="AA21" s="108"/>
      <c r="AB21" s="108">
        <f t="shared" ref="AB21" si="41">I21</f>
        <v>9.81</v>
      </c>
      <c r="AC21" s="108">
        <f t="shared" ref="AC21" si="42">J21</f>
        <v>9.81</v>
      </c>
      <c r="AD21" s="90"/>
      <c r="AE21" s="162" t="s">
        <v>17</v>
      </c>
      <c r="AF21" s="108">
        <f>N21*M21+1.35</f>
        <v>13.52</v>
      </c>
    </row>
    <row r="22" spans="1:32" s="11" customFormat="1" ht="14.4">
      <c r="A22" s="18"/>
      <c r="B22" s="167" t="s">
        <v>233</v>
      </c>
      <c r="C22" s="95" t="s">
        <v>20</v>
      </c>
      <c r="D22" s="95">
        <v>1</v>
      </c>
      <c r="E22" s="95" t="s">
        <v>57</v>
      </c>
      <c r="F22" s="95" t="s">
        <v>57</v>
      </c>
      <c r="G22" s="168">
        <v>4.5199999999999996</v>
      </c>
      <c r="H22" s="118"/>
      <c r="I22" s="95">
        <f t="shared" ref="I22" si="43">(G22-H22)</f>
        <v>4.5199999999999996</v>
      </c>
      <c r="J22" s="95">
        <f t="shared" ref="J22" si="44">I22*D22</f>
        <v>4.5199999999999996</v>
      </c>
      <c r="K22" s="90"/>
      <c r="L22" s="162" t="s">
        <v>18</v>
      </c>
      <c r="M22" s="108">
        <v>1</v>
      </c>
      <c r="N22" s="168">
        <v>8.52</v>
      </c>
      <c r="O22" s="168">
        <v>2.7</v>
      </c>
      <c r="P22" s="92"/>
      <c r="Q22" s="92"/>
      <c r="R22" s="108">
        <f t="shared" si="2"/>
        <v>23.004000000000001</v>
      </c>
      <c r="S22" s="90"/>
      <c r="T22" s="108" t="s">
        <v>18</v>
      </c>
      <c r="U22" s="163">
        <f t="shared" si="37"/>
        <v>8.52</v>
      </c>
      <c r="V22" s="90"/>
      <c r="W22" s="162" t="s">
        <v>18</v>
      </c>
      <c r="X22" s="95" t="str">
        <f t="shared" ref="X22" si="45">E22</f>
        <v>cad</v>
      </c>
      <c r="Y22" s="95" t="str">
        <f t="shared" ref="Y22" si="46">F22</f>
        <v>cad</v>
      </c>
      <c r="Z22" s="108">
        <f t="shared" ref="Z22" si="47">G22</f>
        <v>4.5199999999999996</v>
      </c>
      <c r="AA22" s="108"/>
      <c r="AB22" s="108">
        <f t="shared" ref="AB22" si="48">I22</f>
        <v>4.5199999999999996</v>
      </c>
      <c r="AC22" s="108">
        <f t="shared" ref="AC22" si="49">J22</f>
        <v>4.5199999999999996</v>
      </c>
      <c r="AD22" s="90"/>
      <c r="AE22" s="162" t="s">
        <v>17</v>
      </c>
      <c r="AF22" s="108">
        <f>N22*M22+1.35</f>
        <v>9.8699999999999992</v>
      </c>
    </row>
    <row r="23" spans="1:32" s="11" customFormat="1" ht="14.4">
      <c r="A23" s="18"/>
      <c r="B23" s="161" t="s">
        <v>377</v>
      </c>
      <c r="C23" s="318" t="s">
        <v>17</v>
      </c>
      <c r="D23" s="95">
        <v>1</v>
      </c>
      <c r="E23" s="95" t="s">
        <v>57</v>
      </c>
      <c r="F23" s="95" t="s">
        <v>57</v>
      </c>
      <c r="G23" s="123">
        <v>60.15</v>
      </c>
      <c r="H23" s="118"/>
      <c r="I23" s="95">
        <f t="shared" ref="I23" si="50">(G23-H23)</f>
        <v>60.15</v>
      </c>
      <c r="J23" s="95">
        <f t="shared" ref="J23" si="51">I23*D23</f>
        <v>60.15</v>
      </c>
      <c r="K23" s="90"/>
      <c r="L23" s="162" t="s">
        <v>341</v>
      </c>
      <c r="M23" s="108">
        <v>1</v>
      </c>
      <c r="N23" s="145">
        <v>31.76</v>
      </c>
      <c r="O23" s="123">
        <v>3</v>
      </c>
      <c r="P23" s="92"/>
      <c r="Q23" s="92"/>
      <c r="R23" s="108">
        <f t="shared" ref="R23" si="52">(N23*O23-P23)*M23</f>
        <v>95.28</v>
      </c>
      <c r="S23" s="110"/>
      <c r="T23" s="108" t="s">
        <v>19</v>
      </c>
      <c r="U23" s="163">
        <f t="shared" si="37"/>
        <v>31.76</v>
      </c>
      <c r="V23" s="90"/>
      <c r="W23" s="162" t="s">
        <v>19</v>
      </c>
      <c r="X23" s="95" t="str">
        <f t="shared" ref="X23" si="53">E23</f>
        <v>cad</v>
      </c>
      <c r="Y23" s="95" t="str">
        <f t="shared" ref="Y23" si="54">F23</f>
        <v>cad</v>
      </c>
      <c r="Z23" s="108">
        <f t="shared" si="40"/>
        <v>60.15</v>
      </c>
      <c r="AA23" s="108">
        <f t="shared" ref="AA23" si="55">H23</f>
        <v>0</v>
      </c>
      <c r="AB23" s="108">
        <f t="shared" ref="AB23" si="56">I23</f>
        <v>60.15</v>
      </c>
      <c r="AC23" s="108">
        <f t="shared" si="8"/>
        <v>60.15</v>
      </c>
      <c r="AD23" s="90"/>
      <c r="AE23" s="92"/>
      <c r="AF23" s="108"/>
    </row>
    <row r="24" spans="1:32" s="11" customFormat="1" ht="14.4">
      <c r="A24" s="18"/>
      <c r="B24" s="161" t="s">
        <v>319</v>
      </c>
      <c r="C24" s="318" t="s">
        <v>17</v>
      </c>
      <c r="D24" s="95">
        <v>1</v>
      </c>
      <c r="E24" s="95" t="s">
        <v>57</v>
      </c>
      <c r="F24" s="95" t="s">
        <v>57</v>
      </c>
      <c r="G24" s="123">
        <v>56.83</v>
      </c>
      <c r="H24" s="118"/>
      <c r="I24" s="95">
        <f t="shared" si="0"/>
        <v>56.83</v>
      </c>
      <c r="J24" s="95">
        <f t="shared" si="1"/>
        <v>56.83</v>
      </c>
      <c r="K24" s="90"/>
      <c r="L24" s="162" t="s">
        <v>341</v>
      </c>
      <c r="M24" s="108">
        <v>1</v>
      </c>
      <c r="N24" s="145">
        <v>30.56</v>
      </c>
      <c r="O24" s="123">
        <v>3</v>
      </c>
      <c r="P24" s="92"/>
      <c r="Q24" s="92"/>
      <c r="R24" s="108">
        <f t="shared" si="2"/>
        <v>91.679999999999993</v>
      </c>
      <c r="S24" s="110"/>
      <c r="T24" s="108" t="s">
        <v>19</v>
      </c>
      <c r="U24" s="163">
        <f t="shared" si="37"/>
        <v>30.56</v>
      </c>
      <c r="V24" s="90"/>
      <c r="W24" s="162" t="s">
        <v>19</v>
      </c>
      <c r="X24" s="95" t="str">
        <f t="shared" si="3"/>
        <v>cad</v>
      </c>
      <c r="Y24" s="95" t="str">
        <f t="shared" si="4"/>
        <v>cad</v>
      </c>
      <c r="Z24" s="108">
        <f t="shared" si="5"/>
        <v>56.83</v>
      </c>
      <c r="AA24" s="108">
        <f t="shared" si="6"/>
        <v>0</v>
      </c>
      <c r="AB24" s="108">
        <f t="shared" si="7"/>
        <v>56.83</v>
      </c>
      <c r="AC24" s="108">
        <f t="shared" si="8"/>
        <v>56.83</v>
      </c>
      <c r="AD24" s="90"/>
      <c r="AE24" s="92"/>
      <c r="AF24" s="108"/>
    </row>
    <row r="25" spans="1:32" s="11" customFormat="1" ht="14.4">
      <c r="A25" s="18"/>
      <c r="B25" s="161" t="s">
        <v>220</v>
      </c>
      <c r="C25" s="95" t="s">
        <v>24</v>
      </c>
      <c r="D25" s="95">
        <v>1</v>
      </c>
      <c r="E25" s="95" t="s">
        <v>57</v>
      </c>
      <c r="F25" s="95" t="s">
        <v>57</v>
      </c>
      <c r="G25" s="123">
        <v>11.32</v>
      </c>
      <c r="H25" s="118"/>
      <c r="I25" s="95">
        <f t="shared" si="0"/>
        <v>11.32</v>
      </c>
      <c r="J25" s="95">
        <f t="shared" si="1"/>
        <v>11.32</v>
      </c>
      <c r="K25" s="90"/>
      <c r="L25" s="162" t="s">
        <v>24</v>
      </c>
      <c r="M25" s="108">
        <v>1</v>
      </c>
      <c r="N25" s="145">
        <v>13.85</v>
      </c>
      <c r="O25" s="123">
        <v>3.65</v>
      </c>
      <c r="P25" s="92"/>
      <c r="Q25" s="92"/>
      <c r="R25" s="108">
        <f t="shared" si="2"/>
        <v>50.552499999999995</v>
      </c>
      <c r="S25" s="110"/>
      <c r="T25" s="108" t="s">
        <v>20</v>
      </c>
      <c r="U25" s="163">
        <f t="shared" si="37"/>
        <v>13.85</v>
      </c>
      <c r="V25" s="90"/>
      <c r="W25" s="162" t="s">
        <v>20</v>
      </c>
      <c r="X25" s="95" t="str">
        <f t="shared" si="3"/>
        <v>cad</v>
      </c>
      <c r="Y25" s="95" t="str">
        <f t="shared" si="4"/>
        <v>cad</v>
      </c>
      <c r="Z25" s="108">
        <f t="shared" si="5"/>
        <v>11.32</v>
      </c>
      <c r="AA25" s="108">
        <f t="shared" si="6"/>
        <v>0</v>
      </c>
      <c r="AB25" s="108">
        <f>I25</f>
        <v>11.32</v>
      </c>
      <c r="AC25" s="108">
        <f t="shared" si="8"/>
        <v>11.32</v>
      </c>
      <c r="AD25" s="110"/>
      <c r="AE25" s="92"/>
      <c r="AF25" s="108"/>
    </row>
    <row r="26" spans="1:32" s="11" customFormat="1" ht="14.4">
      <c r="A26" s="18"/>
      <c r="B26" s="161" t="s">
        <v>450</v>
      </c>
      <c r="C26" s="318" t="s">
        <v>17</v>
      </c>
      <c r="D26" s="95">
        <v>1</v>
      </c>
      <c r="E26" s="95" t="s">
        <v>57</v>
      </c>
      <c r="F26" s="95" t="s">
        <v>57</v>
      </c>
      <c r="G26" s="123">
        <v>15.88</v>
      </c>
      <c r="H26" s="118"/>
      <c r="I26" s="95">
        <f t="shared" si="0"/>
        <v>15.88</v>
      </c>
      <c r="J26" s="95">
        <f t="shared" si="1"/>
        <v>15.88</v>
      </c>
      <c r="K26" s="90"/>
      <c r="L26" s="162" t="s">
        <v>19</v>
      </c>
      <c r="M26" s="108">
        <v>1</v>
      </c>
      <c r="N26" s="123">
        <v>16.11</v>
      </c>
      <c r="O26" s="123">
        <v>2.7</v>
      </c>
      <c r="P26" s="92"/>
      <c r="Q26" s="92"/>
      <c r="R26" s="108">
        <f t="shared" si="2"/>
        <v>43.497</v>
      </c>
      <c r="S26" s="110"/>
      <c r="T26" s="108" t="s">
        <v>21</v>
      </c>
      <c r="U26" s="163">
        <f t="shared" si="37"/>
        <v>16.11</v>
      </c>
      <c r="V26" s="90"/>
      <c r="W26" s="162" t="s">
        <v>17</v>
      </c>
      <c r="X26" s="95" t="str">
        <f t="shared" si="3"/>
        <v>cad</v>
      </c>
      <c r="Y26" s="95" t="str">
        <f t="shared" si="4"/>
        <v>cad</v>
      </c>
      <c r="Z26" s="108">
        <f t="shared" si="5"/>
        <v>15.88</v>
      </c>
      <c r="AA26" s="108">
        <f t="shared" si="6"/>
        <v>0</v>
      </c>
      <c r="AB26" s="108">
        <f t="shared" si="7"/>
        <v>15.88</v>
      </c>
      <c r="AC26" s="108">
        <f t="shared" si="8"/>
        <v>15.88</v>
      </c>
      <c r="AD26" s="110"/>
      <c r="AE26" s="92" t="s">
        <v>357</v>
      </c>
      <c r="AF26" s="108">
        <f t="shared" ref="AF26:AF28" si="57">N26*M26</f>
        <v>16.11</v>
      </c>
    </row>
    <row r="27" spans="1:32" s="11" customFormat="1" ht="15.75" customHeight="1">
      <c r="A27" s="18"/>
      <c r="B27" s="161" t="s">
        <v>448</v>
      </c>
      <c r="C27" s="95" t="s">
        <v>24</v>
      </c>
      <c r="D27" s="95">
        <v>1</v>
      </c>
      <c r="E27" s="95" t="s">
        <v>57</v>
      </c>
      <c r="F27" s="95" t="s">
        <v>57</v>
      </c>
      <c r="G27" s="123">
        <v>11.35</v>
      </c>
      <c r="H27" s="118"/>
      <c r="I27" s="95">
        <f t="shared" si="0"/>
        <v>11.35</v>
      </c>
      <c r="J27" s="95">
        <f t="shared" si="1"/>
        <v>11.35</v>
      </c>
      <c r="K27" s="90"/>
      <c r="L27" s="162" t="s">
        <v>24</v>
      </c>
      <c r="M27" s="108">
        <v>1</v>
      </c>
      <c r="N27" s="145">
        <v>14.59</v>
      </c>
      <c r="O27" s="123">
        <v>3.65</v>
      </c>
      <c r="P27" s="92"/>
      <c r="Q27" s="92"/>
      <c r="R27" s="108">
        <f t="shared" si="2"/>
        <v>53.253499999999995</v>
      </c>
      <c r="S27" s="110"/>
      <c r="T27" s="108"/>
      <c r="U27" s="163"/>
      <c r="V27" s="90"/>
      <c r="W27" s="162" t="s">
        <v>20</v>
      </c>
      <c r="X27" s="95" t="str">
        <f t="shared" si="3"/>
        <v>cad</v>
      </c>
      <c r="Y27" s="95" t="str">
        <f t="shared" si="4"/>
        <v>cad</v>
      </c>
      <c r="Z27" s="108">
        <f t="shared" si="5"/>
        <v>11.35</v>
      </c>
      <c r="AA27" s="108">
        <f t="shared" si="6"/>
        <v>0</v>
      </c>
      <c r="AB27" s="108">
        <f t="shared" si="7"/>
        <v>11.35</v>
      </c>
      <c r="AC27" s="108">
        <f t="shared" si="8"/>
        <v>11.35</v>
      </c>
      <c r="AD27" s="110"/>
      <c r="AE27" s="92"/>
      <c r="AF27" s="108"/>
    </row>
    <row r="28" spans="1:32" s="11" customFormat="1" ht="14.4">
      <c r="A28" s="18"/>
      <c r="B28" s="161" t="s">
        <v>376</v>
      </c>
      <c r="C28" s="95" t="s">
        <v>17</v>
      </c>
      <c r="D28" s="95">
        <v>1</v>
      </c>
      <c r="E28" s="95" t="s">
        <v>57</v>
      </c>
      <c r="F28" s="95" t="s">
        <v>57</v>
      </c>
      <c r="G28" s="123">
        <v>31.19</v>
      </c>
      <c r="H28" s="118"/>
      <c r="I28" s="95">
        <f t="shared" si="0"/>
        <v>31.19</v>
      </c>
      <c r="J28" s="95">
        <f t="shared" si="1"/>
        <v>31.19</v>
      </c>
      <c r="K28" s="90"/>
      <c r="L28" s="162" t="s">
        <v>19</v>
      </c>
      <c r="M28" s="108">
        <v>1</v>
      </c>
      <c r="N28" s="145">
        <v>29.95</v>
      </c>
      <c r="O28" s="123">
        <v>2.7</v>
      </c>
      <c r="P28" s="92"/>
      <c r="Q28" s="92"/>
      <c r="R28" s="108">
        <f t="shared" si="2"/>
        <v>80.865000000000009</v>
      </c>
      <c r="S28" s="110"/>
      <c r="T28" s="108" t="s">
        <v>17</v>
      </c>
      <c r="U28" s="163">
        <f>N28*M28</f>
        <v>29.95</v>
      </c>
      <c r="V28" s="90"/>
      <c r="W28" s="162" t="s">
        <v>17</v>
      </c>
      <c r="X28" s="95" t="str">
        <f t="shared" si="3"/>
        <v>cad</v>
      </c>
      <c r="Y28" s="95" t="str">
        <f t="shared" si="4"/>
        <v>cad</v>
      </c>
      <c r="Z28" s="108">
        <f t="shared" si="5"/>
        <v>31.19</v>
      </c>
      <c r="AA28" s="108">
        <f t="shared" si="6"/>
        <v>0</v>
      </c>
      <c r="AB28" s="108">
        <f t="shared" si="7"/>
        <v>31.19</v>
      </c>
      <c r="AC28" s="108">
        <f t="shared" si="8"/>
        <v>31.19</v>
      </c>
      <c r="AD28" s="110"/>
      <c r="AE28" s="92" t="s">
        <v>357</v>
      </c>
      <c r="AF28" s="108">
        <f t="shared" si="57"/>
        <v>29.95</v>
      </c>
    </row>
    <row r="29" spans="1:32" s="11" customFormat="1" ht="14.4">
      <c r="A29" s="18"/>
      <c r="B29" s="161" t="s">
        <v>59</v>
      </c>
      <c r="C29" s="95" t="s">
        <v>24</v>
      </c>
      <c r="D29" s="95">
        <v>1</v>
      </c>
      <c r="E29" s="95" t="s">
        <v>57</v>
      </c>
      <c r="F29" s="95" t="s">
        <v>57</v>
      </c>
      <c r="G29" s="95">
        <v>40.909999999999997</v>
      </c>
      <c r="H29" s="118"/>
      <c r="I29" s="95">
        <f t="shared" si="0"/>
        <v>40.909999999999997</v>
      </c>
      <c r="J29" s="95">
        <f t="shared" si="1"/>
        <v>40.909999999999997</v>
      </c>
      <c r="K29" s="90"/>
      <c r="L29" s="162" t="s">
        <v>24</v>
      </c>
      <c r="M29" s="108">
        <v>1</v>
      </c>
      <c r="N29" s="162">
        <v>26.71</v>
      </c>
      <c r="O29" s="123">
        <v>3.65</v>
      </c>
      <c r="P29" s="92"/>
      <c r="Q29" s="92"/>
      <c r="R29" s="108">
        <f t="shared" si="2"/>
        <v>97.491500000000002</v>
      </c>
      <c r="S29" s="110"/>
      <c r="T29" s="108" t="s">
        <v>20</v>
      </c>
      <c r="U29" s="163">
        <f>N29*M29</f>
        <v>26.71</v>
      </c>
      <c r="V29" s="90"/>
      <c r="W29" s="162" t="s">
        <v>20</v>
      </c>
      <c r="X29" s="95" t="str">
        <f t="shared" si="3"/>
        <v>cad</v>
      </c>
      <c r="Y29" s="95" t="str">
        <f t="shared" si="4"/>
        <v>cad</v>
      </c>
      <c r="Z29" s="108">
        <f t="shared" si="5"/>
        <v>40.909999999999997</v>
      </c>
      <c r="AA29" s="108">
        <f t="shared" si="6"/>
        <v>0</v>
      </c>
      <c r="AB29" s="108">
        <f t="shared" si="7"/>
        <v>40.909999999999997</v>
      </c>
      <c r="AC29" s="108">
        <f t="shared" si="8"/>
        <v>40.909999999999997</v>
      </c>
      <c r="AD29" s="110"/>
      <c r="AE29" s="92"/>
      <c r="AF29" s="108"/>
    </row>
    <row r="30" spans="1:32" s="11" customFormat="1" ht="14.4">
      <c r="A30" s="18"/>
      <c r="B30" s="161"/>
      <c r="C30" s="95" t="s">
        <v>24</v>
      </c>
      <c r="D30" s="95">
        <v>1</v>
      </c>
      <c r="E30" s="95" t="s">
        <v>57</v>
      </c>
      <c r="F30" s="95" t="s">
        <v>57</v>
      </c>
      <c r="G30" s="123">
        <v>8.9</v>
      </c>
      <c r="H30" s="118"/>
      <c r="I30" s="95">
        <f t="shared" ref="I30" si="58">(G30-H30)</f>
        <v>8.9</v>
      </c>
      <c r="J30" s="95">
        <f t="shared" ref="J30" si="59">I30*D30</f>
        <v>8.9</v>
      </c>
      <c r="K30" s="90"/>
      <c r="L30" s="162"/>
      <c r="M30" s="108"/>
      <c r="N30" s="162"/>
      <c r="O30" s="95"/>
      <c r="P30" s="92"/>
      <c r="Q30" s="92"/>
      <c r="R30" s="108"/>
      <c r="S30" s="110"/>
      <c r="T30" s="108"/>
      <c r="U30" s="163"/>
      <c r="V30" s="90"/>
      <c r="W30" s="162"/>
      <c r="X30" s="95"/>
      <c r="Y30" s="95"/>
      <c r="Z30" s="108">
        <f t="shared" si="5"/>
        <v>8.9</v>
      </c>
      <c r="AA30" s="108"/>
      <c r="AB30" s="108"/>
      <c r="AC30" s="108"/>
      <c r="AD30" s="110"/>
      <c r="AE30" s="92"/>
      <c r="AF30" s="108"/>
    </row>
    <row r="31" spans="1:32" s="11" customFormat="1" ht="14.4">
      <c r="A31" s="18"/>
      <c r="B31" s="161" t="s">
        <v>119</v>
      </c>
      <c r="C31" s="95" t="s">
        <v>337</v>
      </c>
      <c r="D31" s="95">
        <v>1</v>
      </c>
      <c r="E31" s="95" t="s">
        <v>57</v>
      </c>
      <c r="F31" s="95" t="s">
        <v>57</v>
      </c>
      <c r="G31" s="123">
        <v>6.67</v>
      </c>
      <c r="H31" s="118"/>
      <c r="I31" s="95">
        <f t="shared" si="0"/>
        <v>6.67</v>
      </c>
      <c r="J31" s="95">
        <f t="shared" si="1"/>
        <v>6.67</v>
      </c>
      <c r="K31" s="90"/>
      <c r="L31" s="162" t="s">
        <v>22</v>
      </c>
      <c r="M31" s="108">
        <v>1</v>
      </c>
      <c r="N31" s="145">
        <v>10.67</v>
      </c>
      <c r="O31" s="123">
        <v>2.7</v>
      </c>
      <c r="P31" s="92"/>
      <c r="Q31" s="92"/>
      <c r="R31" s="108">
        <f t="shared" si="2"/>
        <v>28.809000000000001</v>
      </c>
      <c r="S31" s="110"/>
      <c r="T31" s="108"/>
      <c r="U31" s="163"/>
      <c r="V31" s="90"/>
      <c r="W31" s="162" t="s">
        <v>18</v>
      </c>
      <c r="X31" s="95" t="str">
        <f t="shared" ref="X31:X82" si="60">E31</f>
        <v>cad</v>
      </c>
      <c r="Y31" s="95" t="str">
        <f t="shared" ref="Y31:Y82" si="61">F31</f>
        <v>cad</v>
      </c>
      <c r="Z31" s="108">
        <f t="shared" ref="Z31:Z82" si="62">G31</f>
        <v>6.67</v>
      </c>
      <c r="AA31" s="108">
        <f t="shared" ref="AA31:AA82" si="63">H31</f>
        <v>0</v>
      </c>
      <c r="AB31" s="108">
        <f t="shared" ref="AB31:AB82" si="64">I31</f>
        <v>6.67</v>
      </c>
      <c r="AC31" s="108">
        <f t="shared" si="8"/>
        <v>6.67</v>
      </c>
      <c r="AD31" s="110"/>
      <c r="AE31" s="92" t="s">
        <v>357</v>
      </c>
      <c r="AF31" s="108">
        <f t="shared" ref="AF31:AF33" si="65">N31*M31</f>
        <v>10.67</v>
      </c>
    </row>
    <row r="32" spans="1:32" s="11" customFormat="1" ht="14.4">
      <c r="A32" s="18"/>
      <c r="B32" s="161" t="s">
        <v>222</v>
      </c>
      <c r="C32" s="95" t="s">
        <v>20</v>
      </c>
      <c r="D32" s="95">
        <v>1</v>
      </c>
      <c r="E32" s="95" t="s">
        <v>57</v>
      </c>
      <c r="F32" s="95" t="s">
        <v>57</v>
      </c>
      <c r="G32" s="95">
        <v>10.57</v>
      </c>
      <c r="H32" s="118"/>
      <c r="I32" s="95">
        <f t="shared" si="0"/>
        <v>10.57</v>
      </c>
      <c r="J32" s="95">
        <f t="shared" si="1"/>
        <v>10.57</v>
      </c>
      <c r="K32" s="90"/>
      <c r="L32" s="162" t="s">
        <v>18</v>
      </c>
      <c r="M32" s="108">
        <v>1</v>
      </c>
      <c r="N32" s="162">
        <v>13.3</v>
      </c>
      <c r="O32" s="123">
        <v>2.7</v>
      </c>
      <c r="P32" s="92"/>
      <c r="Q32" s="92"/>
      <c r="R32" s="108">
        <f t="shared" si="2"/>
        <v>35.910000000000004</v>
      </c>
      <c r="S32" s="110"/>
      <c r="T32" s="108" t="s">
        <v>18</v>
      </c>
      <c r="U32" s="163">
        <f t="shared" ref="U32" si="66">N32*M32</f>
        <v>13.3</v>
      </c>
      <c r="V32" s="90"/>
      <c r="W32" s="162" t="s">
        <v>18</v>
      </c>
      <c r="X32" s="95" t="str">
        <f t="shared" si="60"/>
        <v>cad</v>
      </c>
      <c r="Y32" s="95" t="str">
        <f t="shared" si="61"/>
        <v>cad</v>
      </c>
      <c r="Z32" s="108">
        <f t="shared" si="62"/>
        <v>10.57</v>
      </c>
      <c r="AA32" s="108">
        <f t="shared" si="63"/>
        <v>0</v>
      </c>
      <c r="AB32" s="108">
        <f t="shared" si="64"/>
        <v>10.57</v>
      </c>
      <c r="AC32" s="108">
        <f t="shared" si="8"/>
        <v>10.57</v>
      </c>
      <c r="AD32" s="110"/>
      <c r="AE32" s="92" t="s">
        <v>357</v>
      </c>
      <c r="AF32" s="108">
        <f t="shared" si="65"/>
        <v>13.3</v>
      </c>
    </row>
    <row r="33" spans="1:32" s="11" customFormat="1" ht="14.4">
      <c r="A33" s="18"/>
      <c r="B33" s="161" t="s">
        <v>223</v>
      </c>
      <c r="C33" s="95" t="s">
        <v>20</v>
      </c>
      <c r="D33" s="95">
        <v>1</v>
      </c>
      <c r="E33" s="95" t="s">
        <v>57</v>
      </c>
      <c r="F33" s="95" t="s">
        <v>57</v>
      </c>
      <c r="G33" s="123">
        <v>10.57</v>
      </c>
      <c r="H33" s="118"/>
      <c r="I33" s="95">
        <f t="shared" si="0"/>
        <v>10.57</v>
      </c>
      <c r="J33" s="95">
        <f t="shared" si="1"/>
        <v>10.57</v>
      </c>
      <c r="K33" s="90"/>
      <c r="L33" s="162" t="s">
        <v>18</v>
      </c>
      <c r="M33" s="108">
        <v>1</v>
      </c>
      <c r="N33" s="145">
        <v>13.3</v>
      </c>
      <c r="O33" s="123">
        <v>2.7</v>
      </c>
      <c r="P33" s="92"/>
      <c r="Q33" s="92"/>
      <c r="R33" s="108">
        <f t="shared" si="2"/>
        <v>35.910000000000004</v>
      </c>
      <c r="S33" s="110"/>
      <c r="T33" s="108" t="s">
        <v>18</v>
      </c>
      <c r="U33" s="163">
        <f t="shared" ref="U33:U48" si="67">N33*M33</f>
        <v>13.3</v>
      </c>
      <c r="V33" s="90"/>
      <c r="W33" s="162" t="s">
        <v>18</v>
      </c>
      <c r="X33" s="95" t="str">
        <f t="shared" si="60"/>
        <v>cad</v>
      </c>
      <c r="Y33" s="95" t="str">
        <f t="shared" si="61"/>
        <v>cad</v>
      </c>
      <c r="Z33" s="108">
        <f t="shared" si="62"/>
        <v>10.57</v>
      </c>
      <c r="AA33" s="108">
        <f t="shared" si="63"/>
        <v>0</v>
      </c>
      <c r="AB33" s="108">
        <f t="shared" si="64"/>
        <v>10.57</v>
      </c>
      <c r="AC33" s="108">
        <f t="shared" si="8"/>
        <v>10.57</v>
      </c>
      <c r="AD33" s="110"/>
      <c r="AE33" s="92" t="s">
        <v>357</v>
      </c>
      <c r="AF33" s="108">
        <f t="shared" si="65"/>
        <v>13.3</v>
      </c>
    </row>
    <row r="34" spans="1:32" s="11" customFormat="1" ht="14.4">
      <c r="A34" s="18"/>
      <c r="B34" s="161" t="s">
        <v>224</v>
      </c>
      <c r="C34" s="95" t="s">
        <v>17</v>
      </c>
      <c r="D34" s="95">
        <v>1</v>
      </c>
      <c r="E34" s="95" t="s">
        <v>57</v>
      </c>
      <c r="F34" s="95" t="s">
        <v>57</v>
      </c>
      <c r="G34" s="123">
        <v>9.32</v>
      </c>
      <c r="H34" s="118"/>
      <c r="I34" s="95">
        <f t="shared" si="0"/>
        <v>9.32</v>
      </c>
      <c r="J34" s="95">
        <f t="shared" si="1"/>
        <v>9.32</v>
      </c>
      <c r="K34" s="90"/>
      <c r="L34" s="162" t="s">
        <v>17</v>
      </c>
      <c r="M34" s="108">
        <v>1</v>
      </c>
      <c r="N34" s="145">
        <v>12.35</v>
      </c>
      <c r="O34" s="123">
        <v>2.7</v>
      </c>
      <c r="P34" s="92"/>
      <c r="Q34" s="92"/>
      <c r="R34" s="108">
        <f t="shared" si="2"/>
        <v>33.344999999999999</v>
      </c>
      <c r="S34" s="110"/>
      <c r="T34" s="108" t="s">
        <v>17</v>
      </c>
      <c r="U34" s="163">
        <f t="shared" si="67"/>
        <v>12.35</v>
      </c>
      <c r="V34" s="90"/>
      <c r="W34" s="162" t="s">
        <v>17</v>
      </c>
      <c r="X34" s="95" t="str">
        <f t="shared" si="60"/>
        <v>cad</v>
      </c>
      <c r="Y34" s="95" t="str">
        <f t="shared" si="61"/>
        <v>cad</v>
      </c>
      <c r="Z34" s="108">
        <f t="shared" si="62"/>
        <v>9.32</v>
      </c>
      <c r="AA34" s="108">
        <f t="shared" si="63"/>
        <v>0</v>
      </c>
      <c r="AB34" s="108">
        <f t="shared" si="64"/>
        <v>9.32</v>
      </c>
      <c r="AC34" s="108">
        <f t="shared" si="8"/>
        <v>9.32</v>
      </c>
      <c r="AD34" s="110"/>
      <c r="AE34" s="92" t="s">
        <v>357</v>
      </c>
      <c r="AF34" s="108">
        <f t="shared" ref="AF34:AF48" si="68">N34*M34</f>
        <v>12.35</v>
      </c>
    </row>
    <row r="35" spans="1:32" s="11" customFormat="1" ht="14.4">
      <c r="A35" s="18"/>
      <c r="B35" s="167" t="s">
        <v>126</v>
      </c>
      <c r="C35" s="318" t="s">
        <v>17</v>
      </c>
      <c r="D35" s="95">
        <v>1</v>
      </c>
      <c r="E35" s="95" t="s">
        <v>57</v>
      </c>
      <c r="F35" s="95" t="s">
        <v>57</v>
      </c>
      <c r="G35" s="168">
        <v>1.8</v>
      </c>
      <c r="H35" s="118"/>
      <c r="I35" s="95">
        <f t="shared" ref="I35:I46" si="69">(G35-H35)</f>
        <v>1.8</v>
      </c>
      <c r="J35" s="95">
        <f t="shared" ref="J35:J46" si="70">I35*D35</f>
        <v>1.8</v>
      </c>
      <c r="K35" s="90"/>
      <c r="L35" s="162" t="s">
        <v>19</v>
      </c>
      <c r="M35" s="108">
        <v>1</v>
      </c>
      <c r="N35" s="169">
        <v>5.53</v>
      </c>
      <c r="O35" s="168">
        <v>2.7</v>
      </c>
      <c r="P35" s="92"/>
      <c r="Q35" s="92"/>
      <c r="R35" s="108">
        <f t="shared" si="2"/>
        <v>14.931000000000001</v>
      </c>
      <c r="S35" s="110"/>
      <c r="T35" s="108" t="s">
        <v>19</v>
      </c>
      <c r="U35" s="163">
        <f t="shared" si="67"/>
        <v>5.53</v>
      </c>
      <c r="V35" s="90"/>
      <c r="W35" s="162" t="s">
        <v>19</v>
      </c>
      <c r="X35" s="95" t="str">
        <f t="shared" ref="X35:X46" si="71">E35</f>
        <v>cad</v>
      </c>
      <c r="Y35" s="95" t="str">
        <f t="shared" ref="Y35:Y46" si="72">F35</f>
        <v>cad</v>
      </c>
      <c r="Z35" s="108">
        <f t="shared" si="62"/>
        <v>1.8</v>
      </c>
      <c r="AA35" s="108"/>
      <c r="AB35" s="108">
        <f t="shared" ref="AB35:AB46" si="73">I35</f>
        <v>1.8</v>
      </c>
      <c r="AC35" s="108">
        <f t="shared" ref="AC35:AC46" si="74">J35</f>
        <v>1.8</v>
      </c>
      <c r="AD35" s="110"/>
      <c r="AE35" s="92"/>
      <c r="AF35" s="108"/>
    </row>
    <row r="36" spans="1:32" s="11" customFormat="1" ht="14.4">
      <c r="A36" s="18"/>
      <c r="B36" s="167" t="s">
        <v>157</v>
      </c>
      <c r="C36" s="318" t="s">
        <v>17</v>
      </c>
      <c r="D36" s="95">
        <v>1</v>
      </c>
      <c r="E36" s="95" t="s">
        <v>57</v>
      </c>
      <c r="F36" s="95" t="s">
        <v>57</v>
      </c>
      <c r="G36" s="168">
        <v>16.03</v>
      </c>
      <c r="H36" s="118"/>
      <c r="I36" s="95">
        <f t="shared" si="69"/>
        <v>16.03</v>
      </c>
      <c r="J36" s="95">
        <f t="shared" si="70"/>
        <v>16.03</v>
      </c>
      <c r="K36" s="90"/>
      <c r="L36" s="162" t="s">
        <v>19</v>
      </c>
      <c r="M36" s="108">
        <v>1</v>
      </c>
      <c r="N36" s="169">
        <f>17.52-5.92</f>
        <v>11.6</v>
      </c>
      <c r="O36" s="168">
        <v>2.7</v>
      </c>
      <c r="P36" s="92"/>
      <c r="Q36" s="92"/>
      <c r="R36" s="108">
        <f t="shared" si="2"/>
        <v>31.32</v>
      </c>
      <c r="S36" s="110"/>
      <c r="T36" s="108" t="s">
        <v>21</v>
      </c>
      <c r="U36" s="163">
        <f t="shared" si="67"/>
        <v>11.6</v>
      </c>
      <c r="V36" s="90"/>
      <c r="W36" s="162" t="s">
        <v>17</v>
      </c>
      <c r="X36" s="95" t="str">
        <f t="shared" si="71"/>
        <v>cad</v>
      </c>
      <c r="Y36" s="95" t="str">
        <f t="shared" si="72"/>
        <v>cad</v>
      </c>
      <c r="Z36" s="108">
        <f t="shared" si="62"/>
        <v>16.03</v>
      </c>
      <c r="AA36" s="108"/>
      <c r="AB36" s="108">
        <f t="shared" si="73"/>
        <v>16.03</v>
      </c>
      <c r="AC36" s="108">
        <f t="shared" si="74"/>
        <v>16.03</v>
      </c>
      <c r="AD36" s="110"/>
      <c r="AE36" s="92" t="s">
        <v>17</v>
      </c>
      <c r="AF36" s="108">
        <f t="shared" si="68"/>
        <v>11.6</v>
      </c>
    </row>
    <row r="37" spans="1:32" s="11" customFormat="1" ht="14.4">
      <c r="A37" s="18"/>
      <c r="B37" s="167"/>
      <c r="C37" s="95"/>
      <c r="D37" s="95"/>
      <c r="E37" s="95"/>
      <c r="F37" s="95"/>
      <c r="G37" s="141"/>
      <c r="H37" s="118"/>
      <c r="I37" s="95"/>
      <c r="J37" s="95"/>
      <c r="K37" s="90"/>
      <c r="L37" s="162"/>
      <c r="M37" s="108"/>
      <c r="N37" s="95"/>
      <c r="O37" s="95"/>
      <c r="P37" s="92"/>
      <c r="Q37" s="92"/>
      <c r="R37" s="108"/>
      <c r="S37" s="110"/>
      <c r="T37" s="108"/>
      <c r="U37" s="163"/>
      <c r="V37" s="90"/>
      <c r="W37" s="166" t="s">
        <v>19</v>
      </c>
      <c r="X37" s="141">
        <f t="shared" si="71"/>
        <v>0</v>
      </c>
      <c r="Y37" s="141">
        <f t="shared" si="72"/>
        <v>0</v>
      </c>
      <c r="Z37" s="141">
        <v>3.13</v>
      </c>
      <c r="AA37" s="108"/>
      <c r="AB37" s="141">
        <f>Z37</f>
        <v>3.13</v>
      </c>
      <c r="AC37" s="141">
        <f>Z37</f>
        <v>3.13</v>
      </c>
      <c r="AD37" s="110"/>
      <c r="AE37" s="92"/>
      <c r="AF37" s="108"/>
    </row>
    <row r="38" spans="1:32" s="11" customFormat="1" ht="14.4">
      <c r="A38" s="18"/>
      <c r="B38" s="167"/>
      <c r="C38" s="95"/>
      <c r="D38" s="95"/>
      <c r="E38" s="95"/>
      <c r="F38" s="95"/>
      <c r="G38" s="141"/>
      <c r="H38" s="118"/>
      <c r="I38" s="95"/>
      <c r="J38" s="95"/>
      <c r="K38" s="90"/>
      <c r="L38" s="162"/>
      <c r="M38" s="108"/>
      <c r="N38" s="95"/>
      <c r="O38" s="95"/>
      <c r="P38" s="92"/>
      <c r="Q38" s="92"/>
      <c r="R38" s="108"/>
      <c r="S38" s="110"/>
      <c r="T38" s="108"/>
      <c r="U38" s="163"/>
      <c r="V38" s="90"/>
      <c r="W38" s="166" t="s">
        <v>24</v>
      </c>
      <c r="X38" s="141">
        <f t="shared" ref="X38" si="75">E38</f>
        <v>0</v>
      </c>
      <c r="Y38" s="141">
        <f t="shared" ref="Y38" si="76">F38</f>
        <v>0</v>
      </c>
      <c r="Z38" s="141">
        <v>1.56</v>
      </c>
      <c r="AA38" s="108"/>
      <c r="AB38" s="141">
        <f>Z38</f>
        <v>1.56</v>
      </c>
      <c r="AC38" s="141">
        <f>Z38</f>
        <v>1.56</v>
      </c>
      <c r="AD38" s="110"/>
      <c r="AE38" s="92"/>
      <c r="AF38" s="108"/>
    </row>
    <row r="39" spans="1:32" s="11" customFormat="1" ht="14.4">
      <c r="A39" s="18"/>
      <c r="B39" s="167" t="s">
        <v>157</v>
      </c>
      <c r="C39" s="318" t="s">
        <v>17</v>
      </c>
      <c r="D39" s="95">
        <v>1</v>
      </c>
      <c r="E39" s="95" t="s">
        <v>57</v>
      </c>
      <c r="F39" s="95" t="s">
        <v>57</v>
      </c>
      <c r="G39" s="168">
        <v>10.89</v>
      </c>
      <c r="H39" s="118"/>
      <c r="I39" s="95">
        <f t="shared" ref="I39" si="77">(G39-H39)</f>
        <v>10.89</v>
      </c>
      <c r="J39" s="95">
        <f t="shared" ref="J39" si="78">I39*D39</f>
        <v>10.89</v>
      </c>
      <c r="K39" s="90"/>
      <c r="L39" s="162" t="s">
        <v>19</v>
      </c>
      <c r="M39" s="108">
        <v>1</v>
      </c>
      <c r="N39" s="169">
        <f>16.5-1.65</f>
        <v>14.85</v>
      </c>
      <c r="O39" s="168">
        <v>2.7</v>
      </c>
      <c r="P39" s="92"/>
      <c r="Q39" s="92"/>
      <c r="R39" s="108">
        <f t="shared" si="2"/>
        <v>40.094999999999999</v>
      </c>
      <c r="S39" s="110"/>
      <c r="T39" s="108" t="s">
        <v>21</v>
      </c>
      <c r="U39" s="163">
        <f t="shared" si="67"/>
        <v>14.85</v>
      </c>
      <c r="V39" s="90"/>
      <c r="W39" s="162" t="s">
        <v>17</v>
      </c>
      <c r="X39" s="95" t="str">
        <f t="shared" si="71"/>
        <v>cad</v>
      </c>
      <c r="Y39" s="95" t="str">
        <f t="shared" si="72"/>
        <v>cad</v>
      </c>
      <c r="Z39" s="108">
        <f t="shared" si="62"/>
        <v>10.89</v>
      </c>
      <c r="AA39" s="108"/>
      <c r="AB39" s="108">
        <f t="shared" si="73"/>
        <v>10.89</v>
      </c>
      <c r="AC39" s="108">
        <f t="shared" si="74"/>
        <v>10.89</v>
      </c>
      <c r="AD39" s="110"/>
      <c r="AE39" s="92"/>
      <c r="AF39" s="108"/>
    </row>
    <row r="40" spans="1:32" s="11" customFormat="1" ht="14.4">
      <c r="A40" s="18"/>
      <c r="B40" s="167" t="s">
        <v>460</v>
      </c>
      <c r="C40" s="95" t="s">
        <v>17</v>
      </c>
      <c r="D40" s="95">
        <v>1</v>
      </c>
      <c r="E40" s="95" t="s">
        <v>57</v>
      </c>
      <c r="F40" s="95" t="s">
        <v>57</v>
      </c>
      <c r="G40" s="168">
        <v>6.04</v>
      </c>
      <c r="H40" s="118"/>
      <c r="I40" s="95">
        <f t="shared" si="69"/>
        <v>6.04</v>
      </c>
      <c r="J40" s="95">
        <f t="shared" si="70"/>
        <v>6.04</v>
      </c>
      <c r="K40" s="90"/>
      <c r="L40" s="162" t="s">
        <v>17</v>
      </c>
      <c r="M40" s="108">
        <v>1</v>
      </c>
      <c r="N40" s="169">
        <v>10.79</v>
      </c>
      <c r="O40" s="168">
        <v>2.7</v>
      </c>
      <c r="P40" s="92"/>
      <c r="Q40" s="92"/>
      <c r="R40" s="108">
        <f t="shared" si="2"/>
        <v>29.132999999999999</v>
      </c>
      <c r="S40" s="110"/>
      <c r="T40" s="95" t="s">
        <v>17</v>
      </c>
      <c r="U40" s="163">
        <f t="shared" si="67"/>
        <v>10.79</v>
      </c>
      <c r="V40" s="90"/>
      <c r="W40" s="162" t="s">
        <v>17</v>
      </c>
      <c r="X40" s="95" t="str">
        <f t="shared" si="71"/>
        <v>cad</v>
      </c>
      <c r="Y40" s="95" t="str">
        <f t="shared" si="72"/>
        <v>cad</v>
      </c>
      <c r="Z40" s="108">
        <f t="shared" si="62"/>
        <v>6.04</v>
      </c>
      <c r="AA40" s="108"/>
      <c r="AB40" s="108">
        <f t="shared" si="73"/>
        <v>6.04</v>
      </c>
      <c r="AC40" s="108">
        <f t="shared" si="74"/>
        <v>6.04</v>
      </c>
      <c r="AD40" s="110"/>
      <c r="AE40" s="92" t="s">
        <v>357</v>
      </c>
      <c r="AF40" s="108">
        <f t="shared" ref="AF40:AF42" si="79">N40*M40</f>
        <v>10.79</v>
      </c>
    </row>
    <row r="41" spans="1:32" s="11" customFormat="1" ht="14.4">
      <c r="A41" s="18"/>
      <c r="B41" s="167" t="s">
        <v>461</v>
      </c>
      <c r="C41" s="95" t="s">
        <v>17</v>
      </c>
      <c r="D41" s="95">
        <v>1</v>
      </c>
      <c r="E41" s="95" t="s">
        <v>57</v>
      </c>
      <c r="F41" s="95" t="s">
        <v>57</v>
      </c>
      <c r="G41" s="168">
        <v>3.57</v>
      </c>
      <c r="H41" s="118"/>
      <c r="I41" s="95">
        <f t="shared" si="69"/>
        <v>3.57</v>
      </c>
      <c r="J41" s="95">
        <f t="shared" si="70"/>
        <v>3.57</v>
      </c>
      <c r="K41" s="90"/>
      <c r="L41" s="162" t="s">
        <v>17</v>
      </c>
      <c r="M41" s="108">
        <v>1</v>
      </c>
      <c r="N41" s="169">
        <v>8.1</v>
      </c>
      <c r="O41" s="168">
        <v>2.7</v>
      </c>
      <c r="P41" s="92"/>
      <c r="Q41" s="92"/>
      <c r="R41" s="108">
        <f t="shared" si="2"/>
        <v>21.87</v>
      </c>
      <c r="S41" s="110"/>
      <c r="T41" s="95" t="s">
        <v>17</v>
      </c>
      <c r="U41" s="163">
        <f t="shared" si="67"/>
        <v>8.1</v>
      </c>
      <c r="V41" s="90"/>
      <c r="W41" s="162" t="s">
        <v>17</v>
      </c>
      <c r="X41" s="95" t="str">
        <f t="shared" si="71"/>
        <v>cad</v>
      </c>
      <c r="Y41" s="95" t="str">
        <f t="shared" si="72"/>
        <v>cad</v>
      </c>
      <c r="Z41" s="108">
        <f t="shared" si="62"/>
        <v>3.57</v>
      </c>
      <c r="AA41" s="108"/>
      <c r="AB41" s="108">
        <f t="shared" si="73"/>
        <v>3.57</v>
      </c>
      <c r="AC41" s="108">
        <f t="shared" si="74"/>
        <v>3.57</v>
      </c>
      <c r="AD41" s="110"/>
      <c r="AE41" s="92" t="s">
        <v>357</v>
      </c>
      <c r="AF41" s="108">
        <f t="shared" si="79"/>
        <v>8.1</v>
      </c>
    </row>
    <row r="42" spans="1:32" s="11" customFormat="1" ht="14.4">
      <c r="A42" s="18"/>
      <c r="B42" s="167" t="s">
        <v>91</v>
      </c>
      <c r="C42" s="95" t="s">
        <v>20</v>
      </c>
      <c r="D42" s="95">
        <v>1</v>
      </c>
      <c r="E42" s="95" t="s">
        <v>57</v>
      </c>
      <c r="F42" s="95" t="s">
        <v>57</v>
      </c>
      <c r="G42" s="168">
        <v>3.06</v>
      </c>
      <c r="H42" s="118"/>
      <c r="I42" s="95">
        <f t="shared" si="69"/>
        <v>3.06</v>
      </c>
      <c r="J42" s="95">
        <f t="shared" si="70"/>
        <v>3.06</v>
      </c>
      <c r="K42" s="90"/>
      <c r="L42" s="162" t="s">
        <v>18</v>
      </c>
      <c r="M42" s="108">
        <v>1</v>
      </c>
      <c r="N42" s="169">
        <v>7.03</v>
      </c>
      <c r="O42" s="168">
        <v>2.7</v>
      </c>
      <c r="P42" s="92"/>
      <c r="Q42" s="92"/>
      <c r="R42" s="108">
        <f t="shared" si="2"/>
        <v>18.981000000000002</v>
      </c>
      <c r="S42" s="110"/>
      <c r="T42" s="108" t="s">
        <v>18</v>
      </c>
      <c r="U42" s="163">
        <f t="shared" si="67"/>
        <v>7.03</v>
      </c>
      <c r="V42" s="90"/>
      <c r="W42" s="162" t="s">
        <v>18</v>
      </c>
      <c r="X42" s="95" t="str">
        <f t="shared" si="71"/>
        <v>cad</v>
      </c>
      <c r="Y42" s="95" t="str">
        <f t="shared" si="72"/>
        <v>cad</v>
      </c>
      <c r="Z42" s="108">
        <f t="shared" si="62"/>
        <v>3.06</v>
      </c>
      <c r="AA42" s="108"/>
      <c r="AB42" s="108">
        <f t="shared" si="73"/>
        <v>3.06</v>
      </c>
      <c r="AC42" s="108">
        <f t="shared" si="74"/>
        <v>3.06</v>
      </c>
      <c r="AD42" s="110"/>
      <c r="AE42" s="92" t="s">
        <v>17</v>
      </c>
      <c r="AF42" s="108">
        <f t="shared" si="79"/>
        <v>7.03</v>
      </c>
    </row>
    <row r="43" spans="1:32" s="11" customFormat="1" ht="14.4">
      <c r="A43" s="18"/>
      <c r="B43" s="167" t="s">
        <v>408</v>
      </c>
      <c r="C43" s="95" t="s">
        <v>17</v>
      </c>
      <c r="D43" s="95">
        <v>1</v>
      </c>
      <c r="E43" s="95" t="s">
        <v>57</v>
      </c>
      <c r="F43" s="95" t="s">
        <v>57</v>
      </c>
      <c r="G43" s="168">
        <v>8.1</v>
      </c>
      <c r="H43" s="118"/>
      <c r="I43" s="95">
        <f t="shared" si="69"/>
        <v>8.1</v>
      </c>
      <c r="J43" s="95">
        <f t="shared" si="70"/>
        <v>8.1</v>
      </c>
      <c r="K43" s="90"/>
      <c r="L43" s="162" t="s">
        <v>17</v>
      </c>
      <c r="M43" s="108">
        <v>1</v>
      </c>
      <c r="N43" s="169">
        <v>12.1</v>
      </c>
      <c r="O43" s="168">
        <v>2.7</v>
      </c>
      <c r="P43" s="92"/>
      <c r="Q43" s="92"/>
      <c r="R43" s="108">
        <f t="shared" si="2"/>
        <v>32.67</v>
      </c>
      <c r="S43" s="110"/>
      <c r="T43" s="95" t="s">
        <v>17</v>
      </c>
      <c r="U43" s="163">
        <f t="shared" si="67"/>
        <v>12.1</v>
      </c>
      <c r="V43" s="90"/>
      <c r="W43" s="162" t="s">
        <v>17</v>
      </c>
      <c r="X43" s="95" t="str">
        <f t="shared" si="71"/>
        <v>cad</v>
      </c>
      <c r="Y43" s="95" t="str">
        <f t="shared" si="72"/>
        <v>cad</v>
      </c>
      <c r="Z43" s="108">
        <f t="shared" si="62"/>
        <v>8.1</v>
      </c>
      <c r="AA43" s="108"/>
      <c r="AB43" s="108">
        <f t="shared" si="73"/>
        <v>8.1</v>
      </c>
      <c r="AC43" s="108">
        <f t="shared" si="74"/>
        <v>8.1</v>
      </c>
      <c r="AD43" s="110"/>
      <c r="AE43" s="92" t="s">
        <v>357</v>
      </c>
      <c r="AF43" s="108">
        <f t="shared" ref="AF43:AF46" si="80">N43*M43</f>
        <v>12.1</v>
      </c>
    </row>
    <row r="44" spans="1:32" s="11" customFormat="1" ht="14.4">
      <c r="A44" s="18"/>
      <c r="B44" s="167" t="s">
        <v>462</v>
      </c>
      <c r="C44" s="95" t="s">
        <v>17</v>
      </c>
      <c r="D44" s="95">
        <v>1</v>
      </c>
      <c r="E44" s="95" t="s">
        <v>57</v>
      </c>
      <c r="F44" s="95" t="s">
        <v>57</v>
      </c>
      <c r="G44" s="168">
        <v>10.82</v>
      </c>
      <c r="H44" s="118"/>
      <c r="I44" s="95">
        <f t="shared" si="69"/>
        <v>10.82</v>
      </c>
      <c r="J44" s="95">
        <f t="shared" si="70"/>
        <v>10.82</v>
      </c>
      <c r="K44" s="90"/>
      <c r="L44" s="162" t="s">
        <v>17</v>
      </c>
      <c r="M44" s="108">
        <v>1</v>
      </c>
      <c r="N44" s="169">
        <v>13.28</v>
      </c>
      <c r="O44" s="168">
        <v>2.7</v>
      </c>
      <c r="P44" s="92"/>
      <c r="Q44" s="92"/>
      <c r="R44" s="108">
        <f t="shared" si="2"/>
        <v>35.856000000000002</v>
      </c>
      <c r="S44" s="110"/>
      <c r="T44" s="95" t="s">
        <v>17</v>
      </c>
      <c r="U44" s="163">
        <f t="shared" si="67"/>
        <v>13.28</v>
      </c>
      <c r="V44" s="90"/>
      <c r="W44" s="162" t="s">
        <v>17</v>
      </c>
      <c r="X44" s="95" t="str">
        <f t="shared" si="71"/>
        <v>cad</v>
      </c>
      <c r="Y44" s="95" t="str">
        <f t="shared" si="72"/>
        <v>cad</v>
      </c>
      <c r="Z44" s="108">
        <f t="shared" si="62"/>
        <v>10.82</v>
      </c>
      <c r="AA44" s="108"/>
      <c r="AB44" s="108">
        <f t="shared" si="73"/>
        <v>10.82</v>
      </c>
      <c r="AC44" s="108">
        <f t="shared" si="74"/>
        <v>10.82</v>
      </c>
      <c r="AD44" s="110"/>
      <c r="AE44" s="92" t="s">
        <v>357</v>
      </c>
      <c r="AF44" s="108">
        <f t="shared" si="80"/>
        <v>13.28</v>
      </c>
    </row>
    <row r="45" spans="1:32" s="11" customFormat="1" ht="14.4">
      <c r="A45" s="18"/>
      <c r="B45" s="167" t="s">
        <v>463</v>
      </c>
      <c r="C45" s="95" t="s">
        <v>17</v>
      </c>
      <c r="D45" s="95">
        <v>1</v>
      </c>
      <c r="E45" s="95" t="s">
        <v>57</v>
      </c>
      <c r="F45" s="95" t="s">
        <v>57</v>
      </c>
      <c r="G45" s="168">
        <v>9.02</v>
      </c>
      <c r="H45" s="118"/>
      <c r="I45" s="95">
        <f t="shared" si="69"/>
        <v>9.02</v>
      </c>
      <c r="J45" s="95">
        <f t="shared" si="70"/>
        <v>9.02</v>
      </c>
      <c r="K45" s="90"/>
      <c r="L45" s="162" t="s">
        <v>17</v>
      </c>
      <c r="M45" s="108">
        <v>1</v>
      </c>
      <c r="N45" s="169">
        <v>13.03</v>
      </c>
      <c r="O45" s="168">
        <v>2.7</v>
      </c>
      <c r="P45" s="92"/>
      <c r="Q45" s="92"/>
      <c r="R45" s="108">
        <f t="shared" si="2"/>
        <v>35.180999999999997</v>
      </c>
      <c r="S45" s="110"/>
      <c r="T45" s="95" t="s">
        <v>17</v>
      </c>
      <c r="U45" s="163">
        <f t="shared" si="67"/>
        <v>13.03</v>
      </c>
      <c r="V45" s="90"/>
      <c r="W45" s="162" t="s">
        <v>17</v>
      </c>
      <c r="X45" s="95" t="str">
        <f t="shared" si="71"/>
        <v>cad</v>
      </c>
      <c r="Y45" s="95" t="str">
        <f t="shared" si="72"/>
        <v>cad</v>
      </c>
      <c r="Z45" s="108">
        <f t="shared" si="62"/>
        <v>9.02</v>
      </c>
      <c r="AA45" s="108"/>
      <c r="AB45" s="108">
        <f t="shared" si="73"/>
        <v>9.02</v>
      </c>
      <c r="AC45" s="108">
        <f t="shared" si="74"/>
        <v>9.02</v>
      </c>
      <c r="AD45" s="110"/>
      <c r="AE45" s="92" t="s">
        <v>357</v>
      </c>
      <c r="AF45" s="108">
        <f t="shared" si="80"/>
        <v>13.03</v>
      </c>
    </row>
    <row r="46" spans="1:32" s="11" customFormat="1" ht="14.4">
      <c r="A46" s="18"/>
      <c r="B46" s="167" t="s">
        <v>464</v>
      </c>
      <c r="C46" s="95" t="s">
        <v>17</v>
      </c>
      <c r="D46" s="95">
        <v>1</v>
      </c>
      <c r="E46" s="95" t="s">
        <v>57</v>
      </c>
      <c r="F46" s="95" t="s">
        <v>57</v>
      </c>
      <c r="G46" s="168">
        <v>8.2799999999999994</v>
      </c>
      <c r="H46" s="118"/>
      <c r="I46" s="95">
        <f t="shared" si="69"/>
        <v>8.2799999999999994</v>
      </c>
      <c r="J46" s="95">
        <f t="shared" si="70"/>
        <v>8.2799999999999994</v>
      </c>
      <c r="K46" s="90"/>
      <c r="L46" s="162" t="s">
        <v>17</v>
      </c>
      <c r="M46" s="108">
        <v>1</v>
      </c>
      <c r="N46" s="169">
        <v>11.93</v>
      </c>
      <c r="O46" s="168">
        <v>2.7</v>
      </c>
      <c r="P46" s="92"/>
      <c r="Q46" s="92"/>
      <c r="R46" s="108">
        <f t="shared" si="2"/>
        <v>32.210999999999999</v>
      </c>
      <c r="S46" s="110"/>
      <c r="T46" s="95" t="s">
        <v>17</v>
      </c>
      <c r="U46" s="163">
        <f t="shared" si="67"/>
        <v>11.93</v>
      </c>
      <c r="V46" s="90"/>
      <c r="W46" s="162" t="s">
        <v>17</v>
      </c>
      <c r="X46" s="95" t="str">
        <f t="shared" si="71"/>
        <v>cad</v>
      </c>
      <c r="Y46" s="95" t="str">
        <f t="shared" si="72"/>
        <v>cad</v>
      </c>
      <c r="Z46" s="108">
        <f t="shared" si="62"/>
        <v>8.2799999999999994</v>
      </c>
      <c r="AA46" s="108"/>
      <c r="AB46" s="108">
        <f t="shared" si="73"/>
        <v>8.2799999999999994</v>
      </c>
      <c r="AC46" s="108">
        <f t="shared" si="74"/>
        <v>8.2799999999999994</v>
      </c>
      <c r="AD46" s="110"/>
      <c r="AE46" s="92" t="s">
        <v>357</v>
      </c>
      <c r="AF46" s="108">
        <f t="shared" si="80"/>
        <v>11.93</v>
      </c>
    </row>
    <row r="47" spans="1:32" s="11" customFormat="1" ht="15.75" customHeight="1">
      <c r="A47" s="18"/>
      <c r="B47" s="161" t="s">
        <v>226</v>
      </c>
      <c r="C47" s="95" t="s">
        <v>17</v>
      </c>
      <c r="D47" s="95">
        <v>1</v>
      </c>
      <c r="E47" s="95" t="s">
        <v>57</v>
      </c>
      <c r="F47" s="95" t="s">
        <v>57</v>
      </c>
      <c r="G47" s="123">
        <v>8.11</v>
      </c>
      <c r="H47" s="118"/>
      <c r="I47" s="95">
        <f t="shared" si="0"/>
        <v>8.11</v>
      </c>
      <c r="J47" s="95">
        <f t="shared" si="1"/>
        <v>8.11</v>
      </c>
      <c r="K47" s="90"/>
      <c r="L47" s="162" t="s">
        <v>17</v>
      </c>
      <c r="M47" s="108">
        <v>1</v>
      </c>
      <c r="N47" s="145">
        <v>11.9</v>
      </c>
      <c r="O47" s="123">
        <v>2.7</v>
      </c>
      <c r="P47" s="92"/>
      <c r="Q47" s="92"/>
      <c r="R47" s="108">
        <f t="shared" si="2"/>
        <v>32.130000000000003</v>
      </c>
      <c r="S47" s="110"/>
      <c r="T47" s="108" t="s">
        <v>17</v>
      </c>
      <c r="U47" s="163">
        <f t="shared" si="67"/>
        <v>11.9</v>
      </c>
      <c r="V47" s="90"/>
      <c r="W47" s="162" t="s">
        <v>17</v>
      </c>
      <c r="X47" s="95" t="str">
        <f t="shared" si="60"/>
        <v>cad</v>
      </c>
      <c r="Y47" s="95" t="str">
        <f t="shared" si="61"/>
        <v>cad</v>
      </c>
      <c r="Z47" s="108">
        <f>G47</f>
        <v>8.11</v>
      </c>
      <c r="AA47" s="108">
        <f t="shared" si="63"/>
        <v>0</v>
      </c>
      <c r="AB47" s="108">
        <f t="shared" si="64"/>
        <v>8.11</v>
      </c>
      <c r="AC47" s="108">
        <f t="shared" si="8"/>
        <v>8.11</v>
      </c>
      <c r="AD47" s="110"/>
      <c r="AE47" s="92" t="s">
        <v>357</v>
      </c>
      <c r="AF47" s="108">
        <f t="shared" si="68"/>
        <v>11.9</v>
      </c>
    </row>
    <row r="48" spans="1:32" s="11" customFormat="1" ht="15.75" customHeight="1">
      <c r="A48" s="18"/>
      <c r="B48" s="167" t="s">
        <v>451</v>
      </c>
      <c r="C48" s="95" t="s">
        <v>17</v>
      </c>
      <c r="D48" s="95">
        <v>1</v>
      </c>
      <c r="E48" s="95" t="s">
        <v>57</v>
      </c>
      <c r="F48" s="95" t="s">
        <v>57</v>
      </c>
      <c r="G48" s="168">
        <v>13.21</v>
      </c>
      <c r="H48" s="118"/>
      <c r="I48" s="95">
        <f t="shared" ref="I48" si="81">(G48-H48)</f>
        <v>13.21</v>
      </c>
      <c r="J48" s="95">
        <f t="shared" ref="J48" si="82">I48*D48</f>
        <v>13.21</v>
      </c>
      <c r="K48" s="90"/>
      <c r="L48" s="162" t="s">
        <v>17</v>
      </c>
      <c r="M48" s="108">
        <v>1</v>
      </c>
      <c r="N48" s="169">
        <v>15.89</v>
      </c>
      <c r="O48" s="168">
        <v>2.7</v>
      </c>
      <c r="P48" s="92"/>
      <c r="Q48" s="92"/>
      <c r="R48" s="108">
        <f t="shared" si="2"/>
        <v>42.903000000000006</v>
      </c>
      <c r="S48" s="110"/>
      <c r="T48" s="108" t="s">
        <v>17</v>
      </c>
      <c r="U48" s="163">
        <f t="shared" si="67"/>
        <v>15.89</v>
      </c>
      <c r="V48" s="90"/>
      <c r="W48" s="162" t="s">
        <v>17</v>
      </c>
      <c r="X48" s="95" t="str">
        <f t="shared" ref="X48" si="83">E48</f>
        <v>cad</v>
      </c>
      <c r="Y48" s="95" t="str">
        <f t="shared" ref="Y48" si="84">F48</f>
        <v>cad</v>
      </c>
      <c r="Z48" s="108">
        <f>G48</f>
        <v>13.21</v>
      </c>
      <c r="AA48" s="108"/>
      <c r="AB48" s="108">
        <f t="shared" ref="AB48" si="85">I48</f>
        <v>13.21</v>
      </c>
      <c r="AC48" s="108">
        <f t="shared" ref="AC48" si="86">J48</f>
        <v>13.21</v>
      </c>
      <c r="AD48" s="110"/>
      <c r="AE48" s="92" t="s">
        <v>357</v>
      </c>
      <c r="AF48" s="108">
        <f t="shared" si="68"/>
        <v>15.89</v>
      </c>
    </row>
    <row r="49" spans="1:32" s="11" customFormat="1" ht="15.75" customHeight="1">
      <c r="A49" s="18"/>
      <c r="B49" s="167" t="s">
        <v>452</v>
      </c>
      <c r="C49" s="95" t="s">
        <v>20</v>
      </c>
      <c r="D49" s="168">
        <v>2</v>
      </c>
      <c r="E49" s="95" t="s">
        <v>57</v>
      </c>
      <c r="F49" s="95" t="s">
        <v>57</v>
      </c>
      <c r="G49" s="168">
        <v>3.37</v>
      </c>
      <c r="H49" s="118"/>
      <c r="I49" s="95">
        <f t="shared" si="0"/>
        <v>3.37</v>
      </c>
      <c r="J49" s="95">
        <f t="shared" si="1"/>
        <v>6.74</v>
      </c>
      <c r="K49" s="90"/>
      <c r="L49" s="162" t="s">
        <v>18</v>
      </c>
      <c r="M49" s="108">
        <v>2</v>
      </c>
      <c r="N49" s="169">
        <v>7.5</v>
      </c>
      <c r="O49" s="168">
        <v>2.7</v>
      </c>
      <c r="P49" s="92"/>
      <c r="Q49" s="92"/>
      <c r="R49" s="108">
        <f t="shared" si="2"/>
        <v>40.5</v>
      </c>
      <c r="S49" s="110"/>
      <c r="T49" s="108" t="s">
        <v>18</v>
      </c>
      <c r="U49" s="163">
        <f t="shared" ref="U49:U51" si="87">N49*M49</f>
        <v>15</v>
      </c>
      <c r="V49" s="90"/>
      <c r="W49" s="162" t="s">
        <v>18</v>
      </c>
      <c r="X49" s="95" t="str">
        <f t="shared" si="60"/>
        <v>cad</v>
      </c>
      <c r="Y49" s="95" t="str">
        <f t="shared" si="61"/>
        <v>cad</v>
      </c>
      <c r="Z49" s="108">
        <f t="shared" si="62"/>
        <v>3.37</v>
      </c>
      <c r="AA49" s="108">
        <f t="shared" si="63"/>
        <v>0</v>
      </c>
      <c r="AB49" s="108">
        <f t="shared" si="64"/>
        <v>3.37</v>
      </c>
      <c r="AC49" s="108">
        <f t="shared" si="8"/>
        <v>6.74</v>
      </c>
      <c r="AD49" s="110"/>
      <c r="AE49" s="92" t="s">
        <v>357</v>
      </c>
      <c r="AF49" s="108">
        <f>N49*M49</f>
        <v>15</v>
      </c>
    </row>
    <row r="50" spans="1:32" s="11" customFormat="1" ht="15.75" customHeight="1">
      <c r="A50" s="18"/>
      <c r="B50" s="161" t="s">
        <v>227</v>
      </c>
      <c r="C50" s="95" t="s">
        <v>20</v>
      </c>
      <c r="D50" s="95">
        <v>1</v>
      </c>
      <c r="E50" s="95" t="s">
        <v>57</v>
      </c>
      <c r="F50" s="95" t="s">
        <v>57</v>
      </c>
      <c r="G50" s="95">
        <v>3.37</v>
      </c>
      <c r="H50" s="118"/>
      <c r="I50" s="95">
        <f t="shared" ref="I50" si="88">(G50-H50)</f>
        <v>3.37</v>
      </c>
      <c r="J50" s="95">
        <f t="shared" ref="J50" si="89">I50*D50</f>
        <v>3.37</v>
      </c>
      <c r="K50" s="90"/>
      <c r="L50" s="162" t="s">
        <v>18</v>
      </c>
      <c r="M50" s="108">
        <v>1</v>
      </c>
      <c r="N50" s="95">
        <v>7.5</v>
      </c>
      <c r="O50" s="123">
        <v>2.7</v>
      </c>
      <c r="P50" s="92"/>
      <c r="Q50" s="92"/>
      <c r="R50" s="108">
        <f t="shared" si="2"/>
        <v>20.25</v>
      </c>
      <c r="S50" s="110"/>
      <c r="T50" s="108" t="s">
        <v>18</v>
      </c>
      <c r="U50" s="163">
        <f t="shared" si="87"/>
        <v>7.5</v>
      </c>
      <c r="V50" s="90"/>
      <c r="W50" s="162" t="s">
        <v>18</v>
      </c>
      <c r="X50" s="95" t="str">
        <f t="shared" ref="X50:X51" si="90">E50</f>
        <v>cad</v>
      </c>
      <c r="Y50" s="95" t="str">
        <f t="shared" ref="Y50:Y51" si="91">F50</f>
        <v>cad</v>
      </c>
      <c r="Z50" s="108">
        <f t="shared" ref="Z50:Z51" si="92">G50</f>
        <v>3.37</v>
      </c>
      <c r="AA50" s="108"/>
      <c r="AB50" s="108">
        <f t="shared" ref="AB50" si="93">I50</f>
        <v>3.37</v>
      </c>
      <c r="AC50" s="108">
        <f t="shared" ref="AC50" si="94">J50</f>
        <v>3.37</v>
      </c>
      <c r="AD50" s="110"/>
      <c r="AE50" s="92" t="s">
        <v>357</v>
      </c>
      <c r="AF50" s="108">
        <f t="shared" ref="AF50:AF64" si="95">N50*M50</f>
        <v>7.5</v>
      </c>
    </row>
    <row r="51" spans="1:32" s="11" customFormat="1" ht="15.75" customHeight="1">
      <c r="A51" s="18"/>
      <c r="B51" s="167" t="s">
        <v>154</v>
      </c>
      <c r="C51" s="95" t="s">
        <v>17</v>
      </c>
      <c r="D51" s="95">
        <v>1</v>
      </c>
      <c r="E51" s="95" t="s">
        <v>57</v>
      </c>
      <c r="F51" s="95" t="s">
        <v>57</v>
      </c>
      <c r="G51" s="168">
        <v>3.6</v>
      </c>
      <c r="H51" s="118"/>
      <c r="I51" s="95">
        <f t="shared" ref="I51" si="96">(G51-H51)</f>
        <v>3.6</v>
      </c>
      <c r="J51" s="95">
        <f t="shared" ref="J51" si="97">I51*D51</f>
        <v>3.6</v>
      </c>
      <c r="K51" s="90"/>
      <c r="L51" s="162" t="s">
        <v>17</v>
      </c>
      <c r="M51" s="108">
        <v>1</v>
      </c>
      <c r="N51" s="168">
        <f>7.8-1.5</f>
        <v>6.3</v>
      </c>
      <c r="O51" s="168">
        <v>3</v>
      </c>
      <c r="P51" s="92"/>
      <c r="Q51" s="92"/>
      <c r="R51" s="108">
        <f t="shared" si="2"/>
        <v>18.899999999999999</v>
      </c>
      <c r="S51" s="110"/>
      <c r="T51" s="108" t="s">
        <v>17</v>
      </c>
      <c r="U51" s="163">
        <f t="shared" si="87"/>
        <v>6.3</v>
      </c>
      <c r="V51" s="90"/>
      <c r="W51" s="162" t="s">
        <v>17</v>
      </c>
      <c r="X51" s="95" t="str">
        <f t="shared" si="90"/>
        <v>cad</v>
      </c>
      <c r="Y51" s="95" t="str">
        <f t="shared" si="91"/>
        <v>cad</v>
      </c>
      <c r="Z51" s="108">
        <f t="shared" si="92"/>
        <v>3.6</v>
      </c>
      <c r="AA51" s="108"/>
      <c r="AB51" s="108">
        <f t="shared" ref="AB51" si="98">I51</f>
        <v>3.6</v>
      </c>
      <c r="AC51" s="108">
        <f t="shared" ref="AC51" si="99">J51</f>
        <v>3.6</v>
      </c>
      <c r="AD51" s="110"/>
      <c r="AE51" s="92" t="s">
        <v>357</v>
      </c>
      <c r="AF51" s="108">
        <f t="shared" ref="AF51" si="100">N51*M51</f>
        <v>6.3</v>
      </c>
    </row>
    <row r="52" spans="1:32" s="11" customFormat="1" ht="15.75" customHeight="1">
      <c r="A52" s="18"/>
      <c r="B52" s="161" t="s">
        <v>228</v>
      </c>
      <c r="C52" s="95" t="s">
        <v>17</v>
      </c>
      <c r="D52" s="95">
        <v>1</v>
      </c>
      <c r="E52" s="95" t="s">
        <v>57</v>
      </c>
      <c r="F52" s="95" t="s">
        <v>57</v>
      </c>
      <c r="G52" s="123">
        <v>5.1100000000000003</v>
      </c>
      <c r="H52" s="118"/>
      <c r="I52" s="95">
        <f t="shared" ref="I52" si="101">(G52-H52)</f>
        <v>5.1100000000000003</v>
      </c>
      <c r="J52" s="95">
        <f t="shared" ref="J52" si="102">I52*D52</f>
        <v>5.1100000000000003</v>
      </c>
      <c r="K52" s="90"/>
      <c r="L52" s="162" t="s">
        <v>17</v>
      </c>
      <c r="M52" s="108">
        <v>1</v>
      </c>
      <c r="N52" s="145">
        <v>8.9499999999999993</v>
      </c>
      <c r="O52" s="123">
        <v>2.7</v>
      </c>
      <c r="P52" s="92"/>
      <c r="Q52" s="92"/>
      <c r="R52" s="108">
        <f t="shared" ref="R52" si="103">(N52*O52-P52)*M52</f>
        <v>24.164999999999999</v>
      </c>
      <c r="S52" s="110"/>
      <c r="T52" s="108" t="s">
        <v>17</v>
      </c>
      <c r="U52" s="163">
        <f t="shared" ref="U52" si="104">N52*M52</f>
        <v>8.9499999999999993</v>
      </c>
      <c r="V52" s="90"/>
      <c r="W52" s="162" t="s">
        <v>17</v>
      </c>
      <c r="X52" s="95" t="str">
        <f t="shared" ref="X52" si="105">E52</f>
        <v>cad</v>
      </c>
      <c r="Y52" s="95" t="str">
        <f t="shared" ref="Y52" si="106">F52</f>
        <v>cad</v>
      </c>
      <c r="Z52" s="108">
        <f t="shared" ref="Z52" si="107">G52</f>
        <v>5.1100000000000003</v>
      </c>
      <c r="AA52" s="108">
        <f t="shared" ref="AA52" si="108">H52</f>
        <v>0</v>
      </c>
      <c r="AB52" s="108">
        <f t="shared" ref="AB52" si="109">I52</f>
        <v>5.1100000000000003</v>
      </c>
      <c r="AC52" s="108">
        <f t="shared" si="8"/>
        <v>5.1100000000000003</v>
      </c>
      <c r="AD52" s="110"/>
      <c r="AE52" s="92" t="s">
        <v>357</v>
      </c>
      <c r="AF52" s="108">
        <f t="shared" si="95"/>
        <v>8.9499999999999993</v>
      </c>
    </row>
    <row r="53" spans="1:32" s="11" customFormat="1" ht="15.75" customHeight="1">
      <c r="A53" s="18"/>
      <c r="B53" s="161" t="s">
        <v>157</v>
      </c>
      <c r="C53" s="318" t="s">
        <v>17</v>
      </c>
      <c r="D53" s="95">
        <v>1</v>
      </c>
      <c r="E53" s="95" t="s">
        <v>57</v>
      </c>
      <c r="F53" s="95" t="s">
        <v>57</v>
      </c>
      <c r="G53" s="123">
        <v>37.92</v>
      </c>
      <c r="H53" s="118"/>
      <c r="I53" s="95">
        <f t="shared" si="0"/>
        <v>37.92</v>
      </c>
      <c r="J53" s="95">
        <f t="shared" si="1"/>
        <v>37.92</v>
      </c>
      <c r="K53" s="90"/>
      <c r="L53" s="162" t="s">
        <v>17</v>
      </c>
      <c r="M53" s="108">
        <v>1</v>
      </c>
      <c r="N53" s="145">
        <v>32.28</v>
      </c>
      <c r="O53" s="123">
        <v>2.7</v>
      </c>
      <c r="P53" s="92"/>
      <c r="Q53" s="92"/>
      <c r="R53" s="108">
        <f t="shared" si="2"/>
        <v>87.156000000000006</v>
      </c>
      <c r="S53" s="110"/>
      <c r="T53" s="108" t="s">
        <v>21</v>
      </c>
      <c r="U53" s="163">
        <f>N53*M53</f>
        <v>32.28</v>
      </c>
      <c r="V53" s="90"/>
      <c r="W53" s="162" t="s">
        <v>17</v>
      </c>
      <c r="X53" s="95" t="str">
        <f t="shared" si="60"/>
        <v>cad</v>
      </c>
      <c r="Y53" s="95" t="str">
        <f t="shared" si="61"/>
        <v>cad</v>
      </c>
      <c r="Z53" s="108">
        <f t="shared" si="62"/>
        <v>37.92</v>
      </c>
      <c r="AA53" s="108">
        <f t="shared" si="63"/>
        <v>0</v>
      </c>
      <c r="AB53" s="108">
        <f t="shared" si="64"/>
        <v>37.92</v>
      </c>
      <c r="AC53" s="108">
        <f t="shared" si="8"/>
        <v>37.92</v>
      </c>
      <c r="AD53" s="110"/>
      <c r="AE53" s="92" t="s">
        <v>17</v>
      </c>
      <c r="AF53" s="108">
        <f t="shared" si="95"/>
        <v>32.28</v>
      </c>
    </row>
    <row r="54" spans="1:32" s="11" customFormat="1" ht="15.75" customHeight="1">
      <c r="A54" s="18"/>
      <c r="B54" s="161"/>
      <c r="C54" s="95"/>
      <c r="D54" s="95"/>
      <c r="E54" s="95"/>
      <c r="F54" s="95"/>
      <c r="G54" s="141"/>
      <c r="H54" s="118"/>
      <c r="I54" s="95"/>
      <c r="J54" s="95"/>
      <c r="K54" s="90"/>
      <c r="L54" s="162"/>
      <c r="M54" s="108"/>
      <c r="N54" s="95"/>
      <c r="O54" s="95"/>
      <c r="P54" s="92"/>
      <c r="Q54" s="92"/>
      <c r="R54" s="108"/>
      <c r="S54" s="110"/>
      <c r="T54" s="108"/>
      <c r="U54" s="163"/>
      <c r="V54" s="90"/>
      <c r="W54" s="166" t="s">
        <v>19</v>
      </c>
      <c r="X54" s="141">
        <f t="shared" si="60"/>
        <v>0</v>
      </c>
      <c r="Y54" s="141">
        <f t="shared" si="61"/>
        <v>0</v>
      </c>
      <c r="Z54" s="141">
        <v>14.08</v>
      </c>
      <c r="AA54" s="108"/>
      <c r="AB54" s="141">
        <f>Z54</f>
        <v>14.08</v>
      </c>
      <c r="AC54" s="141">
        <f>Z54</f>
        <v>14.08</v>
      </c>
      <c r="AD54" s="110"/>
      <c r="AE54" s="92"/>
      <c r="AF54" s="108"/>
    </row>
    <row r="55" spans="1:32" s="11" customFormat="1" ht="15.75" customHeight="1">
      <c r="A55" s="18"/>
      <c r="B55" s="161" t="s">
        <v>229</v>
      </c>
      <c r="C55" s="95" t="s">
        <v>20</v>
      </c>
      <c r="D55" s="95">
        <v>1</v>
      </c>
      <c r="E55" s="95" t="s">
        <v>57</v>
      </c>
      <c r="F55" s="95" t="s">
        <v>57</v>
      </c>
      <c r="G55" s="123">
        <v>3.59</v>
      </c>
      <c r="H55" s="118"/>
      <c r="I55" s="95">
        <f t="shared" si="0"/>
        <v>3.59</v>
      </c>
      <c r="J55" s="95">
        <f t="shared" si="1"/>
        <v>3.59</v>
      </c>
      <c r="K55" s="90"/>
      <c r="L55" s="162" t="s">
        <v>18</v>
      </c>
      <c r="M55" s="108">
        <v>1</v>
      </c>
      <c r="N55" s="145">
        <v>7.74</v>
      </c>
      <c r="O55" s="123">
        <v>2.7</v>
      </c>
      <c r="P55" s="92"/>
      <c r="Q55" s="92"/>
      <c r="R55" s="108">
        <f t="shared" si="2"/>
        <v>20.898000000000003</v>
      </c>
      <c r="S55" s="110"/>
      <c r="T55" s="108" t="s">
        <v>18</v>
      </c>
      <c r="U55" s="163">
        <f t="shared" ref="U55:U56" si="110">N55*M55</f>
        <v>7.74</v>
      </c>
      <c r="V55" s="90"/>
      <c r="W55" s="162" t="s">
        <v>18</v>
      </c>
      <c r="X55" s="95" t="str">
        <f t="shared" si="60"/>
        <v>cad</v>
      </c>
      <c r="Y55" s="95" t="str">
        <f t="shared" si="61"/>
        <v>cad</v>
      </c>
      <c r="Z55" s="108">
        <f t="shared" si="62"/>
        <v>3.59</v>
      </c>
      <c r="AA55" s="108">
        <f t="shared" si="63"/>
        <v>0</v>
      </c>
      <c r="AB55" s="108">
        <f t="shared" si="64"/>
        <v>3.59</v>
      </c>
      <c r="AC55" s="108">
        <f t="shared" si="8"/>
        <v>3.59</v>
      </c>
      <c r="AD55" s="110"/>
      <c r="AE55" s="92" t="s">
        <v>357</v>
      </c>
      <c r="AF55" s="108">
        <f t="shared" si="95"/>
        <v>7.74</v>
      </c>
    </row>
    <row r="56" spans="1:32" s="11" customFormat="1" ht="15.75" customHeight="1">
      <c r="A56" s="18"/>
      <c r="B56" s="161" t="s">
        <v>230</v>
      </c>
      <c r="C56" s="95" t="s">
        <v>20</v>
      </c>
      <c r="D56" s="95">
        <v>1</v>
      </c>
      <c r="E56" s="95" t="s">
        <v>57</v>
      </c>
      <c r="F56" s="95" t="s">
        <v>57</v>
      </c>
      <c r="G56" s="123">
        <v>3.59</v>
      </c>
      <c r="H56" s="118"/>
      <c r="I56" s="95">
        <f t="shared" si="0"/>
        <v>3.59</v>
      </c>
      <c r="J56" s="95">
        <f t="shared" si="1"/>
        <v>3.59</v>
      </c>
      <c r="K56" s="90"/>
      <c r="L56" s="162" t="s">
        <v>18</v>
      </c>
      <c r="M56" s="108">
        <v>1</v>
      </c>
      <c r="N56" s="145">
        <v>7.74</v>
      </c>
      <c r="O56" s="123">
        <v>2.7</v>
      </c>
      <c r="P56" s="92"/>
      <c r="Q56" s="92"/>
      <c r="R56" s="108">
        <f t="shared" si="2"/>
        <v>20.898000000000003</v>
      </c>
      <c r="S56" s="110"/>
      <c r="T56" s="108" t="s">
        <v>18</v>
      </c>
      <c r="U56" s="163">
        <f t="shared" si="110"/>
        <v>7.74</v>
      </c>
      <c r="V56" s="90"/>
      <c r="W56" s="162" t="s">
        <v>18</v>
      </c>
      <c r="X56" s="95" t="str">
        <f t="shared" si="60"/>
        <v>cad</v>
      </c>
      <c r="Y56" s="95" t="str">
        <f t="shared" si="61"/>
        <v>cad</v>
      </c>
      <c r="Z56" s="108">
        <f t="shared" si="62"/>
        <v>3.59</v>
      </c>
      <c r="AA56" s="108">
        <f t="shared" si="63"/>
        <v>0</v>
      </c>
      <c r="AB56" s="108">
        <f t="shared" si="64"/>
        <v>3.59</v>
      </c>
      <c r="AC56" s="108">
        <f t="shared" si="8"/>
        <v>3.59</v>
      </c>
      <c r="AD56" s="110"/>
      <c r="AE56" s="92" t="s">
        <v>357</v>
      </c>
      <c r="AF56" s="108">
        <f t="shared" si="95"/>
        <v>7.74</v>
      </c>
    </row>
    <row r="57" spans="1:32" s="11" customFormat="1" ht="15.75" customHeight="1">
      <c r="A57" s="18"/>
      <c r="B57" s="161" t="s">
        <v>231</v>
      </c>
      <c r="C57" s="95" t="s">
        <v>17</v>
      </c>
      <c r="D57" s="95">
        <v>1</v>
      </c>
      <c r="E57" s="95" t="s">
        <v>57</v>
      </c>
      <c r="F57" s="95" t="s">
        <v>57</v>
      </c>
      <c r="G57" s="123">
        <v>5.52</v>
      </c>
      <c r="H57" s="118"/>
      <c r="I57" s="95">
        <f t="shared" si="0"/>
        <v>5.52</v>
      </c>
      <c r="J57" s="95">
        <f t="shared" si="1"/>
        <v>5.52</v>
      </c>
      <c r="K57" s="90"/>
      <c r="L57" s="162" t="s">
        <v>20</v>
      </c>
      <c r="M57" s="108">
        <v>1</v>
      </c>
      <c r="N57" s="145">
        <v>10.1</v>
      </c>
      <c r="O57" s="123">
        <v>2.7</v>
      </c>
      <c r="P57" s="92"/>
      <c r="Q57" s="92"/>
      <c r="R57" s="108">
        <f t="shared" si="2"/>
        <v>27.27</v>
      </c>
      <c r="S57" s="110"/>
      <c r="T57" s="108" t="s">
        <v>17</v>
      </c>
      <c r="U57" s="163">
        <f>N57*M57</f>
        <v>10.1</v>
      </c>
      <c r="V57" s="90"/>
      <c r="W57" s="162" t="s">
        <v>17</v>
      </c>
      <c r="X57" s="95" t="str">
        <f t="shared" si="60"/>
        <v>cad</v>
      </c>
      <c r="Y57" s="95" t="str">
        <f t="shared" si="61"/>
        <v>cad</v>
      </c>
      <c r="Z57" s="108">
        <f t="shared" si="62"/>
        <v>5.52</v>
      </c>
      <c r="AA57" s="108">
        <f t="shared" si="63"/>
        <v>0</v>
      </c>
      <c r="AB57" s="108">
        <f t="shared" si="64"/>
        <v>5.52</v>
      </c>
      <c r="AC57" s="108">
        <f t="shared" si="8"/>
        <v>5.52</v>
      </c>
      <c r="AD57" s="110"/>
      <c r="AE57" s="92" t="s">
        <v>357</v>
      </c>
      <c r="AF57" s="108">
        <f t="shared" si="95"/>
        <v>10.1</v>
      </c>
    </row>
    <row r="58" spans="1:32" s="11" customFormat="1" ht="15.75" customHeight="1">
      <c r="A58" s="18"/>
      <c r="B58" s="149" t="s">
        <v>231</v>
      </c>
      <c r="C58" s="95" t="s">
        <v>17</v>
      </c>
      <c r="D58" s="95">
        <v>1</v>
      </c>
      <c r="E58" s="95" t="s">
        <v>57</v>
      </c>
      <c r="F58" s="95" t="s">
        <v>57</v>
      </c>
      <c r="G58" s="95">
        <v>3.41</v>
      </c>
      <c r="H58" s="118"/>
      <c r="I58" s="95">
        <f t="shared" ref="I58" si="111">(G58-H58)</f>
        <v>3.41</v>
      </c>
      <c r="J58" s="95">
        <f t="shared" ref="J58" si="112">I58*D58</f>
        <v>3.41</v>
      </c>
      <c r="K58" s="90"/>
      <c r="L58" s="162" t="s">
        <v>17</v>
      </c>
      <c r="M58" s="108">
        <v>1</v>
      </c>
      <c r="N58" s="145">
        <v>7.42</v>
      </c>
      <c r="O58" s="123">
        <v>2.7</v>
      </c>
      <c r="P58" s="92"/>
      <c r="Q58" s="92"/>
      <c r="R58" s="108">
        <f t="shared" ref="R58:R60" si="113">(N58*O58-P58)*M58</f>
        <v>20.034000000000002</v>
      </c>
      <c r="S58" s="110"/>
      <c r="T58" s="108" t="s">
        <v>17</v>
      </c>
      <c r="U58" s="163">
        <f>N58*M58</f>
        <v>7.42</v>
      </c>
      <c r="V58" s="90"/>
      <c r="W58" s="162" t="s">
        <v>17</v>
      </c>
      <c r="X58" s="95" t="str">
        <f t="shared" ref="X58" si="114">E58</f>
        <v>cad</v>
      </c>
      <c r="Y58" s="95" t="str">
        <f t="shared" ref="Y58" si="115">F58</f>
        <v>cad</v>
      </c>
      <c r="Z58" s="108">
        <f t="shared" ref="Z58:Z59" si="116">G58</f>
        <v>3.41</v>
      </c>
      <c r="AA58" s="108">
        <f t="shared" ref="AA58" si="117">H58</f>
        <v>0</v>
      </c>
      <c r="AB58" s="108">
        <f t="shared" ref="AB58" si="118">I58</f>
        <v>3.41</v>
      </c>
      <c r="AC58" s="108">
        <f t="shared" si="8"/>
        <v>3.41</v>
      </c>
      <c r="AD58" s="110"/>
      <c r="AE58" s="92" t="s">
        <v>357</v>
      </c>
      <c r="AF58" s="108">
        <f t="shared" si="95"/>
        <v>7.42</v>
      </c>
    </row>
    <row r="59" spans="1:32" s="11" customFormat="1" ht="15.75" customHeight="1">
      <c r="A59" s="18"/>
      <c r="B59" s="167" t="s">
        <v>231</v>
      </c>
      <c r="C59" s="95" t="s">
        <v>17</v>
      </c>
      <c r="D59" s="95">
        <v>1</v>
      </c>
      <c r="E59" s="95" t="s">
        <v>57</v>
      </c>
      <c r="F59" s="95" t="s">
        <v>57</v>
      </c>
      <c r="G59" s="168">
        <v>5.69</v>
      </c>
      <c r="H59" s="118"/>
      <c r="I59" s="95">
        <f t="shared" ref="I59" si="119">(G59-H59)</f>
        <v>5.69</v>
      </c>
      <c r="J59" s="95">
        <f t="shared" ref="J59" si="120">I59*D59</f>
        <v>5.69</v>
      </c>
      <c r="K59" s="90"/>
      <c r="L59" s="162" t="s">
        <v>17</v>
      </c>
      <c r="M59" s="108">
        <v>1</v>
      </c>
      <c r="N59" s="169">
        <v>9.6300000000000008</v>
      </c>
      <c r="O59" s="168">
        <v>2.7</v>
      </c>
      <c r="P59" s="92"/>
      <c r="Q59" s="92"/>
      <c r="R59" s="108">
        <f t="shared" si="113"/>
        <v>26.001000000000005</v>
      </c>
      <c r="S59" s="110"/>
      <c r="T59" s="108" t="s">
        <v>17</v>
      </c>
      <c r="U59" s="163">
        <f>N59*M59</f>
        <v>9.6300000000000008</v>
      </c>
      <c r="V59" s="90"/>
      <c r="W59" s="162" t="s">
        <v>17</v>
      </c>
      <c r="X59" s="95" t="str">
        <f t="shared" ref="X59" si="121">E59</f>
        <v>cad</v>
      </c>
      <c r="Y59" s="95" t="str">
        <f t="shared" ref="Y59" si="122">F59</f>
        <v>cad</v>
      </c>
      <c r="Z59" s="108">
        <f t="shared" si="116"/>
        <v>5.69</v>
      </c>
      <c r="AA59" s="108"/>
      <c r="AB59" s="108">
        <f t="shared" ref="AB59" si="123">I59</f>
        <v>5.69</v>
      </c>
      <c r="AC59" s="108">
        <f t="shared" ref="AC59" si="124">J59</f>
        <v>5.69</v>
      </c>
      <c r="AD59" s="110"/>
      <c r="AE59" s="92" t="s">
        <v>357</v>
      </c>
      <c r="AF59" s="108">
        <f t="shared" si="95"/>
        <v>9.6300000000000008</v>
      </c>
    </row>
    <row r="60" spans="1:32" s="11" customFormat="1" ht="15.75" customHeight="1">
      <c r="A60" s="18"/>
      <c r="B60" s="167" t="s">
        <v>465</v>
      </c>
      <c r="C60" s="95" t="s">
        <v>20</v>
      </c>
      <c r="D60" s="95">
        <v>2</v>
      </c>
      <c r="E60" s="95" t="s">
        <v>57</v>
      </c>
      <c r="F60" s="95" t="s">
        <v>57</v>
      </c>
      <c r="G60" s="168">
        <v>6.39</v>
      </c>
      <c r="H60" s="118"/>
      <c r="I60" s="95">
        <f t="shared" ref="I60" si="125">(G60-H60)</f>
        <v>6.39</v>
      </c>
      <c r="J60" s="95">
        <f t="shared" ref="J60" si="126">I60*D60</f>
        <v>12.78</v>
      </c>
      <c r="K60" s="90"/>
      <c r="L60" s="162" t="s">
        <v>18</v>
      </c>
      <c r="M60" s="108">
        <v>2</v>
      </c>
      <c r="N60" s="169">
        <v>8.4</v>
      </c>
      <c r="O60" s="168">
        <v>2.7</v>
      </c>
      <c r="P60" s="92"/>
      <c r="Q60" s="92"/>
      <c r="R60" s="108">
        <f t="shared" si="113"/>
        <v>45.360000000000007</v>
      </c>
      <c r="S60" s="110"/>
      <c r="T60" s="108" t="s">
        <v>18</v>
      </c>
      <c r="U60" s="163">
        <f>N60*M60</f>
        <v>16.8</v>
      </c>
      <c r="V60" s="90"/>
      <c r="W60" s="162" t="s">
        <v>18</v>
      </c>
      <c r="X60" s="95" t="str">
        <f t="shared" ref="X60" si="127">E60</f>
        <v>cad</v>
      </c>
      <c r="Y60" s="95" t="str">
        <f t="shared" ref="Y60" si="128">F60</f>
        <v>cad</v>
      </c>
      <c r="Z60" s="108">
        <f t="shared" ref="Z60" si="129">G60</f>
        <v>6.39</v>
      </c>
      <c r="AA60" s="108"/>
      <c r="AB60" s="108">
        <f t="shared" ref="AB60" si="130">I60</f>
        <v>6.39</v>
      </c>
      <c r="AC60" s="108">
        <f t="shared" ref="AC60" si="131">J60</f>
        <v>12.78</v>
      </c>
      <c r="AD60" s="110"/>
      <c r="AE60" s="92" t="s">
        <v>17</v>
      </c>
      <c r="AF60" s="108">
        <f t="shared" si="95"/>
        <v>16.8</v>
      </c>
    </row>
    <row r="61" spans="1:32" s="11" customFormat="1" ht="15.75" customHeight="1">
      <c r="A61" s="18"/>
      <c r="B61" s="161" t="s">
        <v>232</v>
      </c>
      <c r="C61" s="95" t="s">
        <v>17</v>
      </c>
      <c r="D61" s="95">
        <v>1</v>
      </c>
      <c r="E61" s="95" t="s">
        <v>57</v>
      </c>
      <c r="F61" s="95" t="s">
        <v>57</v>
      </c>
      <c r="G61" s="123">
        <v>6.07</v>
      </c>
      <c r="H61" s="118"/>
      <c r="I61" s="95">
        <f t="shared" si="0"/>
        <v>6.07</v>
      </c>
      <c r="J61" s="95">
        <f t="shared" si="1"/>
        <v>6.07</v>
      </c>
      <c r="K61" s="90"/>
      <c r="L61" s="162" t="s">
        <v>17</v>
      </c>
      <c r="M61" s="108">
        <v>1</v>
      </c>
      <c r="N61" s="145">
        <v>9.89</v>
      </c>
      <c r="O61" s="123">
        <v>2.7</v>
      </c>
      <c r="P61" s="92"/>
      <c r="Q61" s="92"/>
      <c r="R61" s="108">
        <f t="shared" si="2"/>
        <v>26.703000000000003</v>
      </c>
      <c r="S61" s="110"/>
      <c r="T61" s="108" t="s">
        <v>17</v>
      </c>
      <c r="U61" s="163">
        <f>N61*M61</f>
        <v>9.89</v>
      </c>
      <c r="V61" s="90"/>
      <c r="W61" s="162" t="s">
        <v>17</v>
      </c>
      <c r="X61" s="95" t="str">
        <f t="shared" si="60"/>
        <v>cad</v>
      </c>
      <c r="Y61" s="95" t="str">
        <f t="shared" si="61"/>
        <v>cad</v>
      </c>
      <c r="Z61" s="108">
        <f t="shared" si="62"/>
        <v>6.07</v>
      </c>
      <c r="AA61" s="108">
        <f t="shared" si="63"/>
        <v>0</v>
      </c>
      <c r="AB61" s="108">
        <f t="shared" si="64"/>
        <v>6.07</v>
      </c>
      <c r="AC61" s="108">
        <f t="shared" si="8"/>
        <v>6.07</v>
      </c>
      <c r="AD61" s="110"/>
      <c r="AE61" s="92" t="s">
        <v>357</v>
      </c>
      <c r="AF61" s="108">
        <f t="shared" si="95"/>
        <v>9.89</v>
      </c>
    </row>
    <row r="62" spans="1:32" s="11" customFormat="1" ht="15.75" customHeight="1">
      <c r="A62" s="18"/>
      <c r="B62" s="149" t="s">
        <v>233</v>
      </c>
      <c r="C62" s="95" t="s">
        <v>20</v>
      </c>
      <c r="D62" s="95">
        <v>1</v>
      </c>
      <c r="E62" s="95" t="s">
        <v>57</v>
      </c>
      <c r="F62" s="95" t="s">
        <v>57</v>
      </c>
      <c r="G62" s="95">
        <v>3.82</v>
      </c>
      <c r="H62" s="118"/>
      <c r="I62" s="95">
        <f t="shared" ref="I62" si="132">(G62-H62)</f>
        <v>3.82</v>
      </c>
      <c r="J62" s="95">
        <f t="shared" ref="J62" si="133">I62*D62</f>
        <v>3.82</v>
      </c>
      <c r="K62" s="90"/>
      <c r="L62" s="162" t="s">
        <v>18</v>
      </c>
      <c r="M62" s="108">
        <v>1</v>
      </c>
      <c r="N62" s="162">
        <v>7.9</v>
      </c>
      <c r="O62" s="123">
        <v>2.7</v>
      </c>
      <c r="P62" s="92"/>
      <c r="Q62" s="92"/>
      <c r="R62" s="108">
        <f t="shared" ref="R62" si="134">(N62*O62-P62)*M62</f>
        <v>21.330000000000002</v>
      </c>
      <c r="S62" s="110"/>
      <c r="T62" s="108" t="s">
        <v>18</v>
      </c>
      <c r="U62" s="163">
        <f t="shared" ref="U62:U64" si="135">N62*M62</f>
        <v>7.9</v>
      </c>
      <c r="V62" s="90"/>
      <c r="W62" s="162" t="s">
        <v>18</v>
      </c>
      <c r="X62" s="95" t="str">
        <f t="shared" ref="X62" si="136">E62</f>
        <v>cad</v>
      </c>
      <c r="Y62" s="95" t="str">
        <f t="shared" ref="Y62" si="137">F62</f>
        <v>cad</v>
      </c>
      <c r="Z62" s="108">
        <f t="shared" ref="Z62" si="138">G62</f>
        <v>3.82</v>
      </c>
      <c r="AA62" s="108">
        <f t="shared" ref="AA62" si="139">H62</f>
        <v>0</v>
      </c>
      <c r="AB62" s="108">
        <f t="shared" ref="AB62" si="140">I62</f>
        <v>3.82</v>
      </c>
      <c r="AC62" s="108">
        <f t="shared" si="8"/>
        <v>3.82</v>
      </c>
      <c r="AD62" s="110"/>
      <c r="AE62" s="92" t="s">
        <v>366</v>
      </c>
      <c r="AF62" s="108">
        <f t="shared" si="95"/>
        <v>7.9</v>
      </c>
    </row>
    <row r="63" spans="1:32" s="11" customFormat="1" ht="15.75" customHeight="1">
      <c r="A63" s="18"/>
      <c r="B63" s="161" t="s">
        <v>216</v>
      </c>
      <c r="C63" s="95" t="s">
        <v>20</v>
      </c>
      <c r="D63" s="95">
        <v>1</v>
      </c>
      <c r="E63" s="95" t="s">
        <v>57</v>
      </c>
      <c r="F63" s="95" t="s">
        <v>57</v>
      </c>
      <c r="G63" s="123">
        <v>3.11</v>
      </c>
      <c r="H63" s="118"/>
      <c r="I63" s="95">
        <f t="shared" ref="I63" si="141">(G63-H63)</f>
        <v>3.11</v>
      </c>
      <c r="J63" s="95">
        <f t="shared" ref="J63" si="142">I63*D63</f>
        <v>3.11</v>
      </c>
      <c r="K63" s="90"/>
      <c r="L63" s="162" t="s">
        <v>18</v>
      </c>
      <c r="M63" s="108">
        <v>1</v>
      </c>
      <c r="N63" s="145">
        <v>7.05</v>
      </c>
      <c r="O63" s="123">
        <v>2.7</v>
      </c>
      <c r="P63" s="92"/>
      <c r="Q63" s="92"/>
      <c r="R63" s="108">
        <f t="shared" ref="R63" si="143">(N63*O63-P63)*M63</f>
        <v>19.035</v>
      </c>
      <c r="S63" s="110"/>
      <c r="T63" s="108" t="s">
        <v>18</v>
      </c>
      <c r="U63" s="163">
        <f t="shared" si="135"/>
        <v>7.05</v>
      </c>
      <c r="V63" s="90"/>
      <c r="W63" s="162" t="s">
        <v>18</v>
      </c>
      <c r="X63" s="95" t="str">
        <f t="shared" ref="X63" si="144">E63</f>
        <v>cad</v>
      </c>
      <c r="Y63" s="95" t="str">
        <f t="shared" ref="Y63" si="145">F63</f>
        <v>cad</v>
      </c>
      <c r="Z63" s="108">
        <f t="shared" ref="Z63" si="146">G63</f>
        <v>3.11</v>
      </c>
      <c r="AA63" s="108">
        <f t="shared" ref="AA63" si="147">H63</f>
        <v>0</v>
      </c>
      <c r="AB63" s="108">
        <f t="shared" ref="AB63" si="148">I63</f>
        <v>3.11</v>
      </c>
      <c r="AC63" s="108">
        <f t="shared" si="8"/>
        <v>3.11</v>
      </c>
      <c r="AD63" s="110"/>
      <c r="AE63" s="92" t="s">
        <v>357</v>
      </c>
      <c r="AF63" s="108">
        <f t="shared" si="95"/>
        <v>7.05</v>
      </c>
    </row>
    <row r="64" spans="1:32" s="11" customFormat="1" ht="15.75" customHeight="1">
      <c r="A64" s="18"/>
      <c r="B64" s="161" t="s">
        <v>217</v>
      </c>
      <c r="C64" s="95" t="s">
        <v>20</v>
      </c>
      <c r="D64" s="95">
        <v>1</v>
      </c>
      <c r="E64" s="95" t="s">
        <v>57</v>
      </c>
      <c r="F64" s="95" t="s">
        <v>57</v>
      </c>
      <c r="G64" s="123">
        <v>3.11</v>
      </c>
      <c r="H64" s="118"/>
      <c r="I64" s="95">
        <f t="shared" ref="I64" si="149">(G64-H64)</f>
        <v>3.11</v>
      </c>
      <c r="J64" s="95">
        <f t="shared" ref="J64" si="150">I64*D64</f>
        <v>3.11</v>
      </c>
      <c r="K64" s="90"/>
      <c r="L64" s="162" t="s">
        <v>18</v>
      </c>
      <c r="M64" s="108">
        <v>1</v>
      </c>
      <c r="N64" s="145">
        <v>7.05</v>
      </c>
      <c r="O64" s="123">
        <v>2.7</v>
      </c>
      <c r="P64" s="92"/>
      <c r="Q64" s="92"/>
      <c r="R64" s="108">
        <f t="shared" ref="R64" si="151">(N64*O64-P64)*M64</f>
        <v>19.035</v>
      </c>
      <c r="S64" s="110"/>
      <c r="T64" s="108" t="s">
        <v>18</v>
      </c>
      <c r="U64" s="163">
        <f t="shared" si="135"/>
        <v>7.05</v>
      </c>
      <c r="V64" s="90"/>
      <c r="W64" s="162" t="s">
        <v>18</v>
      </c>
      <c r="X64" s="95" t="str">
        <f t="shared" ref="X64" si="152">E64</f>
        <v>cad</v>
      </c>
      <c r="Y64" s="95" t="str">
        <f t="shared" ref="Y64" si="153">F64</f>
        <v>cad</v>
      </c>
      <c r="Z64" s="108">
        <f t="shared" ref="Z64" si="154">G64</f>
        <v>3.11</v>
      </c>
      <c r="AA64" s="108">
        <f t="shared" ref="AA64" si="155">H64</f>
        <v>0</v>
      </c>
      <c r="AB64" s="108">
        <f t="shared" ref="AB64" si="156">I64</f>
        <v>3.11</v>
      </c>
      <c r="AC64" s="108">
        <f t="shared" si="8"/>
        <v>3.11</v>
      </c>
      <c r="AD64" s="110"/>
      <c r="AE64" s="92" t="s">
        <v>357</v>
      </c>
      <c r="AF64" s="108">
        <f t="shared" si="95"/>
        <v>7.05</v>
      </c>
    </row>
    <row r="65" spans="1:32" s="11" customFormat="1" ht="15.75" customHeight="1">
      <c r="A65" s="18"/>
      <c r="B65" s="161" t="s">
        <v>234</v>
      </c>
      <c r="C65" s="95" t="s">
        <v>24</v>
      </c>
      <c r="D65" s="95">
        <v>1</v>
      </c>
      <c r="E65" s="95" t="s">
        <v>57</v>
      </c>
      <c r="F65" s="95" t="s">
        <v>57</v>
      </c>
      <c r="G65" s="123">
        <v>5.4</v>
      </c>
      <c r="H65" s="118"/>
      <c r="I65" s="95">
        <f t="shared" si="0"/>
        <v>5.4</v>
      </c>
      <c r="J65" s="95">
        <f t="shared" si="1"/>
        <v>5.4</v>
      </c>
      <c r="K65" s="90"/>
      <c r="L65" s="162" t="s">
        <v>24</v>
      </c>
      <c r="M65" s="108">
        <v>1</v>
      </c>
      <c r="N65" s="145">
        <v>9.3000000000000007</v>
      </c>
      <c r="O65" s="123">
        <v>3.65</v>
      </c>
      <c r="P65" s="92"/>
      <c r="Q65" s="92"/>
      <c r="R65" s="108">
        <f t="shared" si="2"/>
        <v>33.945</v>
      </c>
      <c r="S65" s="110"/>
      <c r="T65" s="108" t="s">
        <v>20</v>
      </c>
      <c r="U65" s="163">
        <f>N65*M65</f>
        <v>9.3000000000000007</v>
      </c>
      <c r="V65" s="90"/>
      <c r="W65" s="162" t="s">
        <v>20</v>
      </c>
      <c r="X65" s="95" t="str">
        <f t="shared" si="60"/>
        <v>cad</v>
      </c>
      <c r="Y65" s="95" t="str">
        <f t="shared" si="61"/>
        <v>cad</v>
      </c>
      <c r="Z65" s="108">
        <f t="shared" si="62"/>
        <v>5.4</v>
      </c>
      <c r="AA65" s="108">
        <f t="shared" si="63"/>
        <v>0</v>
      </c>
      <c r="AB65" s="108">
        <f t="shared" si="64"/>
        <v>5.4</v>
      </c>
      <c r="AC65" s="108">
        <f t="shared" si="8"/>
        <v>5.4</v>
      </c>
      <c r="AD65" s="110"/>
      <c r="AE65" s="92"/>
      <c r="AF65" s="108"/>
    </row>
    <row r="66" spans="1:32" s="11" customFormat="1" ht="15.75" customHeight="1">
      <c r="A66" s="18"/>
      <c r="B66" s="161" t="s">
        <v>317</v>
      </c>
      <c r="C66" s="318" t="s">
        <v>17</v>
      </c>
      <c r="D66" s="95">
        <v>1</v>
      </c>
      <c r="E66" s="95" t="s">
        <v>57</v>
      </c>
      <c r="F66" s="95" t="s">
        <v>57</v>
      </c>
      <c r="G66" s="123">
        <v>36.590000000000003</v>
      </c>
      <c r="H66" s="118"/>
      <c r="I66" s="95">
        <f t="shared" ref="I66:I95" si="157">(G66-H66)</f>
        <v>36.590000000000003</v>
      </c>
      <c r="J66" s="95">
        <f t="shared" ref="J66:J95" si="158">I66*D66</f>
        <v>36.590000000000003</v>
      </c>
      <c r="K66" s="90"/>
      <c r="L66" s="162" t="s">
        <v>17</v>
      </c>
      <c r="M66" s="108">
        <v>1</v>
      </c>
      <c r="N66" s="145">
        <v>40.200000000000003</v>
      </c>
      <c r="O66" s="123">
        <v>2.7</v>
      </c>
      <c r="P66" s="92"/>
      <c r="Q66" s="92"/>
      <c r="R66" s="108">
        <f t="shared" ref="R66:R95" si="159">(N66*O66-P66)*M66</f>
        <v>108.54000000000002</v>
      </c>
      <c r="S66" s="110"/>
      <c r="T66" s="108" t="s">
        <v>21</v>
      </c>
      <c r="U66" s="163">
        <f>N66*M66</f>
        <v>40.200000000000003</v>
      </c>
      <c r="V66" s="90"/>
      <c r="W66" s="162" t="s">
        <v>17</v>
      </c>
      <c r="X66" s="95" t="str">
        <f t="shared" si="60"/>
        <v>cad</v>
      </c>
      <c r="Y66" s="95" t="str">
        <f t="shared" si="61"/>
        <v>cad</v>
      </c>
      <c r="Z66" s="108">
        <f t="shared" si="62"/>
        <v>36.590000000000003</v>
      </c>
      <c r="AA66" s="108">
        <f t="shared" si="63"/>
        <v>0</v>
      </c>
      <c r="AB66" s="108">
        <f t="shared" si="64"/>
        <v>36.590000000000003</v>
      </c>
      <c r="AC66" s="108">
        <f t="shared" si="8"/>
        <v>36.590000000000003</v>
      </c>
      <c r="AD66" s="110"/>
      <c r="AE66" s="92" t="s">
        <v>357</v>
      </c>
      <c r="AF66" s="108">
        <f t="shared" ref="AF66" si="160">N66*M66</f>
        <v>40.200000000000003</v>
      </c>
    </row>
    <row r="67" spans="1:32" s="11" customFormat="1" ht="15.75" customHeight="1">
      <c r="A67" s="18"/>
      <c r="B67" s="161"/>
      <c r="C67" s="95"/>
      <c r="D67" s="95"/>
      <c r="E67" s="95"/>
      <c r="F67" s="95"/>
      <c r="G67" s="141"/>
      <c r="H67" s="118"/>
      <c r="I67" s="95"/>
      <c r="J67" s="95"/>
      <c r="K67" s="90"/>
      <c r="L67" s="162"/>
      <c r="M67" s="108"/>
      <c r="N67" s="95"/>
      <c r="O67" s="95"/>
      <c r="P67" s="92"/>
      <c r="Q67" s="92"/>
      <c r="R67" s="108"/>
      <c r="S67" s="110"/>
      <c r="T67" s="108"/>
      <c r="U67" s="163"/>
      <c r="V67" s="90"/>
      <c r="W67" s="166" t="s">
        <v>19</v>
      </c>
      <c r="X67" s="141">
        <f t="shared" si="60"/>
        <v>0</v>
      </c>
      <c r="Y67" s="141">
        <f t="shared" si="61"/>
        <v>0</v>
      </c>
      <c r="Z67" s="141">
        <v>16.38</v>
      </c>
      <c r="AA67" s="108"/>
      <c r="AB67" s="141">
        <f>Z67</f>
        <v>16.38</v>
      </c>
      <c r="AC67" s="141">
        <f>Z67</f>
        <v>16.38</v>
      </c>
      <c r="AD67" s="110"/>
      <c r="AE67" s="92"/>
      <c r="AF67" s="108"/>
    </row>
    <row r="68" spans="1:32" s="11" customFormat="1" ht="15.75" customHeight="1">
      <c r="A68" s="18"/>
      <c r="B68" s="161" t="s">
        <v>123</v>
      </c>
      <c r="C68" s="95" t="s">
        <v>337</v>
      </c>
      <c r="D68" s="95">
        <v>1</v>
      </c>
      <c r="E68" s="95" t="s">
        <v>57</v>
      </c>
      <c r="F68" s="95" t="s">
        <v>57</v>
      </c>
      <c r="G68" s="123">
        <v>3.51</v>
      </c>
      <c r="H68" s="118"/>
      <c r="I68" s="95">
        <f>(G68-H68)</f>
        <v>3.51</v>
      </c>
      <c r="J68" s="95">
        <f>I68*D68</f>
        <v>3.51</v>
      </c>
      <c r="K68" s="90"/>
      <c r="L68" s="162" t="s">
        <v>22</v>
      </c>
      <c r="M68" s="108">
        <v>1</v>
      </c>
      <c r="N68" s="145">
        <v>7.55</v>
      </c>
      <c r="O68" s="123">
        <v>2.7</v>
      </c>
      <c r="P68" s="92"/>
      <c r="Q68" s="92"/>
      <c r="R68" s="108">
        <f>(N68*O68-P68)*M68</f>
        <v>20.385000000000002</v>
      </c>
      <c r="S68" s="110"/>
      <c r="T68" s="108"/>
      <c r="U68" s="163"/>
      <c r="V68" s="90"/>
      <c r="W68" s="162" t="s">
        <v>18</v>
      </c>
      <c r="X68" s="95" t="str">
        <f t="shared" ref="X68:AB70" si="161">E68</f>
        <v>cad</v>
      </c>
      <c r="Y68" s="95" t="str">
        <f t="shared" si="161"/>
        <v>cad</v>
      </c>
      <c r="Z68" s="108">
        <f t="shared" si="161"/>
        <v>3.51</v>
      </c>
      <c r="AA68" s="108">
        <f t="shared" si="161"/>
        <v>0</v>
      </c>
      <c r="AB68" s="108">
        <f t="shared" si="161"/>
        <v>3.51</v>
      </c>
      <c r="AC68" s="108">
        <f t="shared" si="8"/>
        <v>3.51</v>
      </c>
      <c r="AD68" s="110"/>
      <c r="AE68" s="92" t="s">
        <v>357</v>
      </c>
      <c r="AF68" s="108">
        <f t="shared" ref="AF68:AF75" si="162">N68*M68</f>
        <v>7.55</v>
      </c>
    </row>
    <row r="69" spans="1:32" s="11" customFormat="1" ht="15.75" customHeight="1">
      <c r="A69" s="18"/>
      <c r="B69" s="161" t="s">
        <v>76</v>
      </c>
      <c r="C69" s="95" t="s">
        <v>337</v>
      </c>
      <c r="D69" s="95">
        <v>1</v>
      </c>
      <c r="E69" s="95" t="s">
        <v>57</v>
      </c>
      <c r="F69" s="95" t="s">
        <v>57</v>
      </c>
      <c r="G69" s="95">
        <v>2.41</v>
      </c>
      <c r="H69" s="118"/>
      <c r="I69" s="95">
        <f>(G69-H69)</f>
        <v>2.41</v>
      </c>
      <c r="J69" s="95">
        <f>I69*D69</f>
        <v>2.41</v>
      </c>
      <c r="K69" s="90"/>
      <c r="L69" s="162" t="s">
        <v>22</v>
      </c>
      <c r="M69" s="108">
        <v>1</v>
      </c>
      <c r="N69" s="145">
        <v>6.42</v>
      </c>
      <c r="O69" s="123">
        <v>2.7</v>
      </c>
      <c r="P69" s="92"/>
      <c r="Q69" s="92"/>
      <c r="R69" s="108">
        <f>(N69*O69-P69)*M69</f>
        <v>17.334</v>
      </c>
      <c r="S69" s="110"/>
      <c r="T69" s="108"/>
      <c r="U69" s="163"/>
      <c r="V69" s="90"/>
      <c r="W69" s="162" t="s">
        <v>18</v>
      </c>
      <c r="X69" s="95" t="str">
        <f t="shared" si="161"/>
        <v>cad</v>
      </c>
      <c r="Y69" s="95" t="str">
        <f t="shared" si="161"/>
        <v>cad</v>
      </c>
      <c r="Z69" s="108">
        <f t="shared" si="161"/>
        <v>2.41</v>
      </c>
      <c r="AA69" s="108">
        <f t="shared" si="161"/>
        <v>0</v>
      </c>
      <c r="AB69" s="108">
        <f t="shared" si="161"/>
        <v>2.41</v>
      </c>
      <c r="AC69" s="108">
        <f t="shared" si="8"/>
        <v>2.41</v>
      </c>
      <c r="AD69" s="110"/>
      <c r="AE69" s="92" t="s">
        <v>357</v>
      </c>
      <c r="AF69" s="108">
        <f t="shared" si="162"/>
        <v>6.42</v>
      </c>
    </row>
    <row r="70" spans="1:32" s="11" customFormat="1" ht="15.75" customHeight="1">
      <c r="A70" s="18"/>
      <c r="B70" s="161" t="s">
        <v>123</v>
      </c>
      <c r="C70" s="95" t="s">
        <v>337</v>
      </c>
      <c r="D70" s="95">
        <v>1</v>
      </c>
      <c r="E70" s="95" t="s">
        <v>57</v>
      </c>
      <c r="F70" s="95" t="s">
        <v>57</v>
      </c>
      <c r="G70" s="123">
        <v>3.71</v>
      </c>
      <c r="H70" s="118"/>
      <c r="I70" s="95">
        <f>(G70-H70)</f>
        <v>3.71</v>
      </c>
      <c r="J70" s="95">
        <f>I70*D70</f>
        <v>3.71</v>
      </c>
      <c r="K70" s="90"/>
      <c r="L70" s="162" t="s">
        <v>22</v>
      </c>
      <c r="M70" s="108">
        <v>1</v>
      </c>
      <c r="N70" s="145">
        <v>7.71</v>
      </c>
      <c r="O70" s="123">
        <v>2.7</v>
      </c>
      <c r="P70" s="92"/>
      <c r="Q70" s="92"/>
      <c r="R70" s="108">
        <f>(N70*O70-P70)*M70</f>
        <v>20.817</v>
      </c>
      <c r="S70" s="110"/>
      <c r="T70" s="108"/>
      <c r="U70" s="163"/>
      <c r="V70" s="90"/>
      <c r="W70" s="162" t="s">
        <v>18</v>
      </c>
      <c r="X70" s="95" t="str">
        <f t="shared" si="161"/>
        <v>cad</v>
      </c>
      <c r="Y70" s="95" t="str">
        <f t="shared" si="161"/>
        <v>cad</v>
      </c>
      <c r="Z70" s="108">
        <f t="shared" si="161"/>
        <v>3.71</v>
      </c>
      <c r="AA70" s="108">
        <f t="shared" si="161"/>
        <v>0</v>
      </c>
      <c r="AB70" s="108">
        <f t="shared" si="161"/>
        <v>3.71</v>
      </c>
      <c r="AC70" s="108">
        <f t="shared" si="8"/>
        <v>3.71</v>
      </c>
      <c r="AD70" s="110"/>
      <c r="AE70" s="92" t="s">
        <v>357</v>
      </c>
      <c r="AF70" s="108">
        <f t="shared" si="162"/>
        <v>7.71</v>
      </c>
    </row>
    <row r="71" spans="1:32" s="11" customFormat="1" ht="15.75" customHeight="1">
      <c r="A71" s="18"/>
      <c r="B71" s="161" t="s">
        <v>235</v>
      </c>
      <c r="C71" s="318" t="s">
        <v>17</v>
      </c>
      <c r="D71" s="95">
        <v>1</v>
      </c>
      <c r="E71" s="95" t="s">
        <v>57</v>
      </c>
      <c r="F71" s="95" t="s">
        <v>57</v>
      </c>
      <c r="G71" s="123">
        <v>27.76</v>
      </c>
      <c r="H71" s="118"/>
      <c r="I71" s="95">
        <f t="shared" si="157"/>
        <v>27.76</v>
      </c>
      <c r="J71" s="95">
        <f t="shared" si="158"/>
        <v>27.76</v>
      </c>
      <c r="K71" s="90"/>
      <c r="L71" s="162" t="s">
        <v>341</v>
      </c>
      <c r="M71" s="108">
        <v>1</v>
      </c>
      <c r="N71" s="145">
        <v>22.15</v>
      </c>
      <c r="O71" s="123">
        <v>3</v>
      </c>
      <c r="P71" s="92"/>
      <c r="Q71" s="92"/>
      <c r="R71" s="108">
        <f t="shared" si="159"/>
        <v>66.449999999999989</v>
      </c>
      <c r="S71" s="110"/>
      <c r="T71" s="108" t="s">
        <v>19</v>
      </c>
      <c r="U71" s="163">
        <f t="shared" ref="U71" si="163">N71*M71</f>
        <v>22.15</v>
      </c>
      <c r="V71" s="90"/>
      <c r="W71" s="162" t="s">
        <v>19</v>
      </c>
      <c r="X71" s="95" t="str">
        <f t="shared" si="60"/>
        <v>cad</v>
      </c>
      <c r="Y71" s="95" t="str">
        <f t="shared" si="61"/>
        <v>cad</v>
      </c>
      <c r="Z71" s="108">
        <f t="shared" si="62"/>
        <v>27.76</v>
      </c>
      <c r="AA71" s="108">
        <f t="shared" si="63"/>
        <v>0</v>
      </c>
      <c r="AB71" s="108">
        <f t="shared" si="64"/>
        <v>27.76</v>
      </c>
      <c r="AC71" s="108">
        <f t="shared" si="8"/>
        <v>27.76</v>
      </c>
      <c r="AD71" s="110"/>
      <c r="AE71" s="92" t="s">
        <v>357</v>
      </c>
      <c r="AF71" s="108">
        <f t="shared" si="162"/>
        <v>22.15</v>
      </c>
    </row>
    <row r="72" spans="1:32" s="11" customFormat="1" ht="15.75" customHeight="1">
      <c r="A72" s="18"/>
      <c r="B72" s="167" t="s">
        <v>459</v>
      </c>
      <c r="C72" s="318" t="s">
        <v>17</v>
      </c>
      <c r="D72" s="95">
        <v>1</v>
      </c>
      <c r="E72" s="95" t="s">
        <v>57</v>
      </c>
      <c r="F72" s="95" t="s">
        <v>57</v>
      </c>
      <c r="G72" s="168">
        <v>30.52</v>
      </c>
      <c r="H72" s="118"/>
      <c r="I72" s="95">
        <f t="shared" ref="I72" si="164">(G72-H72)</f>
        <v>30.52</v>
      </c>
      <c r="J72" s="95">
        <f t="shared" ref="J72" si="165">I72*D72</f>
        <v>30.52</v>
      </c>
      <c r="K72" s="90"/>
      <c r="L72" s="162" t="s">
        <v>341</v>
      </c>
      <c r="M72" s="108">
        <v>1</v>
      </c>
      <c r="N72" s="169">
        <v>22.98</v>
      </c>
      <c r="O72" s="168">
        <v>3</v>
      </c>
      <c r="P72" s="92"/>
      <c r="Q72" s="92"/>
      <c r="R72" s="108">
        <f t="shared" si="159"/>
        <v>68.94</v>
      </c>
      <c r="S72" s="110"/>
      <c r="T72" s="108" t="s">
        <v>19</v>
      </c>
      <c r="U72" s="163">
        <f t="shared" ref="U72" si="166">N72*M72</f>
        <v>22.98</v>
      </c>
      <c r="V72" s="90"/>
      <c r="W72" s="162" t="s">
        <v>19</v>
      </c>
      <c r="X72" s="95" t="str">
        <f t="shared" ref="X72" si="167">E72</f>
        <v>cad</v>
      </c>
      <c r="Y72" s="95" t="str">
        <f t="shared" ref="Y72" si="168">F72</f>
        <v>cad</v>
      </c>
      <c r="Z72" s="108">
        <f t="shared" si="62"/>
        <v>30.52</v>
      </c>
      <c r="AA72" s="108"/>
      <c r="AB72" s="108">
        <f t="shared" ref="AB72" si="169">I72</f>
        <v>30.52</v>
      </c>
      <c r="AC72" s="108">
        <f t="shared" ref="AC72" si="170">J72</f>
        <v>30.52</v>
      </c>
      <c r="AD72" s="110"/>
      <c r="AE72" s="92"/>
      <c r="AF72" s="108"/>
    </row>
    <row r="73" spans="1:32" s="11" customFormat="1" ht="15.75" customHeight="1">
      <c r="A73" s="18"/>
      <c r="B73" s="167" t="s">
        <v>240</v>
      </c>
      <c r="C73" s="318" t="s">
        <v>17</v>
      </c>
      <c r="D73" s="95">
        <v>1</v>
      </c>
      <c r="E73" s="95" t="s">
        <v>57</v>
      </c>
      <c r="F73" s="95" t="s">
        <v>57</v>
      </c>
      <c r="G73" s="168">
        <v>34.93</v>
      </c>
      <c r="H73" s="118"/>
      <c r="I73" s="95">
        <f t="shared" ref="I73" si="171">(G73-H73)</f>
        <v>34.93</v>
      </c>
      <c r="J73" s="95">
        <f t="shared" ref="J73" si="172">I73*D73</f>
        <v>34.93</v>
      </c>
      <c r="K73" s="90"/>
      <c r="L73" s="162" t="s">
        <v>341</v>
      </c>
      <c r="M73" s="108">
        <v>1</v>
      </c>
      <c r="N73" s="169">
        <v>28.58</v>
      </c>
      <c r="O73" s="168">
        <v>2.7</v>
      </c>
      <c r="P73" s="92"/>
      <c r="Q73" s="92"/>
      <c r="R73" s="108">
        <f t="shared" si="159"/>
        <v>77.165999999999997</v>
      </c>
      <c r="S73" s="110"/>
      <c r="T73" s="108" t="s">
        <v>19</v>
      </c>
      <c r="U73" s="163">
        <f t="shared" ref="U73" si="173">N73*M73</f>
        <v>28.58</v>
      </c>
      <c r="V73" s="90"/>
      <c r="W73" s="162" t="s">
        <v>19</v>
      </c>
      <c r="X73" s="95" t="str">
        <f t="shared" ref="X73:X74" si="174">E73</f>
        <v>cad</v>
      </c>
      <c r="Y73" s="95" t="str">
        <f t="shared" ref="Y73:Y74" si="175">F73</f>
        <v>cad</v>
      </c>
      <c r="Z73" s="108">
        <f t="shared" ref="Z73:Z74" si="176">G73</f>
        <v>34.93</v>
      </c>
      <c r="AA73" s="108"/>
      <c r="AB73" s="108">
        <f t="shared" ref="AB73:AB74" si="177">I73</f>
        <v>34.93</v>
      </c>
      <c r="AC73" s="108">
        <f t="shared" ref="AC73:AC74" si="178">J73</f>
        <v>34.93</v>
      </c>
      <c r="AD73" s="110"/>
      <c r="AE73" s="92"/>
      <c r="AF73" s="108"/>
    </row>
    <row r="74" spans="1:32" s="11" customFormat="1" ht="15.75" customHeight="1">
      <c r="A74" s="18"/>
      <c r="B74" s="167" t="s">
        <v>92</v>
      </c>
      <c r="C74" s="318" t="s">
        <v>17</v>
      </c>
      <c r="D74" s="95">
        <v>1</v>
      </c>
      <c r="E74" s="95" t="s">
        <v>57</v>
      </c>
      <c r="F74" s="95" t="s">
        <v>57</v>
      </c>
      <c r="G74" s="168">
        <v>7.16</v>
      </c>
      <c r="H74" s="118"/>
      <c r="I74" s="95">
        <f t="shared" ref="I74" si="179">(G74-H74)</f>
        <v>7.16</v>
      </c>
      <c r="J74" s="95">
        <f t="shared" ref="J74" si="180">I74*D74</f>
        <v>7.16</v>
      </c>
      <c r="K74" s="90"/>
      <c r="L74" s="162" t="s">
        <v>341</v>
      </c>
      <c r="M74" s="108">
        <v>1</v>
      </c>
      <c r="N74" s="169">
        <v>10.73</v>
      </c>
      <c r="O74" s="168">
        <v>2.7</v>
      </c>
      <c r="P74" s="92"/>
      <c r="Q74" s="92"/>
      <c r="R74" s="108">
        <f t="shared" si="159"/>
        <v>28.971000000000004</v>
      </c>
      <c r="S74" s="110"/>
      <c r="T74" s="108" t="s">
        <v>19</v>
      </c>
      <c r="U74" s="163">
        <f t="shared" ref="U74:U78" si="181">N74*M74</f>
        <v>10.73</v>
      </c>
      <c r="V74" s="90"/>
      <c r="W74" s="162" t="s">
        <v>17</v>
      </c>
      <c r="X74" s="95" t="str">
        <f t="shared" si="174"/>
        <v>cad</v>
      </c>
      <c r="Y74" s="95" t="str">
        <f t="shared" si="175"/>
        <v>cad</v>
      </c>
      <c r="Z74" s="108">
        <f t="shared" si="176"/>
        <v>7.16</v>
      </c>
      <c r="AA74" s="108">
        <f t="shared" ref="AA74" si="182">H74</f>
        <v>0</v>
      </c>
      <c r="AB74" s="108">
        <f t="shared" si="177"/>
        <v>7.16</v>
      </c>
      <c r="AC74" s="108">
        <f t="shared" si="178"/>
        <v>7.16</v>
      </c>
      <c r="AD74" s="110"/>
      <c r="AE74" s="92" t="s">
        <v>357</v>
      </c>
      <c r="AF74" s="108">
        <f t="shared" ref="AF74" si="183">N74*M74</f>
        <v>10.73</v>
      </c>
    </row>
    <row r="75" spans="1:32" s="11" customFormat="1" ht="15.75" customHeight="1">
      <c r="A75" s="18"/>
      <c r="B75" s="161" t="s">
        <v>92</v>
      </c>
      <c r="C75" s="318" t="s">
        <v>17</v>
      </c>
      <c r="D75" s="95">
        <v>1</v>
      </c>
      <c r="E75" s="95" t="s">
        <v>57</v>
      </c>
      <c r="F75" s="95" t="s">
        <v>57</v>
      </c>
      <c r="G75" s="123">
        <v>11.93</v>
      </c>
      <c r="H75" s="118"/>
      <c r="I75" s="95">
        <f t="shared" si="157"/>
        <v>11.93</v>
      </c>
      <c r="J75" s="95">
        <f t="shared" si="158"/>
        <v>11.93</v>
      </c>
      <c r="K75" s="90"/>
      <c r="L75" s="162" t="s">
        <v>19</v>
      </c>
      <c r="M75" s="108">
        <v>1</v>
      </c>
      <c r="N75" s="145">
        <v>15.77</v>
      </c>
      <c r="O75" s="123">
        <v>2.7</v>
      </c>
      <c r="P75" s="92"/>
      <c r="Q75" s="92"/>
      <c r="R75" s="108">
        <f t="shared" si="159"/>
        <v>42.579000000000001</v>
      </c>
      <c r="S75" s="110"/>
      <c r="T75" s="108"/>
      <c r="U75" s="163"/>
      <c r="V75" s="90"/>
      <c r="W75" s="162" t="s">
        <v>19</v>
      </c>
      <c r="X75" s="95" t="str">
        <f t="shared" si="60"/>
        <v>cad</v>
      </c>
      <c r="Y75" s="95" t="str">
        <f t="shared" si="61"/>
        <v>cad</v>
      </c>
      <c r="Z75" s="108">
        <f t="shared" si="62"/>
        <v>11.93</v>
      </c>
      <c r="AA75" s="108">
        <f t="shared" si="63"/>
        <v>0</v>
      </c>
      <c r="AB75" s="108">
        <f t="shared" si="64"/>
        <v>11.93</v>
      </c>
      <c r="AC75" s="108">
        <f t="shared" si="8"/>
        <v>11.93</v>
      </c>
      <c r="AD75" s="110"/>
      <c r="AE75" s="92" t="s">
        <v>357</v>
      </c>
      <c r="AF75" s="108">
        <f t="shared" si="162"/>
        <v>15.77</v>
      </c>
    </row>
    <row r="76" spans="1:32" s="11" customFormat="1" ht="15.75" customHeight="1">
      <c r="A76" s="18"/>
      <c r="B76" s="167" t="s">
        <v>152</v>
      </c>
      <c r="C76" s="95" t="s">
        <v>24</v>
      </c>
      <c r="D76" s="95">
        <v>1</v>
      </c>
      <c r="E76" s="95" t="s">
        <v>57</v>
      </c>
      <c r="F76" s="95" t="s">
        <v>57</v>
      </c>
      <c r="G76" s="168">
        <v>2.84</v>
      </c>
      <c r="H76" s="118"/>
      <c r="I76" s="95">
        <f t="shared" ref="I76" si="184">(G76-H76)</f>
        <v>2.84</v>
      </c>
      <c r="J76" s="95">
        <f t="shared" ref="J76" si="185">I76*D76</f>
        <v>2.84</v>
      </c>
      <c r="K76" s="90"/>
      <c r="L76" s="162" t="s">
        <v>24</v>
      </c>
      <c r="M76" s="108">
        <v>1</v>
      </c>
      <c r="N76" s="169">
        <v>7.06</v>
      </c>
      <c r="O76" s="168">
        <v>3.65</v>
      </c>
      <c r="P76" s="92"/>
      <c r="Q76" s="92"/>
      <c r="R76" s="108">
        <f t="shared" si="159"/>
        <v>25.768999999999998</v>
      </c>
      <c r="S76" s="110"/>
      <c r="T76" s="108" t="s">
        <v>20</v>
      </c>
      <c r="U76" s="163">
        <f t="shared" si="181"/>
        <v>7.06</v>
      </c>
      <c r="V76" s="90"/>
      <c r="W76" s="162" t="s">
        <v>20</v>
      </c>
      <c r="X76" s="95" t="str">
        <f t="shared" ref="X76" si="186">E76</f>
        <v>cad</v>
      </c>
      <c r="Y76" s="95" t="str">
        <f t="shared" ref="Y76" si="187">F76</f>
        <v>cad</v>
      </c>
      <c r="Z76" s="108">
        <f t="shared" ref="Z76" si="188">G76</f>
        <v>2.84</v>
      </c>
      <c r="AA76" s="108">
        <f t="shared" ref="AA76" si="189">H76</f>
        <v>0</v>
      </c>
      <c r="AB76" s="108">
        <f t="shared" ref="AB76" si="190">I76</f>
        <v>2.84</v>
      </c>
      <c r="AC76" s="108">
        <f t="shared" ref="AC76" si="191">J76</f>
        <v>2.84</v>
      </c>
      <c r="AD76" s="110"/>
      <c r="AE76" s="92"/>
      <c r="AF76" s="108"/>
    </row>
    <row r="77" spans="1:32" s="11" customFormat="1" ht="15.75" customHeight="1">
      <c r="A77" s="18"/>
      <c r="B77" s="161" t="s">
        <v>236</v>
      </c>
      <c r="C77" s="95" t="s">
        <v>24</v>
      </c>
      <c r="D77" s="95">
        <v>1</v>
      </c>
      <c r="E77" s="95" t="s">
        <v>57</v>
      </c>
      <c r="F77" s="95" t="s">
        <v>57</v>
      </c>
      <c r="G77" s="95">
        <v>4.18</v>
      </c>
      <c r="H77" s="118"/>
      <c r="I77" s="95">
        <f t="shared" si="157"/>
        <v>4.18</v>
      </c>
      <c r="J77" s="95">
        <f t="shared" si="158"/>
        <v>4.18</v>
      </c>
      <c r="K77" s="90"/>
      <c r="L77" s="162" t="s">
        <v>24</v>
      </c>
      <c r="M77" s="108">
        <v>1</v>
      </c>
      <c r="N77" s="162">
        <v>8.2200000000000006</v>
      </c>
      <c r="O77" s="123">
        <v>3.65</v>
      </c>
      <c r="P77" s="92"/>
      <c r="Q77" s="92"/>
      <c r="R77" s="108">
        <f t="shared" si="159"/>
        <v>30.003</v>
      </c>
      <c r="S77" s="110"/>
      <c r="T77" s="108" t="s">
        <v>20</v>
      </c>
      <c r="U77" s="163">
        <f t="shared" si="181"/>
        <v>8.2200000000000006</v>
      </c>
      <c r="V77" s="90"/>
      <c r="W77" s="162" t="s">
        <v>20</v>
      </c>
      <c r="X77" s="95" t="str">
        <f t="shared" si="60"/>
        <v>cad</v>
      </c>
      <c r="Y77" s="95" t="str">
        <f t="shared" si="61"/>
        <v>cad</v>
      </c>
      <c r="Z77" s="108">
        <f t="shared" si="62"/>
        <v>4.18</v>
      </c>
      <c r="AA77" s="108">
        <f t="shared" si="63"/>
        <v>0</v>
      </c>
      <c r="AB77" s="108">
        <f t="shared" si="64"/>
        <v>4.18</v>
      </c>
      <c r="AC77" s="108">
        <f t="shared" si="8"/>
        <v>4.18</v>
      </c>
      <c r="AD77" s="110"/>
      <c r="AE77" s="92"/>
      <c r="AF77" s="108"/>
    </row>
    <row r="78" spans="1:32" s="11" customFormat="1" ht="15.75" customHeight="1">
      <c r="A78" s="18"/>
      <c r="B78" s="161" t="s">
        <v>237</v>
      </c>
      <c r="C78" s="95" t="s">
        <v>24</v>
      </c>
      <c r="D78" s="95">
        <v>1</v>
      </c>
      <c r="E78" s="95" t="s">
        <v>57</v>
      </c>
      <c r="F78" s="95" t="s">
        <v>57</v>
      </c>
      <c r="G78" s="95">
        <v>3.95</v>
      </c>
      <c r="H78" s="118"/>
      <c r="I78" s="95">
        <f t="shared" si="157"/>
        <v>3.95</v>
      </c>
      <c r="J78" s="95">
        <f t="shared" si="158"/>
        <v>3.95</v>
      </c>
      <c r="K78" s="90"/>
      <c r="L78" s="162" t="s">
        <v>24</v>
      </c>
      <c r="M78" s="108">
        <v>1</v>
      </c>
      <c r="N78" s="162">
        <v>8.01</v>
      </c>
      <c r="O78" s="123">
        <v>3.65</v>
      </c>
      <c r="P78" s="92"/>
      <c r="Q78" s="92"/>
      <c r="R78" s="108">
        <f t="shared" si="159"/>
        <v>29.236499999999999</v>
      </c>
      <c r="S78" s="110"/>
      <c r="T78" s="108" t="s">
        <v>20</v>
      </c>
      <c r="U78" s="163">
        <f t="shared" si="181"/>
        <v>8.01</v>
      </c>
      <c r="V78" s="90"/>
      <c r="W78" s="162" t="s">
        <v>20</v>
      </c>
      <c r="X78" s="95" t="str">
        <f t="shared" si="60"/>
        <v>cad</v>
      </c>
      <c r="Y78" s="95" t="str">
        <f t="shared" si="61"/>
        <v>cad</v>
      </c>
      <c r="Z78" s="108">
        <f t="shared" si="62"/>
        <v>3.95</v>
      </c>
      <c r="AA78" s="108">
        <f t="shared" si="63"/>
        <v>0</v>
      </c>
      <c r="AB78" s="108">
        <f t="shared" si="64"/>
        <v>3.95</v>
      </c>
      <c r="AC78" s="108">
        <f t="shared" si="8"/>
        <v>3.95</v>
      </c>
      <c r="AD78" s="110"/>
      <c r="AE78" s="92"/>
      <c r="AF78" s="108"/>
    </row>
    <row r="79" spans="1:32" s="11" customFormat="1" ht="15.75" customHeight="1">
      <c r="A79" s="18"/>
      <c r="B79" s="161" t="s">
        <v>116</v>
      </c>
      <c r="C79" s="95" t="s">
        <v>17</v>
      </c>
      <c r="D79" s="95">
        <v>1</v>
      </c>
      <c r="E79" s="95" t="s">
        <v>57</v>
      </c>
      <c r="F79" s="95" t="s">
        <v>57</v>
      </c>
      <c r="G79" s="123">
        <v>4.3600000000000003</v>
      </c>
      <c r="H79" s="118"/>
      <c r="I79" s="95">
        <f t="shared" si="157"/>
        <v>4.3600000000000003</v>
      </c>
      <c r="J79" s="95">
        <f t="shared" si="158"/>
        <v>4.3600000000000003</v>
      </c>
      <c r="K79" s="90"/>
      <c r="L79" s="162" t="s">
        <v>17</v>
      </c>
      <c r="M79" s="108">
        <v>1</v>
      </c>
      <c r="N79" s="145">
        <v>8.35</v>
      </c>
      <c r="O79" s="123">
        <v>2.7</v>
      </c>
      <c r="P79" s="92"/>
      <c r="Q79" s="92"/>
      <c r="R79" s="108">
        <f t="shared" si="159"/>
        <v>22.545000000000002</v>
      </c>
      <c r="S79" s="110"/>
      <c r="T79" s="108" t="s">
        <v>17</v>
      </c>
      <c r="U79" s="163">
        <f t="shared" ref="U79:U80" si="192">N79*M79</f>
        <v>8.35</v>
      </c>
      <c r="V79" s="90"/>
      <c r="W79" s="162" t="s">
        <v>17</v>
      </c>
      <c r="X79" s="95" t="str">
        <f t="shared" si="60"/>
        <v>cad</v>
      </c>
      <c r="Y79" s="95" t="str">
        <f t="shared" si="61"/>
        <v>cad</v>
      </c>
      <c r="Z79" s="108">
        <f t="shared" si="62"/>
        <v>4.3600000000000003</v>
      </c>
      <c r="AA79" s="108">
        <f t="shared" si="63"/>
        <v>0</v>
      </c>
      <c r="AB79" s="108">
        <f t="shared" si="64"/>
        <v>4.3600000000000003</v>
      </c>
      <c r="AC79" s="108">
        <f t="shared" si="8"/>
        <v>4.3600000000000003</v>
      </c>
      <c r="AD79" s="110"/>
      <c r="AE79" s="92" t="s">
        <v>357</v>
      </c>
      <c r="AF79" s="108">
        <f t="shared" ref="AF79" si="193">N79*M79</f>
        <v>8.35</v>
      </c>
    </row>
    <row r="80" spans="1:32" s="11" customFormat="1" ht="15.75" customHeight="1">
      <c r="A80" s="16"/>
      <c r="B80" s="161" t="s">
        <v>238</v>
      </c>
      <c r="C80" s="95" t="s">
        <v>24</v>
      </c>
      <c r="D80" s="95">
        <v>1</v>
      </c>
      <c r="E80" s="95" t="s">
        <v>57</v>
      </c>
      <c r="F80" s="95" t="s">
        <v>57</v>
      </c>
      <c r="G80" s="123">
        <v>8.98</v>
      </c>
      <c r="H80" s="118"/>
      <c r="I80" s="95">
        <f t="shared" si="157"/>
        <v>8.98</v>
      </c>
      <c r="J80" s="95">
        <f t="shared" si="158"/>
        <v>8.98</v>
      </c>
      <c r="K80" s="90"/>
      <c r="L80" s="162" t="s">
        <v>24</v>
      </c>
      <c r="M80" s="108">
        <v>1</v>
      </c>
      <c r="N80" s="145">
        <v>12.71</v>
      </c>
      <c r="O80" s="123">
        <v>3.65</v>
      </c>
      <c r="P80" s="92"/>
      <c r="Q80" s="92"/>
      <c r="R80" s="108">
        <f t="shared" si="159"/>
        <v>46.391500000000001</v>
      </c>
      <c r="S80" s="110"/>
      <c r="T80" s="108" t="s">
        <v>20</v>
      </c>
      <c r="U80" s="163">
        <f t="shared" si="192"/>
        <v>12.71</v>
      </c>
      <c r="V80" s="90"/>
      <c r="W80" s="162" t="s">
        <v>20</v>
      </c>
      <c r="X80" s="95" t="str">
        <f t="shared" si="60"/>
        <v>cad</v>
      </c>
      <c r="Y80" s="95" t="str">
        <f t="shared" si="61"/>
        <v>cad</v>
      </c>
      <c r="Z80" s="108">
        <f t="shared" si="62"/>
        <v>8.98</v>
      </c>
      <c r="AA80" s="108">
        <f t="shared" si="63"/>
        <v>0</v>
      </c>
      <c r="AB80" s="108">
        <f t="shared" si="64"/>
        <v>8.98</v>
      </c>
      <c r="AC80" s="108">
        <f t="shared" si="8"/>
        <v>8.98</v>
      </c>
      <c r="AD80" s="110"/>
      <c r="AE80" s="92"/>
      <c r="AF80" s="108"/>
    </row>
    <row r="81" spans="1:32" s="11" customFormat="1" ht="15.75" customHeight="1">
      <c r="A81" s="18"/>
      <c r="B81" s="161" t="s">
        <v>221</v>
      </c>
      <c r="C81" s="95" t="s">
        <v>20</v>
      </c>
      <c r="D81" s="95">
        <v>1</v>
      </c>
      <c r="E81" s="95" t="s">
        <v>57</v>
      </c>
      <c r="F81" s="95" t="s">
        <v>57</v>
      </c>
      <c r="G81" s="123">
        <v>4.62</v>
      </c>
      <c r="H81" s="118"/>
      <c r="I81" s="95">
        <f t="shared" si="157"/>
        <v>4.62</v>
      </c>
      <c r="J81" s="95">
        <f t="shared" si="158"/>
        <v>4.62</v>
      </c>
      <c r="K81" s="90"/>
      <c r="L81" s="162" t="s">
        <v>18</v>
      </c>
      <c r="M81" s="108">
        <v>1</v>
      </c>
      <c r="N81" s="145">
        <v>8.51</v>
      </c>
      <c r="O81" s="123">
        <v>2.7</v>
      </c>
      <c r="P81" s="92"/>
      <c r="Q81" s="92"/>
      <c r="R81" s="108">
        <f t="shared" si="159"/>
        <v>22.977</v>
      </c>
      <c r="S81" s="110"/>
      <c r="T81" s="108" t="s">
        <v>18</v>
      </c>
      <c r="U81" s="163">
        <f t="shared" ref="U81:U82" si="194">N81*M81</f>
        <v>8.51</v>
      </c>
      <c r="V81" s="90"/>
      <c r="W81" s="162" t="s">
        <v>18</v>
      </c>
      <c r="X81" s="95" t="str">
        <f t="shared" si="60"/>
        <v>cad</v>
      </c>
      <c r="Y81" s="95" t="str">
        <f t="shared" si="61"/>
        <v>cad</v>
      </c>
      <c r="Z81" s="108">
        <f t="shared" si="62"/>
        <v>4.62</v>
      </c>
      <c r="AA81" s="108">
        <f t="shared" si="63"/>
        <v>0</v>
      </c>
      <c r="AB81" s="108">
        <f t="shared" si="64"/>
        <v>4.62</v>
      </c>
      <c r="AC81" s="108">
        <f t="shared" si="8"/>
        <v>4.62</v>
      </c>
      <c r="AD81" s="110"/>
      <c r="AE81" s="92" t="s">
        <v>357</v>
      </c>
      <c r="AF81" s="108">
        <f t="shared" ref="AF81" si="195">N81*M81</f>
        <v>8.51</v>
      </c>
    </row>
    <row r="82" spans="1:32" s="11" customFormat="1" ht="15.75" customHeight="1">
      <c r="A82" s="18"/>
      <c r="B82" s="161" t="s">
        <v>239</v>
      </c>
      <c r="C82" s="318" t="s">
        <v>17</v>
      </c>
      <c r="D82" s="95">
        <v>1</v>
      </c>
      <c r="E82" s="95" t="s">
        <v>57</v>
      </c>
      <c r="F82" s="95" t="s">
        <v>57</v>
      </c>
      <c r="G82" s="95">
        <v>23.61</v>
      </c>
      <c r="H82" s="118"/>
      <c r="I82" s="95">
        <f t="shared" si="157"/>
        <v>23.61</v>
      </c>
      <c r="J82" s="95">
        <f t="shared" si="158"/>
        <v>23.61</v>
      </c>
      <c r="K82" s="90"/>
      <c r="L82" s="162" t="s">
        <v>341</v>
      </c>
      <c r="M82" s="108">
        <v>1</v>
      </c>
      <c r="N82" s="162">
        <v>20.41</v>
      </c>
      <c r="O82" s="123">
        <v>3</v>
      </c>
      <c r="P82" s="92"/>
      <c r="Q82" s="92"/>
      <c r="R82" s="108">
        <f t="shared" si="159"/>
        <v>61.230000000000004</v>
      </c>
      <c r="S82" s="110"/>
      <c r="T82" s="108" t="s">
        <v>19</v>
      </c>
      <c r="U82" s="163">
        <f t="shared" si="194"/>
        <v>20.41</v>
      </c>
      <c r="V82" s="90"/>
      <c r="W82" s="162" t="s">
        <v>19</v>
      </c>
      <c r="X82" s="95" t="str">
        <f t="shared" si="60"/>
        <v>cad</v>
      </c>
      <c r="Y82" s="95" t="str">
        <f t="shared" si="61"/>
        <v>cad</v>
      </c>
      <c r="Z82" s="108">
        <f t="shared" si="62"/>
        <v>23.61</v>
      </c>
      <c r="AA82" s="108">
        <f t="shared" si="63"/>
        <v>0</v>
      </c>
      <c r="AB82" s="108">
        <f t="shared" si="64"/>
        <v>23.61</v>
      </c>
      <c r="AC82" s="108">
        <f t="shared" si="8"/>
        <v>23.61</v>
      </c>
      <c r="AD82" s="110"/>
      <c r="AE82" s="92"/>
      <c r="AF82" s="108"/>
    </row>
    <row r="83" spans="1:32" s="11" customFormat="1" ht="15.75" customHeight="1">
      <c r="A83" s="18"/>
      <c r="B83" s="167" t="s">
        <v>452</v>
      </c>
      <c r="C83" s="95" t="s">
        <v>20</v>
      </c>
      <c r="D83" s="95">
        <v>1</v>
      </c>
      <c r="E83" s="95" t="s">
        <v>57</v>
      </c>
      <c r="F83" s="95" t="s">
        <v>57</v>
      </c>
      <c r="G83" s="168">
        <v>3.24</v>
      </c>
      <c r="H83" s="118"/>
      <c r="I83" s="95">
        <f t="shared" ref="I83:I84" si="196">(G83-H83)</f>
        <v>3.24</v>
      </c>
      <c r="J83" s="95">
        <f t="shared" ref="J83:J84" si="197">I83*D83</f>
        <v>3.24</v>
      </c>
      <c r="K83" s="90"/>
      <c r="L83" s="95" t="s">
        <v>18</v>
      </c>
      <c r="M83" s="95">
        <v>1</v>
      </c>
      <c r="N83" s="168">
        <v>7.35</v>
      </c>
      <c r="O83" s="168">
        <v>2.7</v>
      </c>
      <c r="P83" s="118"/>
      <c r="Q83" s="118"/>
      <c r="R83" s="95">
        <f t="shared" si="159"/>
        <v>19.844999999999999</v>
      </c>
      <c r="S83" s="110"/>
      <c r="T83" s="95" t="s">
        <v>18</v>
      </c>
      <c r="U83" s="163">
        <f t="shared" ref="U83:U84" si="198">N83*M83</f>
        <v>7.35</v>
      </c>
      <c r="V83" s="90"/>
      <c r="W83" s="95" t="s">
        <v>18</v>
      </c>
      <c r="X83" s="95" t="str">
        <f t="shared" ref="X83:X84" si="199">E83</f>
        <v>cad</v>
      </c>
      <c r="Y83" s="95" t="str">
        <f t="shared" ref="Y83:Y84" si="200">F83</f>
        <v>cad</v>
      </c>
      <c r="Z83" s="108">
        <f t="shared" ref="Z83:Z84" si="201">G83</f>
        <v>3.24</v>
      </c>
      <c r="AA83" s="108">
        <f t="shared" ref="AA83:AA84" si="202">H83</f>
        <v>0</v>
      </c>
      <c r="AB83" s="108">
        <f t="shared" ref="AB83:AB84" si="203">I83</f>
        <v>3.24</v>
      </c>
      <c r="AC83" s="108">
        <f t="shared" ref="AC83:AC84" si="204">J83</f>
        <v>3.24</v>
      </c>
      <c r="AD83" s="110"/>
      <c r="AE83" s="92" t="s">
        <v>357</v>
      </c>
      <c r="AF83" s="108">
        <f t="shared" ref="AF83:AF84" si="205">N83*M83</f>
        <v>7.35</v>
      </c>
    </row>
    <row r="84" spans="1:32" s="11" customFormat="1" ht="15.75" customHeight="1">
      <c r="A84" s="18"/>
      <c r="B84" s="167" t="s">
        <v>452</v>
      </c>
      <c r="C84" s="95" t="s">
        <v>20</v>
      </c>
      <c r="D84" s="95">
        <v>1</v>
      </c>
      <c r="E84" s="95" t="s">
        <v>57</v>
      </c>
      <c r="F84" s="95" t="s">
        <v>57</v>
      </c>
      <c r="G84" s="168">
        <v>3.02</v>
      </c>
      <c r="H84" s="118"/>
      <c r="I84" s="95">
        <f t="shared" si="196"/>
        <v>3.02</v>
      </c>
      <c r="J84" s="95">
        <f t="shared" si="197"/>
        <v>3.02</v>
      </c>
      <c r="K84" s="90"/>
      <c r="L84" s="95" t="s">
        <v>18</v>
      </c>
      <c r="M84" s="95">
        <v>1</v>
      </c>
      <c r="N84" s="168">
        <v>7</v>
      </c>
      <c r="O84" s="168">
        <v>2.7</v>
      </c>
      <c r="P84" s="118"/>
      <c r="Q84" s="118"/>
      <c r="R84" s="95">
        <f t="shared" si="159"/>
        <v>18.900000000000002</v>
      </c>
      <c r="S84" s="110"/>
      <c r="T84" s="95" t="s">
        <v>18</v>
      </c>
      <c r="U84" s="163">
        <f t="shared" si="198"/>
        <v>7</v>
      </c>
      <c r="V84" s="90"/>
      <c r="W84" s="95" t="s">
        <v>18</v>
      </c>
      <c r="X84" s="95" t="str">
        <f t="shared" si="199"/>
        <v>cad</v>
      </c>
      <c r="Y84" s="95" t="str">
        <f t="shared" si="200"/>
        <v>cad</v>
      </c>
      <c r="Z84" s="108">
        <f t="shared" si="201"/>
        <v>3.02</v>
      </c>
      <c r="AA84" s="108">
        <f t="shared" si="202"/>
        <v>0</v>
      </c>
      <c r="AB84" s="108">
        <f t="shared" si="203"/>
        <v>3.02</v>
      </c>
      <c r="AC84" s="108">
        <f t="shared" si="204"/>
        <v>3.02</v>
      </c>
      <c r="AD84" s="110"/>
      <c r="AE84" s="92" t="s">
        <v>357</v>
      </c>
      <c r="AF84" s="108">
        <f t="shared" si="205"/>
        <v>7</v>
      </c>
    </row>
    <row r="85" spans="1:32" s="11" customFormat="1" ht="15.75" customHeight="1">
      <c r="A85" s="18"/>
      <c r="B85" s="161" t="s">
        <v>240</v>
      </c>
      <c r="C85" s="318" t="s">
        <v>17</v>
      </c>
      <c r="D85" s="95">
        <v>1</v>
      </c>
      <c r="E85" s="95" t="s">
        <v>57</v>
      </c>
      <c r="F85" s="95" t="s">
        <v>57</v>
      </c>
      <c r="G85" s="123">
        <v>32.200000000000003</v>
      </c>
      <c r="H85" s="118"/>
      <c r="I85" s="95">
        <f t="shared" si="157"/>
        <v>32.200000000000003</v>
      </c>
      <c r="J85" s="95">
        <f t="shared" si="158"/>
        <v>32.200000000000003</v>
      </c>
      <c r="K85" s="90"/>
      <c r="L85" s="162" t="s">
        <v>341</v>
      </c>
      <c r="M85" s="108">
        <v>1</v>
      </c>
      <c r="N85" s="145">
        <v>23.09</v>
      </c>
      <c r="O85" s="123">
        <v>3</v>
      </c>
      <c r="P85" s="92"/>
      <c r="Q85" s="92"/>
      <c r="R85" s="108">
        <f t="shared" si="159"/>
        <v>69.27</v>
      </c>
      <c r="S85" s="110"/>
      <c r="T85" s="108" t="s">
        <v>19</v>
      </c>
      <c r="U85" s="163">
        <f>N85*M85</f>
        <v>23.09</v>
      </c>
      <c r="V85" s="90"/>
      <c r="W85" s="162" t="s">
        <v>19</v>
      </c>
      <c r="X85" s="95" t="str">
        <f t="shared" ref="X85:X99" si="206">E85</f>
        <v>cad</v>
      </c>
      <c r="Y85" s="95" t="str">
        <f t="shared" ref="Y85:Y99" si="207">F85</f>
        <v>cad</v>
      </c>
      <c r="Z85" s="108">
        <f t="shared" ref="Z85:Z100" si="208">G85</f>
        <v>32.200000000000003</v>
      </c>
      <c r="AA85" s="108">
        <f t="shared" ref="AA85:AA99" si="209">H85</f>
        <v>0</v>
      </c>
      <c r="AB85" s="108">
        <f t="shared" ref="AB85:AB99" si="210">I85</f>
        <v>32.200000000000003</v>
      </c>
      <c r="AC85" s="108">
        <f t="shared" si="8"/>
        <v>32.200000000000003</v>
      </c>
      <c r="AD85" s="110"/>
      <c r="AE85" s="92"/>
      <c r="AF85" s="108"/>
    </row>
    <row r="86" spans="1:32" s="11" customFormat="1" ht="15.75" customHeight="1">
      <c r="A86" s="18"/>
      <c r="B86" s="161" t="s">
        <v>92</v>
      </c>
      <c r="C86" s="318" t="s">
        <v>17</v>
      </c>
      <c r="D86" s="95">
        <v>1</v>
      </c>
      <c r="E86" s="95" t="s">
        <v>57</v>
      </c>
      <c r="F86" s="95" t="s">
        <v>57</v>
      </c>
      <c r="G86" s="123">
        <v>9.6300000000000008</v>
      </c>
      <c r="H86" s="118"/>
      <c r="I86" s="95">
        <f t="shared" si="157"/>
        <v>9.6300000000000008</v>
      </c>
      <c r="J86" s="95">
        <f t="shared" si="158"/>
        <v>9.6300000000000008</v>
      </c>
      <c r="K86" s="90"/>
      <c r="L86" s="162" t="s">
        <v>19</v>
      </c>
      <c r="M86" s="108">
        <v>1</v>
      </c>
      <c r="N86" s="145">
        <v>14.3</v>
      </c>
      <c r="O86" s="123">
        <v>2.7</v>
      </c>
      <c r="P86" s="92"/>
      <c r="Q86" s="92"/>
      <c r="R86" s="108">
        <f t="shared" si="159"/>
        <v>38.610000000000007</v>
      </c>
      <c r="S86" s="110"/>
      <c r="T86" s="108" t="s">
        <v>19</v>
      </c>
      <c r="U86" s="163">
        <f>N86*M86</f>
        <v>14.3</v>
      </c>
      <c r="V86" s="90"/>
      <c r="W86" s="162" t="s">
        <v>19</v>
      </c>
      <c r="X86" s="95" t="str">
        <f t="shared" si="206"/>
        <v>cad</v>
      </c>
      <c r="Y86" s="95" t="str">
        <f t="shared" si="207"/>
        <v>cad</v>
      </c>
      <c r="Z86" s="108">
        <f t="shared" si="208"/>
        <v>9.6300000000000008</v>
      </c>
      <c r="AA86" s="108">
        <f t="shared" si="209"/>
        <v>0</v>
      </c>
      <c r="AB86" s="108">
        <f t="shared" si="210"/>
        <v>9.6300000000000008</v>
      </c>
      <c r="AC86" s="108">
        <f t="shared" si="8"/>
        <v>9.6300000000000008</v>
      </c>
      <c r="AD86" s="110"/>
      <c r="AE86" s="92"/>
      <c r="AF86" s="108"/>
    </row>
    <row r="87" spans="1:32" s="11" customFormat="1" ht="15.75" customHeight="1">
      <c r="A87" s="18"/>
      <c r="B87" s="161" t="s">
        <v>119</v>
      </c>
      <c r="C87" s="95" t="s">
        <v>337</v>
      </c>
      <c r="D87" s="95">
        <v>1</v>
      </c>
      <c r="E87" s="95" t="s">
        <v>57</v>
      </c>
      <c r="F87" s="95" t="s">
        <v>57</v>
      </c>
      <c r="G87" s="123">
        <v>4.0199999999999996</v>
      </c>
      <c r="H87" s="118"/>
      <c r="I87" s="95">
        <f t="shared" si="157"/>
        <v>4.0199999999999996</v>
      </c>
      <c r="J87" s="95">
        <f t="shared" si="158"/>
        <v>4.0199999999999996</v>
      </c>
      <c r="K87" s="90"/>
      <c r="L87" s="108" t="s">
        <v>22</v>
      </c>
      <c r="M87" s="108">
        <v>1</v>
      </c>
      <c r="N87" s="108">
        <v>8.1</v>
      </c>
      <c r="O87" s="123">
        <v>2.7</v>
      </c>
      <c r="P87" s="92"/>
      <c r="Q87" s="92"/>
      <c r="R87" s="108">
        <f t="shared" si="159"/>
        <v>21.87</v>
      </c>
      <c r="S87" s="110"/>
      <c r="T87" s="108"/>
      <c r="U87" s="163"/>
      <c r="V87" s="90"/>
      <c r="W87" s="108" t="s">
        <v>18</v>
      </c>
      <c r="X87" s="95" t="str">
        <f t="shared" si="206"/>
        <v>cad</v>
      </c>
      <c r="Y87" s="95" t="str">
        <f t="shared" si="207"/>
        <v>cad</v>
      </c>
      <c r="Z87" s="108">
        <f t="shared" si="208"/>
        <v>4.0199999999999996</v>
      </c>
      <c r="AA87" s="108">
        <f t="shared" si="209"/>
        <v>0</v>
      </c>
      <c r="AB87" s="108">
        <f t="shared" si="210"/>
        <v>4.0199999999999996</v>
      </c>
      <c r="AC87" s="108">
        <f t="shared" si="8"/>
        <v>4.0199999999999996</v>
      </c>
      <c r="AD87" s="110"/>
      <c r="AE87" s="92" t="s">
        <v>357</v>
      </c>
      <c r="AF87" s="108">
        <f t="shared" ref="AF87:AF89" si="211">N87*M87</f>
        <v>8.1</v>
      </c>
    </row>
    <row r="88" spans="1:32" s="11" customFormat="1" ht="15.75" customHeight="1">
      <c r="A88" s="18"/>
      <c r="B88" s="161" t="s">
        <v>241</v>
      </c>
      <c r="C88" s="318" t="s">
        <v>17</v>
      </c>
      <c r="D88" s="95">
        <v>1</v>
      </c>
      <c r="E88" s="95" t="s">
        <v>57</v>
      </c>
      <c r="F88" s="95" t="s">
        <v>57</v>
      </c>
      <c r="G88" s="95">
        <v>11.8</v>
      </c>
      <c r="H88" s="118"/>
      <c r="I88" s="95">
        <f t="shared" si="157"/>
        <v>11.8</v>
      </c>
      <c r="J88" s="95">
        <f t="shared" si="158"/>
        <v>11.8</v>
      </c>
      <c r="K88" s="90"/>
      <c r="L88" s="162" t="s">
        <v>19</v>
      </c>
      <c r="M88" s="108">
        <v>1</v>
      </c>
      <c r="N88" s="162">
        <v>16.399999999999999</v>
      </c>
      <c r="O88" s="123">
        <v>2.7</v>
      </c>
      <c r="P88" s="92"/>
      <c r="Q88" s="92"/>
      <c r="R88" s="108">
        <f t="shared" si="159"/>
        <v>44.28</v>
      </c>
      <c r="S88" s="110"/>
      <c r="T88" s="108" t="s">
        <v>19</v>
      </c>
      <c r="U88" s="163">
        <f>N88*M88</f>
        <v>16.399999999999999</v>
      </c>
      <c r="V88" s="90"/>
      <c r="W88" s="162" t="s">
        <v>19</v>
      </c>
      <c r="X88" s="95" t="str">
        <f t="shared" si="206"/>
        <v>cad</v>
      </c>
      <c r="Y88" s="95" t="str">
        <f t="shared" si="207"/>
        <v>cad</v>
      </c>
      <c r="Z88" s="108">
        <f t="shared" si="208"/>
        <v>11.8</v>
      </c>
      <c r="AA88" s="108">
        <f t="shared" si="209"/>
        <v>0</v>
      </c>
      <c r="AB88" s="108">
        <f t="shared" si="210"/>
        <v>11.8</v>
      </c>
      <c r="AC88" s="108">
        <f t="shared" si="8"/>
        <v>11.8</v>
      </c>
      <c r="AD88" s="110"/>
      <c r="AE88" s="92"/>
      <c r="AF88" s="108"/>
    </row>
    <row r="89" spans="1:32" s="63" customFormat="1" ht="38.25" customHeight="1">
      <c r="A89" s="62"/>
      <c r="B89" s="171" t="s">
        <v>320</v>
      </c>
      <c r="C89" s="172"/>
      <c r="D89" s="172">
        <v>1</v>
      </c>
      <c r="E89" s="172" t="s">
        <v>57</v>
      </c>
      <c r="F89" s="172" t="s">
        <v>57</v>
      </c>
      <c r="G89" s="172">
        <v>33.18</v>
      </c>
      <c r="H89" s="173"/>
      <c r="I89" s="172">
        <f t="shared" si="157"/>
        <v>33.18</v>
      </c>
      <c r="J89" s="172"/>
      <c r="K89" s="174"/>
      <c r="L89" s="172"/>
      <c r="M89" s="172"/>
      <c r="N89" s="172">
        <v>23.38</v>
      </c>
      <c r="O89" s="172"/>
      <c r="P89" s="173"/>
      <c r="Q89" s="173"/>
      <c r="R89" s="172"/>
      <c r="S89" s="175"/>
      <c r="T89" s="172"/>
      <c r="U89" s="176"/>
      <c r="V89" s="174"/>
      <c r="W89" s="172"/>
      <c r="X89" s="172"/>
      <c r="Y89" s="172"/>
      <c r="Z89" s="172"/>
      <c r="AA89" s="172"/>
      <c r="AB89" s="172"/>
      <c r="AC89" s="172"/>
      <c r="AD89" s="175"/>
      <c r="AE89" s="173"/>
      <c r="AF89" s="108">
        <f t="shared" si="211"/>
        <v>0</v>
      </c>
    </row>
    <row r="90" spans="1:32" s="63" customFormat="1" ht="15" customHeight="1">
      <c r="A90" s="62"/>
      <c r="B90" s="177" t="s">
        <v>458</v>
      </c>
      <c r="C90" s="318" t="s">
        <v>17</v>
      </c>
      <c r="D90" s="172">
        <v>1</v>
      </c>
      <c r="E90" s="172" t="s">
        <v>57</v>
      </c>
      <c r="F90" s="172" t="s">
        <v>57</v>
      </c>
      <c r="G90" s="178">
        <v>50.18</v>
      </c>
      <c r="H90" s="173"/>
      <c r="I90" s="172">
        <f t="shared" ref="I90" si="212">(G90-H90)</f>
        <v>50.18</v>
      </c>
      <c r="J90" s="172">
        <v>34.18</v>
      </c>
      <c r="K90" s="174"/>
      <c r="L90" s="162" t="s">
        <v>19</v>
      </c>
      <c r="M90" s="172">
        <v>1</v>
      </c>
      <c r="N90" s="178">
        <f>29.25-4.36</f>
        <v>24.89</v>
      </c>
      <c r="O90" s="178">
        <v>2.7</v>
      </c>
      <c r="P90" s="173"/>
      <c r="Q90" s="173"/>
      <c r="R90" s="108">
        <f t="shared" si="159"/>
        <v>67.203000000000003</v>
      </c>
      <c r="S90" s="175"/>
      <c r="T90" s="108" t="s">
        <v>19</v>
      </c>
      <c r="U90" s="163">
        <f>N90*M90</f>
        <v>24.89</v>
      </c>
      <c r="V90" s="174"/>
      <c r="W90" s="162" t="s">
        <v>17</v>
      </c>
      <c r="X90" s="95" t="str">
        <f t="shared" ref="X90:X91" si="213">E90</f>
        <v>cad</v>
      </c>
      <c r="Y90" s="95" t="str">
        <f t="shared" ref="Y90:Y91" si="214">F90</f>
        <v>cad</v>
      </c>
      <c r="Z90" s="108">
        <f t="shared" ref="Z90" si="215">G90</f>
        <v>50.18</v>
      </c>
      <c r="AA90" s="108">
        <f t="shared" ref="AA90" si="216">H90</f>
        <v>0</v>
      </c>
      <c r="AB90" s="108">
        <f t="shared" ref="AB90" si="217">I90</f>
        <v>50.18</v>
      </c>
      <c r="AC90" s="108">
        <f t="shared" ref="AC90" si="218">J90</f>
        <v>34.18</v>
      </c>
      <c r="AD90" s="175"/>
      <c r="AE90" s="92" t="s">
        <v>357</v>
      </c>
      <c r="AF90" s="108">
        <f t="shared" ref="AF90" si="219">N90*M90</f>
        <v>24.89</v>
      </c>
    </row>
    <row r="91" spans="1:32" s="63" customFormat="1" ht="15" customHeight="1">
      <c r="A91" s="62"/>
      <c r="B91" s="177"/>
      <c r="C91" s="95"/>
      <c r="D91" s="172"/>
      <c r="E91" s="172"/>
      <c r="F91" s="172"/>
      <c r="G91" s="179"/>
      <c r="H91" s="173"/>
      <c r="I91" s="172"/>
      <c r="J91" s="172"/>
      <c r="K91" s="174"/>
      <c r="L91" s="162"/>
      <c r="M91" s="172"/>
      <c r="N91" s="172"/>
      <c r="O91" s="172"/>
      <c r="P91" s="173"/>
      <c r="Q91" s="173"/>
      <c r="R91" s="108"/>
      <c r="S91" s="175"/>
      <c r="T91" s="108"/>
      <c r="U91" s="163"/>
      <c r="V91" s="174"/>
      <c r="W91" s="166" t="s">
        <v>19</v>
      </c>
      <c r="X91" s="141">
        <f t="shared" si="213"/>
        <v>0</v>
      </c>
      <c r="Y91" s="141">
        <f t="shared" si="214"/>
        <v>0</v>
      </c>
      <c r="Z91" s="141">
        <v>8.6</v>
      </c>
      <c r="AA91" s="108"/>
      <c r="AB91" s="141">
        <f>Z91</f>
        <v>8.6</v>
      </c>
      <c r="AC91" s="141">
        <f>Z91</f>
        <v>8.6</v>
      </c>
      <c r="AD91" s="175"/>
      <c r="AE91" s="92"/>
      <c r="AF91" s="108"/>
    </row>
    <row r="92" spans="1:32" s="11" customFormat="1" ht="15.75" customHeight="1">
      <c r="A92" s="18"/>
      <c r="B92" s="161" t="s">
        <v>141</v>
      </c>
      <c r="C92" s="95" t="s">
        <v>24</v>
      </c>
      <c r="D92" s="95">
        <v>1</v>
      </c>
      <c r="E92" s="95" t="s">
        <v>57</v>
      </c>
      <c r="F92" s="95" t="s">
        <v>57</v>
      </c>
      <c r="G92" s="95">
        <v>10.27</v>
      </c>
      <c r="H92" s="118"/>
      <c r="I92" s="95">
        <f t="shared" si="157"/>
        <v>10.27</v>
      </c>
      <c r="J92" s="95">
        <f t="shared" si="158"/>
        <v>10.27</v>
      </c>
      <c r="K92" s="90"/>
      <c r="L92" s="162" t="s">
        <v>24</v>
      </c>
      <c r="M92" s="108">
        <v>1</v>
      </c>
      <c r="N92" s="162">
        <v>13.39</v>
      </c>
      <c r="O92" s="123">
        <v>3.65</v>
      </c>
      <c r="P92" s="92"/>
      <c r="Q92" s="92"/>
      <c r="R92" s="108">
        <f t="shared" si="159"/>
        <v>48.8735</v>
      </c>
      <c r="S92" s="110"/>
      <c r="T92" s="108" t="s">
        <v>20</v>
      </c>
      <c r="U92" s="163">
        <f>N92*M92</f>
        <v>13.39</v>
      </c>
      <c r="V92" s="90"/>
      <c r="W92" s="162" t="s">
        <v>24</v>
      </c>
      <c r="X92" s="95" t="str">
        <f t="shared" si="206"/>
        <v>cad</v>
      </c>
      <c r="Y92" s="95" t="str">
        <f t="shared" si="207"/>
        <v>cad</v>
      </c>
      <c r="Z92" s="108">
        <f t="shared" si="208"/>
        <v>10.27</v>
      </c>
      <c r="AA92" s="108">
        <f t="shared" si="209"/>
        <v>0</v>
      </c>
      <c r="AB92" s="108">
        <f t="shared" si="210"/>
        <v>10.27</v>
      </c>
      <c r="AC92" s="108">
        <f t="shared" ref="AC92:AC128" si="220">J92</f>
        <v>10.27</v>
      </c>
      <c r="AD92" s="110"/>
      <c r="AE92" s="92"/>
      <c r="AF92" s="108"/>
    </row>
    <row r="93" spans="1:32" s="11" customFormat="1" ht="15.75" customHeight="1">
      <c r="A93" s="18"/>
      <c r="B93" s="161" t="s">
        <v>219</v>
      </c>
      <c r="C93" s="95" t="s">
        <v>24</v>
      </c>
      <c r="D93" s="95">
        <v>1</v>
      </c>
      <c r="E93" s="95" t="s">
        <v>57</v>
      </c>
      <c r="F93" s="95" t="s">
        <v>57</v>
      </c>
      <c r="G93" s="123">
        <v>7.58</v>
      </c>
      <c r="H93" s="118"/>
      <c r="I93" s="95">
        <f t="shared" si="157"/>
        <v>7.58</v>
      </c>
      <c r="J93" s="95">
        <f t="shared" si="158"/>
        <v>7.58</v>
      </c>
      <c r="K93" s="90"/>
      <c r="L93" s="162" t="s">
        <v>24</v>
      </c>
      <c r="M93" s="108">
        <v>1</v>
      </c>
      <c r="N93" s="162">
        <v>11.07</v>
      </c>
      <c r="O93" s="123">
        <v>3.65</v>
      </c>
      <c r="P93" s="92"/>
      <c r="Q93" s="92"/>
      <c r="R93" s="108">
        <f t="shared" si="159"/>
        <v>40.405500000000004</v>
      </c>
      <c r="S93" s="110"/>
      <c r="T93" s="108" t="s">
        <v>20</v>
      </c>
      <c r="U93" s="163">
        <f t="shared" ref="U93:U99" si="221">N93*M93</f>
        <v>11.07</v>
      </c>
      <c r="V93" s="90"/>
      <c r="W93" s="162" t="s">
        <v>20</v>
      </c>
      <c r="X93" s="95" t="str">
        <f t="shared" si="206"/>
        <v>cad</v>
      </c>
      <c r="Y93" s="95" t="str">
        <f t="shared" si="207"/>
        <v>cad</v>
      </c>
      <c r="Z93" s="108">
        <f t="shared" si="208"/>
        <v>7.58</v>
      </c>
      <c r="AA93" s="108">
        <f t="shared" si="209"/>
        <v>0</v>
      </c>
      <c r="AB93" s="108">
        <f t="shared" si="210"/>
        <v>7.58</v>
      </c>
      <c r="AC93" s="108">
        <f t="shared" si="220"/>
        <v>7.58</v>
      </c>
      <c r="AD93" s="110"/>
      <c r="AE93" s="92"/>
      <c r="AF93" s="108"/>
    </row>
    <row r="94" spans="1:32" s="11" customFormat="1" ht="15.75" customHeight="1">
      <c r="A94" s="18"/>
      <c r="B94" s="161" t="s">
        <v>242</v>
      </c>
      <c r="C94" s="95" t="s">
        <v>24</v>
      </c>
      <c r="D94" s="95">
        <v>1</v>
      </c>
      <c r="E94" s="95" t="s">
        <v>57</v>
      </c>
      <c r="F94" s="95" t="s">
        <v>57</v>
      </c>
      <c r="G94" s="95">
        <v>11.25</v>
      </c>
      <c r="H94" s="118"/>
      <c r="I94" s="95">
        <f t="shared" si="157"/>
        <v>11.25</v>
      </c>
      <c r="J94" s="95">
        <f t="shared" si="158"/>
        <v>11.25</v>
      </c>
      <c r="K94" s="90"/>
      <c r="L94" s="162" t="s">
        <v>24</v>
      </c>
      <c r="M94" s="108">
        <v>1</v>
      </c>
      <c r="N94" s="162">
        <v>13.42</v>
      </c>
      <c r="O94" s="123">
        <v>3.65</v>
      </c>
      <c r="P94" s="92"/>
      <c r="Q94" s="92"/>
      <c r="R94" s="108">
        <f t="shared" si="159"/>
        <v>48.982999999999997</v>
      </c>
      <c r="S94" s="110"/>
      <c r="T94" s="108" t="s">
        <v>20</v>
      </c>
      <c r="U94" s="163">
        <f t="shared" si="221"/>
        <v>13.42</v>
      </c>
      <c r="V94" s="90"/>
      <c r="W94" s="162" t="s">
        <v>20</v>
      </c>
      <c r="X94" s="95" t="str">
        <f t="shared" si="206"/>
        <v>cad</v>
      </c>
      <c r="Y94" s="95" t="str">
        <f t="shared" si="207"/>
        <v>cad</v>
      </c>
      <c r="Z94" s="108">
        <f t="shared" si="208"/>
        <v>11.25</v>
      </c>
      <c r="AA94" s="108">
        <f t="shared" si="209"/>
        <v>0</v>
      </c>
      <c r="AB94" s="108">
        <f t="shared" si="210"/>
        <v>11.25</v>
      </c>
      <c r="AC94" s="108">
        <f t="shared" si="220"/>
        <v>11.25</v>
      </c>
      <c r="AD94" s="110"/>
      <c r="AE94" s="92"/>
      <c r="AF94" s="108"/>
    </row>
    <row r="95" spans="1:32" s="11" customFormat="1" ht="15.75" customHeight="1">
      <c r="A95" s="18"/>
      <c r="B95" s="161" t="s">
        <v>243</v>
      </c>
      <c r="C95" s="95" t="s">
        <v>24</v>
      </c>
      <c r="D95" s="95">
        <v>1</v>
      </c>
      <c r="E95" s="95" t="s">
        <v>57</v>
      </c>
      <c r="F95" s="95" t="s">
        <v>57</v>
      </c>
      <c r="G95" s="123">
        <v>24.32</v>
      </c>
      <c r="H95" s="118"/>
      <c r="I95" s="95">
        <f t="shared" si="157"/>
        <v>24.32</v>
      </c>
      <c r="J95" s="95">
        <f t="shared" si="158"/>
        <v>24.32</v>
      </c>
      <c r="K95" s="90"/>
      <c r="L95" s="162" t="s">
        <v>24</v>
      </c>
      <c r="M95" s="108">
        <v>1</v>
      </c>
      <c r="N95" s="162">
        <v>21.05</v>
      </c>
      <c r="O95" s="123">
        <v>3.65</v>
      </c>
      <c r="P95" s="92"/>
      <c r="Q95" s="92"/>
      <c r="R95" s="108">
        <f t="shared" si="159"/>
        <v>76.832499999999996</v>
      </c>
      <c r="S95" s="110"/>
      <c r="T95" s="108" t="s">
        <v>20</v>
      </c>
      <c r="U95" s="163">
        <f t="shared" si="221"/>
        <v>21.05</v>
      </c>
      <c r="V95" s="90"/>
      <c r="W95" s="162" t="s">
        <v>20</v>
      </c>
      <c r="X95" s="95" t="str">
        <f t="shared" si="206"/>
        <v>cad</v>
      </c>
      <c r="Y95" s="95" t="str">
        <f t="shared" si="207"/>
        <v>cad</v>
      </c>
      <c r="Z95" s="108">
        <f t="shared" si="208"/>
        <v>24.32</v>
      </c>
      <c r="AA95" s="108">
        <f t="shared" si="209"/>
        <v>0</v>
      </c>
      <c r="AB95" s="108">
        <f t="shared" si="210"/>
        <v>24.32</v>
      </c>
      <c r="AC95" s="108">
        <f t="shared" si="220"/>
        <v>24.32</v>
      </c>
      <c r="AD95" s="110"/>
      <c r="AE95" s="92"/>
      <c r="AF95" s="108"/>
    </row>
    <row r="96" spans="1:32" s="11" customFormat="1" ht="15.75" customHeight="1">
      <c r="A96" s="18"/>
      <c r="B96" s="161" t="s">
        <v>152</v>
      </c>
      <c r="C96" s="95" t="s">
        <v>24</v>
      </c>
      <c r="D96" s="95">
        <v>1</v>
      </c>
      <c r="E96" s="95" t="s">
        <v>57</v>
      </c>
      <c r="F96" s="95" t="s">
        <v>57</v>
      </c>
      <c r="G96" s="123">
        <v>51.31</v>
      </c>
      <c r="H96" s="118"/>
      <c r="I96" s="95">
        <f t="shared" ref="I96:I122" si="222">(G96-H96)</f>
        <v>51.31</v>
      </c>
      <c r="J96" s="95">
        <f t="shared" ref="J96:J122" si="223">I96*D96</f>
        <v>51.31</v>
      </c>
      <c r="K96" s="90"/>
      <c r="L96" s="162" t="s">
        <v>24</v>
      </c>
      <c r="M96" s="108">
        <v>1</v>
      </c>
      <c r="N96" s="162">
        <v>38.78</v>
      </c>
      <c r="O96" s="123">
        <v>3.65</v>
      </c>
      <c r="P96" s="92"/>
      <c r="Q96" s="92"/>
      <c r="R96" s="108">
        <f t="shared" ref="R96:R124" si="224">(N96*O96-P96)*M96</f>
        <v>141.547</v>
      </c>
      <c r="S96" s="110"/>
      <c r="T96" s="108" t="s">
        <v>20</v>
      </c>
      <c r="U96" s="163">
        <f t="shared" si="221"/>
        <v>38.78</v>
      </c>
      <c r="V96" s="90"/>
      <c r="W96" s="162" t="s">
        <v>20</v>
      </c>
      <c r="X96" s="95" t="str">
        <f t="shared" si="206"/>
        <v>cad</v>
      </c>
      <c r="Y96" s="95" t="str">
        <f t="shared" si="207"/>
        <v>cad</v>
      </c>
      <c r="Z96" s="108">
        <f t="shared" si="208"/>
        <v>51.31</v>
      </c>
      <c r="AA96" s="108">
        <f t="shared" si="209"/>
        <v>0</v>
      </c>
      <c r="AB96" s="108">
        <f t="shared" si="210"/>
        <v>51.31</v>
      </c>
      <c r="AC96" s="108">
        <f t="shared" si="220"/>
        <v>51.31</v>
      </c>
      <c r="AD96" s="110"/>
      <c r="AE96" s="92"/>
      <c r="AF96" s="108"/>
    </row>
    <row r="97" spans="1:32" s="11" customFormat="1" ht="15.75" customHeight="1">
      <c r="A97" s="18"/>
      <c r="B97" s="161" t="s">
        <v>244</v>
      </c>
      <c r="C97" s="95" t="s">
        <v>24</v>
      </c>
      <c r="D97" s="95">
        <v>1</v>
      </c>
      <c r="E97" s="95" t="s">
        <v>57</v>
      </c>
      <c r="F97" s="95" t="s">
        <v>57</v>
      </c>
      <c r="G97" s="123">
        <v>8</v>
      </c>
      <c r="H97" s="118"/>
      <c r="I97" s="95">
        <f t="shared" si="222"/>
        <v>8</v>
      </c>
      <c r="J97" s="95">
        <f t="shared" si="223"/>
        <v>8</v>
      </c>
      <c r="K97" s="90"/>
      <c r="L97" s="162" t="s">
        <v>24</v>
      </c>
      <c r="M97" s="108">
        <v>1</v>
      </c>
      <c r="N97" s="145">
        <v>11.61</v>
      </c>
      <c r="O97" s="123">
        <v>3.65</v>
      </c>
      <c r="P97" s="92"/>
      <c r="Q97" s="92"/>
      <c r="R97" s="108">
        <f t="shared" si="224"/>
        <v>42.3765</v>
      </c>
      <c r="S97" s="110"/>
      <c r="T97" s="108" t="s">
        <v>20</v>
      </c>
      <c r="U97" s="163">
        <f t="shared" si="221"/>
        <v>11.61</v>
      </c>
      <c r="V97" s="90"/>
      <c r="W97" s="162" t="s">
        <v>20</v>
      </c>
      <c r="X97" s="95" t="str">
        <f t="shared" si="206"/>
        <v>cad</v>
      </c>
      <c r="Y97" s="95" t="str">
        <f t="shared" si="207"/>
        <v>cad</v>
      </c>
      <c r="Z97" s="108">
        <f t="shared" si="208"/>
        <v>8</v>
      </c>
      <c r="AA97" s="108">
        <f t="shared" si="209"/>
        <v>0</v>
      </c>
      <c r="AB97" s="108">
        <f t="shared" si="210"/>
        <v>8</v>
      </c>
      <c r="AC97" s="108">
        <f t="shared" si="220"/>
        <v>8</v>
      </c>
      <c r="AD97" s="110"/>
      <c r="AE97" s="92"/>
      <c r="AF97" s="108"/>
    </row>
    <row r="98" spans="1:32" s="11" customFormat="1" ht="15.75" customHeight="1">
      <c r="A98" s="18"/>
      <c r="B98" s="161" t="s">
        <v>191</v>
      </c>
      <c r="C98" s="95" t="s">
        <v>17</v>
      </c>
      <c r="D98" s="95">
        <v>1</v>
      </c>
      <c r="E98" s="95" t="s">
        <v>57</v>
      </c>
      <c r="F98" s="95" t="s">
        <v>57</v>
      </c>
      <c r="G98" s="123">
        <v>35.130000000000003</v>
      </c>
      <c r="H98" s="118"/>
      <c r="I98" s="95">
        <f t="shared" si="222"/>
        <v>35.130000000000003</v>
      </c>
      <c r="J98" s="95">
        <f t="shared" si="223"/>
        <v>35.130000000000003</v>
      </c>
      <c r="K98" s="90"/>
      <c r="L98" s="162" t="s">
        <v>17</v>
      </c>
      <c r="M98" s="108">
        <v>1</v>
      </c>
      <c r="N98" s="145">
        <v>31.57</v>
      </c>
      <c r="O98" s="123">
        <v>2.7</v>
      </c>
      <c r="P98" s="92"/>
      <c r="Q98" s="92"/>
      <c r="R98" s="108">
        <f t="shared" si="224"/>
        <v>85.239000000000004</v>
      </c>
      <c r="S98" s="110"/>
      <c r="T98" s="162" t="s">
        <v>17</v>
      </c>
      <c r="U98" s="163">
        <f t="shared" si="221"/>
        <v>31.57</v>
      </c>
      <c r="V98" s="90"/>
      <c r="W98" s="162" t="s">
        <v>17</v>
      </c>
      <c r="X98" s="95" t="str">
        <f t="shared" si="206"/>
        <v>cad</v>
      </c>
      <c r="Y98" s="95" t="str">
        <f t="shared" si="207"/>
        <v>cad</v>
      </c>
      <c r="Z98" s="108">
        <f t="shared" si="208"/>
        <v>35.130000000000003</v>
      </c>
      <c r="AA98" s="108">
        <f t="shared" si="209"/>
        <v>0</v>
      </c>
      <c r="AB98" s="108">
        <f t="shared" si="210"/>
        <v>35.130000000000003</v>
      </c>
      <c r="AC98" s="108">
        <f t="shared" si="220"/>
        <v>35.130000000000003</v>
      </c>
      <c r="AD98" s="110"/>
      <c r="AE98" s="92" t="s">
        <v>357</v>
      </c>
      <c r="AF98" s="108">
        <f t="shared" ref="AF98" si="225">N98*M98</f>
        <v>31.57</v>
      </c>
    </row>
    <row r="99" spans="1:32" s="11" customFormat="1" ht="15.75" customHeight="1">
      <c r="A99" s="18"/>
      <c r="B99" s="161" t="s">
        <v>66</v>
      </c>
      <c r="C99" s="95" t="s">
        <v>24</v>
      </c>
      <c r="D99" s="95">
        <v>1</v>
      </c>
      <c r="E99" s="95" t="s">
        <v>57</v>
      </c>
      <c r="F99" s="95" t="s">
        <v>57</v>
      </c>
      <c r="G99" s="123">
        <v>37.14</v>
      </c>
      <c r="H99" s="118"/>
      <c r="I99" s="95">
        <f t="shared" si="222"/>
        <v>37.14</v>
      </c>
      <c r="J99" s="95">
        <f t="shared" si="223"/>
        <v>37.14</v>
      </c>
      <c r="K99" s="90"/>
      <c r="L99" s="162" t="s">
        <v>24</v>
      </c>
      <c r="M99" s="108">
        <v>1</v>
      </c>
      <c r="N99" s="145">
        <v>35.729999999999997</v>
      </c>
      <c r="O99" s="123">
        <v>3.65</v>
      </c>
      <c r="P99" s="92"/>
      <c r="Q99" s="92"/>
      <c r="R99" s="108">
        <f t="shared" si="224"/>
        <v>130.41449999999998</v>
      </c>
      <c r="S99" s="110"/>
      <c r="T99" s="162" t="s">
        <v>20</v>
      </c>
      <c r="U99" s="163">
        <f t="shared" si="221"/>
        <v>35.729999999999997</v>
      </c>
      <c r="V99" s="90"/>
      <c r="W99" s="162" t="s">
        <v>20</v>
      </c>
      <c r="X99" s="95" t="str">
        <f t="shared" si="206"/>
        <v>cad</v>
      </c>
      <c r="Y99" s="95" t="str">
        <f t="shared" si="207"/>
        <v>cad</v>
      </c>
      <c r="Z99" s="108">
        <f t="shared" si="208"/>
        <v>37.14</v>
      </c>
      <c r="AA99" s="108">
        <f t="shared" si="209"/>
        <v>0</v>
      </c>
      <c r="AB99" s="108">
        <f t="shared" si="210"/>
        <v>37.14</v>
      </c>
      <c r="AC99" s="108">
        <f t="shared" si="220"/>
        <v>37.14</v>
      </c>
      <c r="AD99" s="110"/>
      <c r="AE99" s="92"/>
      <c r="AF99" s="108"/>
    </row>
    <row r="100" spans="1:32" s="11" customFormat="1" ht="15.75" customHeight="1">
      <c r="A100" s="18"/>
      <c r="B100" s="161"/>
      <c r="C100" s="95" t="s">
        <v>24</v>
      </c>
      <c r="D100" s="95">
        <v>1</v>
      </c>
      <c r="E100" s="95" t="s">
        <v>57</v>
      </c>
      <c r="F100" s="95" t="s">
        <v>57</v>
      </c>
      <c r="G100" s="123">
        <v>8.9</v>
      </c>
      <c r="H100" s="118"/>
      <c r="I100" s="95">
        <f t="shared" ref="I100" si="226">(G100-H100)</f>
        <v>8.9</v>
      </c>
      <c r="J100" s="95">
        <f t="shared" ref="J100" si="227">I100*D100</f>
        <v>8.9</v>
      </c>
      <c r="K100" s="90"/>
      <c r="L100" s="162"/>
      <c r="M100" s="108"/>
      <c r="N100" s="145"/>
      <c r="O100" s="123"/>
      <c r="P100" s="92"/>
      <c r="Q100" s="92"/>
      <c r="R100" s="108"/>
      <c r="S100" s="110"/>
      <c r="T100" s="162"/>
      <c r="U100" s="163"/>
      <c r="V100" s="90"/>
      <c r="W100" s="162"/>
      <c r="X100" s="95"/>
      <c r="Y100" s="95"/>
      <c r="Z100" s="108">
        <f t="shared" si="208"/>
        <v>8.9</v>
      </c>
      <c r="AA100" s="108"/>
      <c r="AB100" s="108"/>
      <c r="AC100" s="108"/>
      <c r="AD100" s="110"/>
      <c r="AE100" s="92"/>
      <c r="AF100" s="108"/>
    </row>
    <row r="101" spans="1:32" s="11" customFormat="1" ht="15.75" customHeight="1">
      <c r="A101" s="18"/>
      <c r="B101" s="167" t="s">
        <v>454</v>
      </c>
      <c r="C101" s="95" t="s">
        <v>17</v>
      </c>
      <c r="D101" s="95">
        <v>1</v>
      </c>
      <c r="E101" s="95" t="s">
        <v>57</v>
      </c>
      <c r="F101" s="95" t="s">
        <v>57</v>
      </c>
      <c r="G101" s="168">
        <v>5.23</v>
      </c>
      <c r="H101" s="118"/>
      <c r="I101" s="95">
        <f t="shared" ref="I101" si="228">(G101-H101)</f>
        <v>5.23</v>
      </c>
      <c r="J101" s="95">
        <f t="shared" ref="J101" si="229">I101*D101</f>
        <v>5.23</v>
      </c>
      <c r="K101" s="90"/>
      <c r="L101" s="162" t="s">
        <v>17</v>
      </c>
      <c r="M101" s="108">
        <v>1</v>
      </c>
      <c r="N101" s="169">
        <v>9.06</v>
      </c>
      <c r="O101" s="168">
        <v>2.7</v>
      </c>
      <c r="P101" s="92"/>
      <c r="Q101" s="92"/>
      <c r="R101" s="108">
        <f t="shared" si="224"/>
        <v>24.462000000000003</v>
      </c>
      <c r="S101" s="110"/>
      <c r="T101" s="95" t="s">
        <v>17</v>
      </c>
      <c r="U101" s="163">
        <f t="shared" ref="U101:U124" si="230">N101*M101</f>
        <v>9.06</v>
      </c>
      <c r="V101" s="90"/>
      <c r="W101" s="162" t="s">
        <v>17</v>
      </c>
      <c r="X101" s="95" t="str">
        <f t="shared" ref="X101" si="231">E101</f>
        <v>cad</v>
      </c>
      <c r="Y101" s="95" t="str">
        <f t="shared" ref="Y101" si="232">F101</f>
        <v>cad</v>
      </c>
      <c r="Z101" s="108">
        <f t="shared" ref="Z101:Z119" si="233">G101</f>
        <v>5.23</v>
      </c>
      <c r="AA101" s="108"/>
      <c r="AB101" s="108">
        <f t="shared" ref="AB101" si="234">I101</f>
        <v>5.23</v>
      </c>
      <c r="AC101" s="108">
        <f t="shared" ref="AC101" si="235">J101</f>
        <v>5.23</v>
      </c>
      <c r="AD101" s="110"/>
      <c r="AE101" s="92" t="s">
        <v>357</v>
      </c>
      <c r="AF101" s="108">
        <f t="shared" ref="AF101:AF116" si="236">N101*M101</f>
        <v>9.06</v>
      </c>
    </row>
    <row r="102" spans="1:32" s="11" customFormat="1" ht="15.75" customHeight="1">
      <c r="A102" s="18"/>
      <c r="B102" s="167" t="s">
        <v>455</v>
      </c>
      <c r="C102" s="95" t="s">
        <v>17</v>
      </c>
      <c r="D102" s="95">
        <v>1</v>
      </c>
      <c r="E102" s="95" t="s">
        <v>57</v>
      </c>
      <c r="F102" s="95" t="s">
        <v>57</v>
      </c>
      <c r="G102" s="168">
        <v>10.93</v>
      </c>
      <c r="H102" s="118"/>
      <c r="I102" s="95">
        <f t="shared" ref="I102" si="237">(G102-H102)</f>
        <v>10.93</v>
      </c>
      <c r="J102" s="95">
        <f t="shared" ref="J102" si="238">I102*D102</f>
        <v>10.93</v>
      </c>
      <c r="K102" s="90"/>
      <c r="L102" s="162" t="s">
        <v>17</v>
      </c>
      <c r="M102" s="108">
        <v>1</v>
      </c>
      <c r="N102" s="169">
        <v>16.809999999999999</v>
      </c>
      <c r="O102" s="168">
        <v>2.7</v>
      </c>
      <c r="P102" s="92"/>
      <c r="Q102" s="92"/>
      <c r="R102" s="108">
        <f t="shared" si="224"/>
        <v>45.387</v>
      </c>
      <c r="S102" s="110"/>
      <c r="T102" s="95" t="s">
        <v>17</v>
      </c>
      <c r="U102" s="163">
        <f t="shared" si="230"/>
        <v>16.809999999999999</v>
      </c>
      <c r="V102" s="90"/>
      <c r="W102" s="162" t="s">
        <v>17</v>
      </c>
      <c r="X102" s="95" t="str">
        <f t="shared" ref="X102" si="239">E102</f>
        <v>cad</v>
      </c>
      <c r="Y102" s="95" t="str">
        <f t="shared" ref="Y102" si="240">F102</f>
        <v>cad</v>
      </c>
      <c r="Z102" s="108">
        <f t="shared" si="233"/>
        <v>10.93</v>
      </c>
      <c r="AA102" s="108"/>
      <c r="AB102" s="108">
        <f t="shared" ref="AB102" si="241">I102</f>
        <v>10.93</v>
      </c>
      <c r="AC102" s="108">
        <f t="shared" ref="AC102" si="242">J102</f>
        <v>10.93</v>
      </c>
      <c r="AD102" s="110"/>
      <c r="AE102" s="92" t="s">
        <v>357</v>
      </c>
      <c r="AF102" s="108">
        <f t="shared" si="236"/>
        <v>16.809999999999999</v>
      </c>
    </row>
    <row r="103" spans="1:32" s="11" customFormat="1" ht="15.75" customHeight="1">
      <c r="A103" s="18"/>
      <c r="B103" s="167" t="s">
        <v>456</v>
      </c>
      <c r="C103" s="95" t="s">
        <v>17</v>
      </c>
      <c r="D103" s="95">
        <v>1</v>
      </c>
      <c r="E103" s="95" t="s">
        <v>57</v>
      </c>
      <c r="F103" s="95" t="s">
        <v>57</v>
      </c>
      <c r="G103" s="168">
        <v>163.34</v>
      </c>
      <c r="H103" s="118"/>
      <c r="I103" s="95">
        <f t="shared" ref="I103" si="243">(G103-H103)</f>
        <v>163.34</v>
      </c>
      <c r="J103" s="95">
        <f t="shared" ref="J103" si="244">I103*D103</f>
        <v>163.34</v>
      </c>
      <c r="K103" s="90"/>
      <c r="L103" s="162" t="s">
        <v>17</v>
      </c>
      <c r="M103" s="108">
        <v>1</v>
      </c>
      <c r="N103" s="169">
        <f>66.67-3.22</f>
        <v>63.45</v>
      </c>
      <c r="O103" s="168">
        <v>3</v>
      </c>
      <c r="P103" s="92"/>
      <c r="Q103" s="92"/>
      <c r="R103" s="108">
        <f t="shared" si="224"/>
        <v>190.35000000000002</v>
      </c>
      <c r="S103" s="110"/>
      <c r="T103" s="95" t="s">
        <v>17</v>
      </c>
      <c r="U103" s="163">
        <f t="shared" si="230"/>
        <v>63.45</v>
      </c>
      <c r="V103" s="90"/>
      <c r="W103" s="162" t="s">
        <v>17</v>
      </c>
      <c r="X103" s="95" t="str">
        <f t="shared" ref="X103:X104" si="245">E103</f>
        <v>cad</v>
      </c>
      <c r="Y103" s="95" t="str">
        <f t="shared" ref="Y103:Y104" si="246">F103</f>
        <v>cad</v>
      </c>
      <c r="Z103" s="108">
        <f t="shared" si="233"/>
        <v>163.34</v>
      </c>
      <c r="AA103" s="108"/>
      <c r="AB103" s="108">
        <f t="shared" ref="AB103" si="247">I103</f>
        <v>163.34</v>
      </c>
      <c r="AC103" s="108">
        <f t="shared" ref="AC103" si="248">J103</f>
        <v>163.34</v>
      </c>
      <c r="AD103" s="110"/>
      <c r="AE103" s="92" t="s">
        <v>357</v>
      </c>
      <c r="AF103" s="108">
        <f t="shared" ref="AF103:AF105" si="249">N103*M103</f>
        <v>63.45</v>
      </c>
    </row>
    <row r="104" spans="1:32" s="11" customFormat="1" ht="15.75" customHeight="1">
      <c r="A104" s="18"/>
      <c r="B104" s="167"/>
      <c r="C104" s="95"/>
      <c r="D104" s="95"/>
      <c r="E104" s="95"/>
      <c r="F104" s="95"/>
      <c r="G104" s="141"/>
      <c r="H104" s="118"/>
      <c r="I104" s="95"/>
      <c r="J104" s="95"/>
      <c r="K104" s="90"/>
      <c r="L104" s="162"/>
      <c r="M104" s="108"/>
      <c r="N104" s="95"/>
      <c r="O104" s="95"/>
      <c r="P104" s="92"/>
      <c r="Q104" s="92"/>
      <c r="R104" s="108"/>
      <c r="S104" s="110"/>
      <c r="T104" s="95"/>
      <c r="U104" s="163"/>
      <c r="V104" s="90"/>
      <c r="W104" s="166" t="s">
        <v>24</v>
      </c>
      <c r="X104" s="141">
        <f t="shared" si="245"/>
        <v>0</v>
      </c>
      <c r="Y104" s="141">
        <f t="shared" si="246"/>
        <v>0</v>
      </c>
      <c r="Z104" s="141">
        <v>38.729999999999997</v>
      </c>
      <c r="AA104" s="108"/>
      <c r="AB104" s="141">
        <f>Z104</f>
        <v>38.729999999999997</v>
      </c>
      <c r="AC104" s="141">
        <f>Z104</f>
        <v>38.729999999999997</v>
      </c>
      <c r="AD104" s="110"/>
      <c r="AE104" s="92"/>
      <c r="AF104" s="108"/>
    </row>
    <row r="105" spans="1:32" s="11" customFormat="1" ht="15.75" customHeight="1">
      <c r="A105" s="18"/>
      <c r="B105" s="167" t="s">
        <v>457</v>
      </c>
      <c r="C105" s="95" t="s">
        <v>17</v>
      </c>
      <c r="D105" s="95">
        <v>1</v>
      </c>
      <c r="E105" s="95" t="s">
        <v>57</v>
      </c>
      <c r="F105" s="95" t="s">
        <v>57</v>
      </c>
      <c r="G105" s="168">
        <v>15.71</v>
      </c>
      <c r="H105" s="118"/>
      <c r="I105" s="95">
        <f t="shared" ref="I105" si="250">(G105-H105)</f>
        <v>15.71</v>
      </c>
      <c r="J105" s="95">
        <f t="shared" ref="J105" si="251">I105*D105</f>
        <v>15.71</v>
      </c>
      <c r="K105" s="90"/>
      <c r="L105" s="162" t="s">
        <v>17</v>
      </c>
      <c r="M105" s="108">
        <v>1</v>
      </c>
      <c r="N105" s="169">
        <f>18.47-1.72</f>
        <v>16.75</v>
      </c>
      <c r="O105" s="168">
        <v>3</v>
      </c>
      <c r="P105" s="92"/>
      <c r="Q105" s="92"/>
      <c r="R105" s="108">
        <f t="shared" si="224"/>
        <v>50.25</v>
      </c>
      <c r="S105" s="110"/>
      <c r="T105" s="95" t="s">
        <v>17</v>
      </c>
      <c r="U105" s="163">
        <f t="shared" si="230"/>
        <v>16.75</v>
      </c>
      <c r="V105" s="90"/>
      <c r="W105" s="162" t="s">
        <v>17</v>
      </c>
      <c r="X105" s="95" t="str">
        <f t="shared" ref="X105" si="252">E105</f>
        <v>cad</v>
      </c>
      <c r="Y105" s="95" t="str">
        <f t="shared" ref="Y105" si="253">F105</f>
        <v>cad</v>
      </c>
      <c r="Z105" s="108">
        <f t="shared" si="233"/>
        <v>15.71</v>
      </c>
      <c r="AA105" s="108"/>
      <c r="AB105" s="108">
        <f t="shared" ref="AB105" si="254">I105</f>
        <v>15.71</v>
      </c>
      <c r="AC105" s="108">
        <f t="shared" ref="AC105" si="255">J105</f>
        <v>15.71</v>
      </c>
      <c r="AD105" s="110"/>
      <c r="AE105" s="92" t="s">
        <v>357</v>
      </c>
      <c r="AF105" s="108">
        <f t="shared" si="249"/>
        <v>16.75</v>
      </c>
    </row>
    <row r="106" spans="1:32" s="11" customFormat="1" ht="15.75" customHeight="1">
      <c r="A106" s="18"/>
      <c r="B106" s="167" t="s">
        <v>157</v>
      </c>
      <c r="C106" s="95" t="s">
        <v>17</v>
      </c>
      <c r="D106" s="95">
        <v>1</v>
      </c>
      <c r="E106" s="95" t="s">
        <v>57</v>
      </c>
      <c r="F106" s="95" t="s">
        <v>57</v>
      </c>
      <c r="G106" s="168">
        <v>35.08</v>
      </c>
      <c r="H106" s="118"/>
      <c r="I106" s="95">
        <f t="shared" ref="I106" si="256">(G106-H106)</f>
        <v>35.08</v>
      </c>
      <c r="J106" s="95">
        <f t="shared" ref="J106" si="257">I106*D106</f>
        <v>35.08</v>
      </c>
      <c r="K106" s="90"/>
      <c r="L106" s="162" t="s">
        <v>17</v>
      </c>
      <c r="M106" s="108">
        <v>1</v>
      </c>
      <c r="N106" s="169">
        <v>34.83</v>
      </c>
      <c r="O106" s="168">
        <v>2.7</v>
      </c>
      <c r="P106" s="92"/>
      <c r="Q106" s="92"/>
      <c r="R106" s="108">
        <f t="shared" si="224"/>
        <v>94.040999999999997</v>
      </c>
      <c r="S106" s="110"/>
      <c r="T106" s="95" t="s">
        <v>17</v>
      </c>
      <c r="U106" s="163">
        <f t="shared" si="230"/>
        <v>34.83</v>
      </c>
      <c r="V106" s="90"/>
      <c r="W106" s="162" t="s">
        <v>17</v>
      </c>
      <c r="X106" s="95" t="str">
        <f t="shared" ref="X106" si="258">E106</f>
        <v>cad</v>
      </c>
      <c r="Y106" s="95" t="str">
        <f t="shared" ref="Y106" si="259">F106</f>
        <v>cad</v>
      </c>
      <c r="Z106" s="108">
        <f t="shared" si="233"/>
        <v>35.08</v>
      </c>
      <c r="AA106" s="108"/>
      <c r="AB106" s="108">
        <f t="shared" ref="AB106" si="260">I106</f>
        <v>35.08</v>
      </c>
      <c r="AC106" s="108">
        <f t="shared" ref="AC106" si="261">J106</f>
        <v>35.08</v>
      </c>
      <c r="AD106" s="110"/>
      <c r="AE106" s="92" t="s">
        <v>357</v>
      </c>
      <c r="AF106" s="108">
        <f t="shared" si="236"/>
        <v>34.83</v>
      </c>
    </row>
    <row r="107" spans="1:32" s="11" customFormat="1" ht="15.75" customHeight="1">
      <c r="A107" s="18"/>
      <c r="B107" s="167" t="s">
        <v>157</v>
      </c>
      <c r="C107" s="318" t="s">
        <v>17</v>
      </c>
      <c r="D107" s="95">
        <v>1</v>
      </c>
      <c r="E107" s="95" t="s">
        <v>57</v>
      </c>
      <c r="F107" s="95" t="s">
        <v>57</v>
      </c>
      <c r="G107" s="168">
        <v>20.79</v>
      </c>
      <c r="H107" s="118"/>
      <c r="I107" s="95">
        <f t="shared" ref="I107" si="262">(G107-H107)</f>
        <v>20.79</v>
      </c>
      <c r="J107" s="95">
        <f t="shared" ref="J107" si="263">I107*D107</f>
        <v>20.79</v>
      </c>
      <c r="K107" s="90"/>
      <c r="L107" s="162" t="s">
        <v>17</v>
      </c>
      <c r="M107" s="108">
        <v>1</v>
      </c>
      <c r="N107" s="169">
        <f>59.96-2.25</f>
        <v>57.71</v>
      </c>
      <c r="O107" s="168">
        <v>2.7</v>
      </c>
      <c r="P107" s="92"/>
      <c r="Q107" s="92"/>
      <c r="R107" s="108">
        <f t="shared" si="224"/>
        <v>155.81700000000001</v>
      </c>
      <c r="S107" s="110"/>
      <c r="T107" s="95" t="s">
        <v>21</v>
      </c>
      <c r="U107" s="163">
        <f t="shared" si="230"/>
        <v>57.71</v>
      </c>
      <c r="V107" s="90"/>
      <c r="W107" s="162" t="s">
        <v>17</v>
      </c>
      <c r="X107" s="95" t="str">
        <f t="shared" ref="X107:X109" si="264">E107</f>
        <v>cad</v>
      </c>
      <c r="Y107" s="95" t="str">
        <f t="shared" ref="Y107:Y109" si="265">F107</f>
        <v>cad</v>
      </c>
      <c r="Z107" s="108">
        <f t="shared" si="233"/>
        <v>20.79</v>
      </c>
      <c r="AA107" s="108"/>
      <c r="AB107" s="108">
        <f t="shared" ref="AB107" si="266">I107</f>
        <v>20.79</v>
      </c>
      <c r="AC107" s="108">
        <f t="shared" ref="AC107" si="267">J107</f>
        <v>20.79</v>
      </c>
      <c r="AD107" s="110"/>
      <c r="AE107" s="92" t="s">
        <v>357</v>
      </c>
      <c r="AF107" s="108">
        <f t="shared" ref="AF107" si="268">N107*M107</f>
        <v>57.71</v>
      </c>
    </row>
    <row r="108" spans="1:32" s="11" customFormat="1" ht="15.75" customHeight="1">
      <c r="A108" s="18"/>
      <c r="B108" s="167"/>
      <c r="C108" s="95"/>
      <c r="D108" s="95"/>
      <c r="E108" s="95"/>
      <c r="F108" s="95"/>
      <c r="G108" s="141"/>
      <c r="H108" s="118"/>
      <c r="I108" s="95"/>
      <c r="J108" s="95"/>
      <c r="K108" s="90"/>
      <c r="L108" s="162"/>
      <c r="M108" s="108"/>
      <c r="N108" s="95"/>
      <c r="O108" s="95"/>
      <c r="P108" s="92"/>
      <c r="Q108" s="92"/>
      <c r="R108" s="108"/>
      <c r="S108" s="110"/>
      <c r="T108" s="95"/>
      <c r="U108" s="163"/>
      <c r="V108" s="90"/>
      <c r="W108" s="166" t="s">
        <v>19</v>
      </c>
      <c r="X108" s="141">
        <f t="shared" si="264"/>
        <v>0</v>
      </c>
      <c r="Y108" s="141">
        <f t="shared" si="265"/>
        <v>0</v>
      </c>
      <c r="Z108" s="141">
        <v>11.73</v>
      </c>
      <c r="AA108" s="108"/>
      <c r="AB108" s="141">
        <f t="shared" ref="AB108:AB109" si="269">Z108</f>
        <v>11.73</v>
      </c>
      <c r="AC108" s="141">
        <f t="shared" ref="AC108:AC109" si="270">Z108</f>
        <v>11.73</v>
      </c>
      <c r="AD108" s="110"/>
      <c r="AE108" s="92"/>
      <c r="AF108" s="108"/>
    </row>
    <row r="109" spans="1:32" s="11" customFormat="1" ht="15.75" customHeight="1">
      <c r="A109" s="18"/>
      <c r="B109" s="167"/>
      <c r="C109" s="95"/>
      <c r="D109" s="95"/>
      <c r="E109" s="95"/>
      <c r="F109" s="95"/>
      <c r="G109" s="141"/>
      <c r="H109" s="118"/>
      <c r="I109" s="95"/>
      <c r="J109" s="95"/>
      <c r="K109" s="90"/>
      <c r="L109" s="162"/>
      <c r="M109" s="108"/>
      <c r="N109" s="95"/>
      <c r="O109" s="95"/>
      <c r="P109" s="92"/>
      <c r="Q109" s="92"/>
      <c r="R109" s="108"/>
      <c r="S109" s="110"/>
      <c r="T109" s="95"/>
      <c r="U109" s="163"/>
      <c r="V109" s="90"/>
      <c r="W109" s="166" t="s">
        <v>24</v>
      </c>
      <c r="X109" s="141">
        <f t="shared" si="264"/>
        <v>0</v>
      </c>
      <c r="Y109" s="141">
        <f t="shared" si="265"/>
        <v>0</v>
      </c>
      <c r="Z109" s="141">
        <v>1.56</v>
      </c>
      <c r="AA109" s="108"/>
      <c r="AB109" s="141">
        <f t="shared" si="269"/>
        <v>1.56</v>
      </c>
      <c r="AC109" s="141">
        <f t="shared" si="270"/>
        <v>1.56</v>
      </c>
      <c r="AD109" s="110"/>
      <c r="AE109" s="92"/>
      <c r="AF109" s="108"/>
    </row>
    <row r="110" spans="1:32" s="11" customFormat="1" ht="15.75" customHeight="1">
      <c r="A110" s="18"/>
      <c r="B110" s="167" t="s">
        <v>157</v>
      </c>
      <c r="C110" s="318" t="s">
        <v>17</v>
      </c>
      <c r="D110" s="95">
        <v>1</v>
      </c>
      <c r="E110" s="95" t="s">
        <v>57</v>
      </c>
      <c r="F110" s="95" t="s">
        <v>57</v>
      </c>
      <c r="G110" s="168">
        <v>30.96</v>
      </c>
      <c r="H110" s="118"/>
      <c r="I110" s="95">
        <f t="shared" ref="I110" si="271">(G110-H110)</f>
        <v>30.96</v>
      </c>
      <c r="J110" s="95">
        <f t="shared" ref="J110" si="272">I110*D110</f>
        <v>30.96</v>
      </c>
      <c r="K110" s="90"/>
      <c r="L110" s="162" t="s">
        <v>17</v>
      </c>
      <c r="M110" s="108">
        <v>1</v>
      </c>
      <c r="N110" s="169">
        <f>31.97-5.62</f>
        <v>26.349999999999998</v>
      </c>
      <c r="O110" s="168">
        <v>2.7</v>
      </c>
      <c r="P110" s="92"/>
      <c r="Q110" s="92"/>
      <c r="R110" s="108">
        <f t="shared" si="224"/>
        <v>71.144999999999996</v>
      </c>
      <c r="S110" s="110"/>
      <c r="T110" s="95" t="s">
        <v>21</v>
      </c>
      <c r="U110" s="163">
        <f t="shared" si="230"/>
        <v>26.349999999999998</v>
      </c>
      <c r="V110" s="90"/>
      <c r="W110" s="162" t="s">
        <v>17</v>
      </c>
      <c r="X110" s="95" t="str">
        <f t="shared" ref="X110:X111" si="273">E110</f>
        <v>cad</v>
      </c>
      <c r="Y110" s="95" t="str">
        <f t="shared" ref="Y110:Y111" si="274">F110</f>
        <v>cad</v>
      </c>
      <c r="Z110" s="108">
        <f t="shared" si="233"/>
        <v>30.96</v>
      </c>
      <c r="AA110" s="108"/>
      <c r="AB110" s="108">
        <f t="shared" ref="AB110" si="275">I110</f>
        <v>30.96</v>
      </c>
      <c r="AC110" s="108">
        <f t="shared" ref="AC110" si="276">J110</f>
        <v>30.96</v>
      </c>
      <c r="AD110" s="110"/>
      <c r="AE110" s="92" t="s">
        <v>357</v>
      </c>
      <c r="AF110" s="108">
        <f t="shared" si="236"/>
        <v>26.349999999999998</v>
      </c>
    </row>
    <row r="111" spans="1:32" s="11" customFormat="1" ht="15.75" customHeight="1">
      <c r="A111" s="18"/>
      <c r="B111" s="167"/>
      <c r="C111" s="95"/>
      <c r="D111" s="95"/>
      <c r="E111" s="95"/>
      <c r="F111" s="95"/>
      <c r="G111" s="141"/>
      <c r="H111" s="118"/>
      <c r="I111" s="95"/>
      <c r="J111" s="95"/>
      <c r="K111" s="90"/>
      <c r="L111" s="162"/>
      <c r="M111" s="108"/>
      <c r="N111" s="95"/>
      <c r="O111" s="95"/>
      <c r="P111" s="92"/>
      <c r="Q111" s="92"/>
      <c r="R111" s="108"/>
      <c r="S111" s="110"/>
      <c r="T111" s="95"/>
      <c r="U111" s="163"/>
      <c r="V111" s="90"/>
      <c r="W111" s="166" t="s">
        <v>19</v>
      </c>
      <c r="X111" s="141">
        <f t="shared" si="273"/>
        <v>0</v>
      </c>
      <c r="Y111" s="141">
        <f t="shared" si="274"/>
        <v>0</v>
      </c>
      <c r="Z111" s="141">
        <v>9.3800000000000008</v>
      </c>
      <c r="AA111" s="108"/>
      <c r="AB111" s="141">
        <f t="shared" ref="AB111" si="277">Z111</f>
        <v>9.3800000000000008</v>
      </c>
      <c r="AC111" s="141">
        <f t="shared" ref="AC111" si="278">Z111</f>
        <v>9.3800000000000008</v>
      </c>
      <c r="AD111" s="110"/>
      <c r="AE111" s="92"/>
      <c r="AF111" s="108"/>
    </row>
    <row r="112" spans="1:32" s="11" customFormat="1" ht="15.75" customHeight="1">
      <c r="A112" s="18"/>
      <c r="B112" s="167" t="s">
        <v>157</v>
      </c>
      <c r="C112" s="318" t="s">
        <v>17</v>
      </c>
      <c r="D112" s="95">
        <v>1</v>
      </c>
      <c r="E112" s="95" t="s">
        <v>57</v>
      </c>
      <c r="F112" s="95" t="s">
        <v>57</v>
      </c>
      <c r="G112" s="168">
        <v>30.41</v>
      </c>
      <c r="H112" s="118"/>
      <c r="I112" s="95">
        <f t="shared" ref="I112" si="279">(G112-H112)</f>
        <v>30.41</v>
      </c>
      <c r="J112" s="95">
        <f t="shared" ref="J112" si="280">I112*D112</f>
        <v>30.41</v>
      </c>
      <c r="K112" s="90"/>
      <c r="L112" s="162" t="s">
        <v>17</v>
      </c>
      <c r="M112" s="108">
        <v>1</v>
      </c>
      <c r="N112" s="169">
        <f>32.5-7.87</f>
        <v>24.63</v>
      </c>
      <c r="O112" s="168">
        <v>2.7</v>
      </c>
      <c r="P112" s="92"/>
      <c r="Q112" s="92"/>
      <c r="R112" s="108">
        <f t="shared" si="224"/>
        <v>66.501000000000005</v>
      </c>
      <c r="S112" s="110"/>
      <c r="T112" s="95" t="s">
        <v>21</v>
      </c>
      <c r="U112" s="163">
        <f t="shared" si="230"/>
        <v>24.63</v>
      </c>
      <c r="V112" s="90"/>
      <c r="W112" s="162" t="s">
        <v>17</v>
      </c>
      <c r="X112" s="95" t="str">
        <f t="shared" ref="X112:X114" si="281">E112</f>
        <v>cad</v>
      </c>
      <c r="Y112" s="95" t="str">
        <f t="shared" ref="Y112:Y114" si="282">F112</f>
        <v>cad</v>
      </c>
      <c r="Z112" s="108">
        <f t="shared" si="233"/>
        <v>30.41</v>
      </c>
      <c r="AA112" s="108"/>
      <c r="AB112" s="108">
        <f t="shared" ref="AB112" si="283">I112</f>
        <v>30.41</v>
      </c>
      <c r="AC112" s="108">
        <f t="shared" ref="AC112" si="284">J112</f>
        <v>30.41</v>
      </c>
      <c r="AD112" s="110"/>
      <c r="AE112" s="92" t="s">
        <v>357</v>
      </c>
      <c r="AF112" s="108">
        <f t="shared" ref="AF112" si="285">N112*M112</f>
        <v>24.63</v>
      </c>
    </row>
    <row r="113" spans="1:32" s="11" customFormat="1" ht="15.75" customHeight="1">
      <c r="A113" s="18"/>
      <c r="B113" s="167"/>
      <c r="C113" s="95"/>
      <c r="D113" s="95"/>
      <c r="E113" s="95"/>
      <c r="F113" s="95"/>
      <c r="G113" s="141"/>
      <c r="H113" s="118"/>
      <c r="I113" s="95"/>
      <c r="J113" s="95"/>
      <c r="K113" s="90"/>
      <c r="L113" s="162"/>
      <c r="M113" s="108"/>
      <c r="N113" s="95"/>
      <c r="O113" s="95"/>
      <c r="P113" s="92"/>
      <c r="Q113" s="92"/>
      <c r="R113" s="108"/>
      <c r="S113" s="110"/>
      <c r="T113" s="95"/>
      <c r="U113" s="163"/>
      <c r="V113" s="90"/>
      <c r="W113" s="166" t="s">
        <v>19</v>
      </c>
      <c r="X113" s="141">
        <f t="shared" si="281"/>
        <v>0</v>
      </c>
      <c r="Y113" s="141">
        <f t="shared" si="282"/>
        <v>0</v>
      </c>
      <c r="Z113" s="141">
        <v>10.16</v>
      </c>
      <c r="AA113" s="108"/>
      <c r="AB113" s="141">
        <f t="shared" ref="AB113:AB114" si="286">Z113</f>
        <v>10.16</v>
      </c>
      <c r="AC113" s="141">
        <f t="shared" ref="AC113:AC114" si="287">Z113</f>
        <v>10.16</v>
      </c>
      <c r="AD113" s="110"/>
      <c r="AE113" s="92"/>
      <c r="AF113" s="108"/>
    </row>
    <row r="114" spans="1:32" s="11" customFormat="1" ht="15.75" customHeight="1">
      <c r="A114" s="18"/>
      <c r="B114" s="167"/>
      <c r="C114" s="95"/>
      <c r="D114" s="95"/>
      <c r="E114" s="95"/>
      <c r="F114" s="95"/>
      <c r="G114" s="141"/>
      <c r="H114" s="118"/>
      <c r="I114" s="95"/>
      <c r="J114" s="95"/>
      <c r="K114" s="90"/>
      <c r="L114" s="162"/>
      <c r="M114" s="108"/>
      <c r="N114" s="95"/>
      <c r="O114" s="95"/>
      <c r="P114" s="92"/>
      <c r="Q114" s="92"/>
      <c r="R114" s="108"/>
      <c r="S114" s="110"/>
      <c r="T114" s="95"/>
      <c r="U114" s="163"/>
      <c r="V114" s="90"/>
      <c r="W114" s="166" t="s">
        <v>24</v>
      </c>
      <c r="X114" s="141">
        <f t="shared" si="281"/>
        <v>0</v>
      </c>
      <c r="Y114" s="141">
        <f t="shared" si="282"/>
        <v>0</v>
      </c>
      <c r="Z114" s="141">
        <v>1.56</v>
      </c>
      <c r="AA114" s="108"/>
      <c r="AB114" s="141">
        <f t="shared" si="286"/>
        <v>1.56</v>
      </c>
      <c r="AC114" s="141">
        <f t="shared" si="287"/>
        <v>1.56</v>
      </c>
      <c r="AD114" s="110"/>
      <c r="AE114" s="92"/>
      <c r="AF114" s="108"/>
    </row>
    <row r="115" spans="1:32" s="11" customFormat="1" ht="15.75" customHeight="1">
      <c r="A115" s="18"/>
      <c r="B115" s="167" t="s">
        <v>157</v>
      </c>
      <c r="C115" s="318" t="s">
        <v>17</v>
      </c>
      <c r="D115" s="95">
        <v>1</v>
      </c>
      <c r="E115" s="95" t="s">
        <v>57</v>
      </c>
      <c r="F115" s="95" t="s">
        <v>57</v>
      </c>
      <c r="G115" s="168">
        <v>9.1199999999999992</v>
      </c>
      <c r="H115" s="118"/>
      <c r="I115" s="95">
        <f t="shared" ref="I115" si="288">(G115-H115)</f>
        <v>9.1199999999999992</v>
      </c>
      <c r="J115" s="95">
        <f t="shared" ref="J115" si="289">I115*D115</f>
        <v>9.1199999999999992</v>
      </c>
      <c r="K115" s="90"/>
      <c r="L115" s="162" t="s">
        <v>17</v>
      </c>
      <c r="M115" s="108">
        <v>1</v>
      </c>
      <c r="N115" s="169">
        <f>13.12-2</f>
        <v>11.12</v>
      </c>
      <c r="O115" s="168">
        <v>2.7</v>
      </c>
      <c r="P115" s="92"/>
      <c r="Q115" s="92"/>
      <c r="R115" s="108">
        <f t="shared" si="224"/>
        <v>30.024000000000001</v>
      </c>
      <c r="S115" s="110"/>
      <c r="T115" s="95" t="s">
        <v>21</v>
      </c>
      <c r="U115" s="163">
        <f t="shared" si="230"/>
        <v>11.12</v>
      </c>
      <c r="V115" s="90"/>
      <c r="W115" s="162" t="s">
        <v>17</v>
      </c>
      <c r="X115" s="95" t="str">
        <f t="shared" ref="X115" si="290">E115</f>
        <v>cad</v>
      </c>
      <c r="Y115" s="95" t="str">
        <f t="shared" ref="Y115" si="291">F115</f>
        <v>cad</v>
      </c>
      <c r="Z115" s="108">
        <f t="shared" si="233"/>
        <v>9.1199999999999992</v>
      </c>
      <c r="AA115" s="108"/>
      <c r="AB115" s="108">
        <f t="shared" ref="AB115" si="292">I115</f>
        <v>9.1199999999999992</v>
      </c>
      <c r="AC115" s="108">
        <f t="shared" ref="AC115" si="293">J115</f>
        <v>9.1199999999999992</v>
      </c>
      <c r="AD115" s="110"/>
      <c r="AE115" s="92" t="s">
        <v>357</v>
      </c>
      <c r="AF115" s="108">
        <f t="shared" ref="AF115" si="294">N115*M115</f>
        <v>11.12</v>
      </c>
    </row>
    <row r="116" spans="1:32" s="11" customFormat="1" ht="15.75" customHeight="1">
      <c r="A116" s="18"/>
      <c r="B116" s="167" t="s">
        <v>157</v>
      </c>
      <c r="C116" s="318" t="s">
        <v>17</v>
      </c>
      <c r="D116" s="95">
        <v>1</v>
      </c>
      <c r="E116" s="95" t="s">
        <v>57</v>
      </c>
      <c r="F116" s="95" t="s">
        <v>57</v>
      </c>
      <c r="G116" s="168">
        <v>29.64</v>
      </c>
      <c r="H116" s="118"/>
      <c r="I116" s="95">
        <f t="shared" ref="I116:I119" si="295">(G116-H116)</f>
        <v>29.64</v>
      </c>
      <c r="J116" s="95">
        <f t="shared" ref="J116:J119" si="296">I116*D116</f>
        <v>29.64</v>
      </c>
      <c r="K116" s="90"/>
      <c r="L116" s="162" t="s">
        <v>17</v>
      </c>
      <c r="M116" s="108">
        <v>1</v>
      </c>
      <c r="N116" s="169">
        <f>31-2</f>
        <v>29</v>
      </c>
      <c r="O116" s="168">
        <v>2.7</v>
      </c>
      <c r="P116" s="92"/>
      <c r="Q116" s="92"/>
      <c r="R116" s="108">
        <f t="shared" si="224"/>
        <v>78.300000000000011</v>
      </c>
      <c r="S116" s="110"/>
      <c r="T116" s="95" t="s">
        <v>21</v>
      </c>
      <c r="U116" s="163">
        <f t="shared" si="230"/>
        <v>29</v>
      </c>
      <c r="V116" s="90"/>
      <c r="W116" s="162" t="s">
        <v>17</v>
      </c>
      <c r="X116" s="95" t="str">
        <f t="shared" ref="X116:X118" si="297">E116</f>
        <v>cad</v>
      </c>
      <c r="Y116" s="95" t="str">
        <f t="shared" ref="Y116:Y118" si="298">F116</f>
        <v>cad</v>
      </c>
      <c r="Z116" s="108">
        <f t="shared" si="233"/>
        <v>29.64</v>
      </c>
      <c r="AA116" s="108"/>
      <c r="AB116" s="108">
        <f t="shared" ref="AB116:AB119" si="299">I116</f>
        <v>29.64</v>
      </c>
      <c r="AC116" s="108">
        <f t="shared" ref="AC116:AC119" si="300">J116</f>
        <v>29.64</v>
      </c>
      <c r="AD116" s="110"/>
      <c r="AE116" s="92" t="s">
        <v>357</v>
      </c>
      <c r="AF116" s="108">
        <f t="shared" si="236"/>
        <v>29</v>
      </c>
    </row>
    <row r="117" spans="1:32" s="11" customFormat="1" ht="15.75" customHeight="1">
      <c r="A117" s="18"/>
      <c r="B117" s="167"/>
      <c r="C117" s="95"/>
      <c r="D117" s="95"/>
      <c r="E117" s="95"/>
      <c r="F117" s="95"/>
      <c r="G117" s="141"/>
      <c r="H117" s="118"/>
      <c r="I117" s="95"/>
      <c r="J117" s="95"/>
      <c r="K117" s="90"/>
      <c r="L117" s="162"/>
      <c r="M117" s="108"/>
      <c r="N117" s="95"/>
      <c r="O117" s="95"/>
      <c r="P117" s="92"/>
      <c r="Q117" s="92"/>
      <c r="R117" s="108"/>
      <c r="S117" s="110"/>
      <c r="T117" s="95"/>
      <c r="U117" s="163"/>
      <c r="V117" s="90"/>
      <c r="W117" s="166" t="s">
        <v>19</v>
      </c>
      <c r="X117" s="141">
        <f t="shared" si="297"/>
        <v>0</v>
      </c>
      <c r="Y117" s="141">
        <f t="shared" si="298"/>
        <v>0</v>
      </c>
      <c r="Z117" s="141">
        <v>10.17</v>
      </c>
      <c r="AA117" s="108"/>
      <c r="AB117" s="141">
        <f t="shared" ref="AB117:AB118" si="301">Z117</f>
        <v>10.17</v>
      </c>
      <c r="AC117" s="141">
        <f t="shared" ref="AC117:AC118" si="302">Z117</f>
        <v>10.17</v>
      </c>
      <c r="AD117" s="110"/>
      <c r="AE117" s="92"/>
      <c r="AF117" s="108"/>
    </row>
    <row r="118" spans="1:32" s="11" customFormat="1" ht="15.75" customHeight="1">
      <c r="A118" s="18"/>
      <c r="B118" s="167"/>
      <c r="C118" s="95"/>
      <c r="D118" s="95"/>
      <c r="E118" s="95"/>
      <c r="F118" s="95"/>
      <c r="G118" s="141"/>
      <c r="H118" s="118"/>
      <c r="I118" s="95"/>
      <c r="J118" s="95"/>
      <c r="K118" s="90"/>
      <c r="L118" s="162"/>
      <c r="M118" s="108"/>
      <c r="N118" s="95"/>
      <c r="O118" s="95"/>
      <c r="P118" s="92"/>
      <c r="Q118" s="92"/>
      <c r="R118" s="108"/>
      <c r="S118" s="110"/>
      <c r="T118" s="95"/>
      <c r="U118" s="163"/>
      <c r="V118" s="90"/>
      <c r="W118" s="166" t="s">
        <v>24</v>
      </c>
      <c r="X118" s="141">
        <f t="shared" si="297"/>
        <v>0</v>
      </c>
      <c r="Y118" s="141">
        <f t="shared" si="298"/>
        <v>0</v>
      </c>
      <c r="Z118" s="141">
        <v>1.56</v>
      </c>
      <c r="AA118" s="108"/>
      <c r="AB118" s="141">
        <f t="shared" si="301"/>
        <v>1.56</v>
      </c>
      <c r="AC118" s="141">
        <f t="shared" si="302"/>
        <v>1.56</v>
      </c>
      <c r="AD118" s="110"/>
      <c r="AE118" s="92"/>
      <c r="AF118" s="108"/>
    </row>
    <row r="119" spans="1:32" s="11" customFormat="1" ht="15.75" customHeight="1">
      <c r="A119" s="18"/>
      <c r="B119" s="167" t="s">
        <v>157</v>
      </c>
      <c r="C119" s="318" t="s">
        <v>17</v>
      </c>
      <c r="D119" s="95">
        <v>1</v>
      </c>
      <c r="E119" s="95" t="s">
        <v>57</v>
      </c>
      <c r="F119" s="95" t="s">
        <v>57</v>
      </c>
      <c r="G119" s="168">
        <v>25.08</v>
      </c>
      <c r="H119" s="118"/>
      <c r="I119" s="95">
        <f t="shared" si="295"/>
        <v>25.08</v>
      </c>
      <c r="J119" s="95">
        <f t="shared" si="296"/>
        <v>25.08</v>
      </c>
      <c r="K119" s="90"/>
      <c r="L119" s="162" t="s">
        <v>19</v>
      </c>
      <c r="M119" s="108">
        <v>1</v>
      </c>
      <c r="N119" s="169">
        <f>16.2-4.33</f>
        <v>11.87</v>
      </c>
      <c r="O119" s="168">
        <v>2.7</v>
      </c>
      <c r="P119" s="92"/>
      <c r="Q119" s="92"/>
      <c r="R119" s="108">
        <f t="shared" si="224"/>
        <v>32.048999999999999</v>
      </c>
      <c r="S119" s="110"/>
      <c r="T119" s="95" t="s">
        <v>21</v>
      </c>
      <c r="U119" s="163">
        <f t="shared" si="230"/>
        <v>11.87</v>
      </c>
      <c r="V119" s="90"/>
      <c r="W119" s="162" t="s">
        <v>17</v>
      </c>
      <c r="X119" s="95" t="str">
        <f t="shared" ref="X119:X121" si="303">E119</f>
        <v>cad</v>
      </c>
      <c r="Y119" s="95" t="str">
        <f t="shared" ref="Y119:Y121" si="304">F119</f>
        <v>cad</v>
      </c>
      <c r="Z119" s="108">
        <f t="shared" si="233"/>
        <v>25.08</v>
      </c>
      <c r="AA119" s="108"/>
      <c r="AB119" s="108">
        <f t="shared" si="299"/>
        <v>25.08</v>
      </c>
      <c r="AC119" s="108">
        <f t="shared" si="300"/>
        <v>25.08</v>
      </c>
      <c r="AD119" s="110"/>
      <c r="AE119" s="92" t="s">
        <v>357</v>
      </c>
      <c r="AF119" s="108">
        <f>N119*M119-3.71</f>
        <v>8.16</v>
      </c>
    </row>
    <row r="120" spans="1:32" s="11" customFormat="1" ht="15.75" customHeight="1">
      <c r="A120" s="18"/>
      <c r="B120" s="167"/>
      <c r="C120" s="95"/>
      <c r="D120" s="95"/>
      <c r="E120" s="95"/>
      <c r="F120" s="95"/>
      <c r="G120" s="141"/>
      <c r="H120" s="118"/>
      <c r="I120" s="95"/>
      <c r="J120" s="95"/>
      <c r="K120" s="90"/>
      <c r="L120" s="162"/>
      <c r="M120" s="108"/>
      <c r="N120" s="95"/>
      <c r="O120" s="95"/>
      <c r="P120" s="92"/>
      <c r="Q120" s="92"/>
      <c r="R120" s="108"/>
      <c r="S120" s="110"/>
      <c r="T120" s="95"/>
      <c r="U120" s="163"/>
      <c r="V120" s="90"/>
      <c r="W120" s="166" t="s">
        <v>19</v>
      </c>
      <c r="X120" s="141">
        <f t="shared" si="303"/>
        <v>0</v>
      </c>
      <c r="Y120" s="141">
        <f t="shared" si="304"/>
        <v>0</v>
      </c>
      <c r="Z120" s="141">
        <v>4.6900000000000004</v>
      </c>
      <c r="AA120" s="108"/>
      <c r="AB120" s="141">
        <f t="shared" ref="AB120:AB121" si="305">Z120</f>
        <v>4.6900000000000004</v>
      </c>
      <c r="AC120" s="141">
        <f t="shared" ref="AC120:AC121" si="306">Z120</f>
        <v>4.6900000000000004</v>
      </c>
      <c r="AD120" s="110"/>
      <c r="AE120" s="92"/>
      <c r="AF120" s="108"/>
    </row>
    <row r="121" spans="1:32" s="11" customFormat="1" ht="15.75" customHeight="1">
      <c r="A121" s="18"/>
      <c r="B121" s="167"/>
      <c r="C121" s="95"/>
      <c r="D121" s="95"/>
      <c r="E121" s="95"/>
      <c r="F121" s="95"/>
      <c r="G121" s="141"/>
      <c r="H121" s="118"/>
      <c r="I121" s="95"/>
      <c r="J121" s="95"/>
      <c r="K121" s="90"/>
      <c r="L121" s="162"/>
      <c r="M121" s="108"/>
      <c r="N121" s="95"/>
      <c r="O121" s="95"/>
      <c r="P121" s="92"/>
      <c r="Q121" s="92"/>
      <c r="R121" s="108"/>
      <c r="S121" s="110"/>
      <c r="T121" s="95"/>
      <c r="U121" s="163"/>
      <c r="V121" s="90"/>
      <c r="W121" s="166" t="s">
        <v>24</v>
      </c>
      <c r="X121" s="141">
        <f t="shared" si="303"/>
        <v>0</v>
      </c>
      <c r="Y121" s="141">
        <f t="shared" si="304"/>
        <v>0</v>
      </c>
      <c r="Z121" s="141">
        <v>1.56</v>
      </c>
      <c r="AA121" s="108"/>
      <c r="AB121" s="141">
        <f t="shared" si="305"/>
        <v>1.56</v>
      </c>
      <c r="AC121" s="141">
        <f t="shared" si="306"/>
        <v>1.56</v>
      </c>
      <c r="AD121" s="110"/>
      <c r="AE121" s="92"/>
      <c r="AF121" s="108"/>
    </row>
    <row r="122" spans="1:32" s="11" customFormat="1" ht="15.75" customHeight="1">
      <c r="A122" s="18"/>
      <c r="B122" s="161" t="s">
        <v>157</v>
      </c>
      <c r="C122" s="318" t="s">
        <v>17</v>
      </c>
      <c r="D122" s="95">
        <v>1</v>
      </c>
      <c r="E122" s="95" t="s">
        <v>57</v>
      </c>
      <c r="F122" s="95" t="s">
        <v>57</v>
      </c>
      <c r="G122" s="123">
        <v>63.34</v>
      </c>
      <c r="H122" s="118"/>
      <c r="I122" s="95">
        <f t="shared" si="222"/>
        <v>63.34</v>
      </c>
      <c r="J122" s="95">
        <f t="shared" si="223"/>
        <v>63.34</v>
      </c>
      <c r="K122" s="90"/>
      <c r="L122" s="162" t="s">
        <v>19</v>
      </c>
      <c r="M122" s="108">
        <v>1</v>
      </c>
      <c r="N122" s="145">
        <f>46.55-8.23</f>
        <v>38.319999999999993</v>
      </c>
      <c r="O122" s="123">
        <v>2.7</v>
      </c>
      <c r="P122" s="92"/>
      <c r="Q122" s="92"/>
      <c r="R122" s="108">
        <f t="shared" si="224"/>
        <v>103.46399999999998</v>
      </c>
      <c r="S122" s="110"/>
      <c r="T122" s="95" t="s">
        <v>21</v>
      </c>
      <c r="U122" s="163">
        <f t="shared" si="230"/>
        <v>38.319999999999993</v>
      </c>
      <c r="V122" s="90"/>
      <c r="W122" s="162" t="s">
        <v>17</v>
      </c>
      <c r="X122" s="95" t="str">
        <f t="shared" ref="X122:X123" si="307">E122</f>
        <v>cad</v>
      </c>
      <c r="Y122" s="95" t="str">
        <f t="shared" ref="Y122:Y123" si="308">F122</f>
        <v>cad</v>
      </c>
      <c r="Z122" s="108">
        <f t="shared" ref="Z122:Z124" si="309">G122</f>
        <v>63.34</v>
      </c>
      <c r="AA122" s="108">
        <f t="shared" ref="AA122" si="310">H122</f>
        <v>0</v>
      </c>
      <c r="AB122" s="108">
        <f t="shared" ref="AB122" si="311">I122</f>
        <v>63.34</v>
      </c>
      <c r="AC122" s="108">
        <f t="shared" si="220"/>
        <v>63.34</v>
      </c>
      <c r="AD122" s="110"/>
      <c r="AE122" s="92" t="s">
        <v>17</v>
      </c>
      <c r="AF122" s="108">
        <f t="shared" ref="AF122:AF124" si="312">N122*M122</f>
        <v>38.319999999999993</v>
      </c>
    </row>
    <row r="123" spans="1:32" s="11" customFormat="1" ht="15.75" customHeight="1">
      <c r="A123" s="18"/>
      <c r="B123" s="161"/>
      <c r="C123" s="95"/>
      <c r="D123" s="95"/>
      <c r="E123" s="95"/>
      <c r="F123" s="95"/>
      <c r="G123" s="141"/>
      <c r="H123" s="118"/>
      <c r="I123" s="95"/>
      <c r="J123" s="95"/>
      <c r="K123" s="90"/>
      <c r="L123" s="162"/>
      <c r="M123" s="108"/>
      <c r="N123" s="95"/>
      <c r="O123" s="95"/>
      <c r="P123" s="92"/>
      <c r="Q123" s="92"/>
      <c r="R123" s="108"/>
      <c r="S123" s="110"/>
      <c r="T123" s="95"/>
      <c r="U123" s="163"/>
      <c r="V123" s="90"/>
      <c r="W123" s="166" t="s">
        <v>19</v>
      </c>
      <c r="X123" s="141">
        <f t="shared" si="307"/>
        <v>0</v>
      </c>
      <c r="Y123" s="141">
        <f t="shared" si="308"/>
        <v>0</v>
      </c>
      <c r="Z123" s="141">
        <v>8.6</v>
      </c>
      <c r="AA123" s="108"/>
      <c r="AB123" s="141">
        <f t="shared" ref="AB123" si="313">Z123</f>
        <v>8.6</v>
      </c>
      <c r="AC123" s="141">
        <f t="shared" ref="AC123" si="314">Z123</f>
        <v>8.6</v>
      </c>
      <c r="AD123" s="110"/>
      <c r="AE123" s="92"/>
      <c r="AF123" s="108"/>
    </row>
    <row r="124" spans="1:32" s="11" customFormat="1" ht="15.75" customHeight="1">
      <c r="A124" s="18"/>
      <c r="B124" s="167" t="s">
        <v>453</v>
      </c>
      <c r="C124" s="318" t="s">
        <v>17</v>
      </c>
      <c r="D124" s="95">
        <v>1</v>
      </c>
      <c r="E124" s="95" t="s">
        <v>57</v>
      </c>
      <c r="F124" s="95" t="s">
        <v>57</v>
      </c>
      <c r="G124" s="168">
        <v>5.46</v>
      </c>
      <c r="H124" s="118"/>
      <c r="I124" s="95">
        <f t="shared" ref="I124" si="315">(G124-H124)</f>
        <v>5.46</v>
      </c>
      <c r="J124" s="95">
        <f t="shared" ref="J124" si="316">I124*D124</f>
        <v>5.46</v>
      </c>
      <c r="K124" s="90"/>
      <c r="L124" s="162" t="s">
        <v>19</v>
      </c>
      <c r="M124" s="108">
        <v>1</v>
      </c>
      <c r="N124" s="169">
        <v>9.7899999999999991</v>
      </c>
      <c r="O124" s="168">
        <v>2.7</v>
      </c>
      <c r="P124" s="92"/>
      <c r="Q124" s="92"/>
      <c r="R124" s="108">
        <f t="shared" si="224"/>
        <v>26.433</v>
      </c>
      <c r="S124" s="110"/>
      <c r="T124" s="95" t="s">
        <v>19</v>
      </c>
      <c r="U124" s="163">
        <f t="shared" si="230"/>
        <v>9.7899999999999991</v>
      </c>
      <c r="V124" s="90"/>
      <c r="W124" s="162" t="s">
        <v>17</v>
      </c>
      <c r="X124" s="95" t="str">
        <f t="shared" ref="X124" si="317">E124</f>
        <v>cad</v>
      </c>
      <c r="Y124" s="95" t="str">
        <f t="shared" ref="Y124" si="318">F124</f>
        <v>cad</v>
      </c>
      <c r="Z124" s="108">
        <f t="shared" si="309"/>
        <v>5.46</v>
      </c>
      <c r="AA124" s="108"/>
      <c r="AB124" s="108">
        <f t="shared" ref="AB124" si="319">I124</f>
        <v>5.46</v>
      </c>
      <c r="AC124" s="108">
        <f t="shared" ref="AC124" si="320">J124</f>
        <v>5.46</v>
      </c>
      <c r="AD124" s="110"/>
      <c r="AE124" s="92" t="s">
        <v>357</v>
      </c>
      <c r="AF124" s="108">
        <f t="shared" si="312"/>
        <v>9.7899999999999991</v>
      </c>
    </row>
    <row r="125" spans="1:32" s="11" customFormat="1" ht="14.4">
      <c r="A125" s="18"/>
      <c r="B125" s="149" t="s">
        <v>159</v>
      </c>
      <c r="C125" s="95"/>
      <c r="D125" s="95"/>
      <c r="E125" s="95"/>
      <c r="F125" s="95"/>
      <c r="G125" s="95"/>
      <c r="H125" s="118"/>
      <c r="I125" s="95"/>
      <c r="J125" s="95"/>
      <c r="K125" s="90"/>
      <c r="L125" s="108"/>
      <c r="M125" s="108"/>
      <c r="N125" s="108"/>
      <c r="O125" s="108"/>
      <c r="P125" s="92"/>
      <c r="Q125" s="92"/>
      <c r="R125" s="108"/>
      <c r="S125" s="110"/>
      <c r="T125" s="108"/>
      <c r="U125" s="163"/>
      <c r="V125" s="90"/>
      <c r="W125" s="108"/>
      <c r="X125" s="95"/>
      <c r="Y125" s="95"/>
      <c r="Z125" s="108"/>
      <c r="AA125" s="108"/>
      <c r="AB125" s="108"/>
      <c r="AC125" s="108"/>
      <c r="AD125" s="90"/>
      <c r="AE125" s="92"/>
      <c r="AF125" s="108"/>
    </row>
    <row r="126" spans="1:32" s="11" customFormat="1" ht="14.4">
      <c r="A126" s="18"/>
      <c r="B126" s="149" t="s">
        <v>160</v>
      </c>
      <c r="C126" s="95"/>
      <c r="D126" s="95"/>
      <c r="E126" s="95"/>
      <c r="F126" s="95"/>
      <c r="G126" s="95"/>
      <c r="H126" s="118"/>
      <c r="I126" s="95"/>
      <c r="J126" s="95"/>
      <c r="K126" s="90"/>
      <c r="L126" s="108"/>
      <c r="M126" s="108"/>
      <c r="N126" s="108"/>
      <c r="O126" s="108"/>
      <c r="P126" s="92"/>
      <c r="Q126" s="92"/>
      <c r="R126" s="108"/>
      <c r="S126" s="110"/>
      <c r="T126" s="108"/>
      <c r="U126" s="163"/>
      <c r="V126" s="90"/>
      <c r="W126" s="108"/>
      <c r="X126" s="95"/>
      <c r="Y126" s="95"/>
      <c r="Z126" s="108"/>
      <c r="AA126" s="108"/>
      <c r="AB126" s="108"/>
      <c r="AC126" s="108"/>
      <c r="AD126" s="90"/>
      <c r="AE126" s="92"/>
      <c r="AF126" s="108"/>
    </row>
    <row r="127" spans="1:32" s="11" customFormat="1" ht="15.75" customHeight="1">
      <c r="A127" s="18" t="s">
        <v>245</v>
      </c>
      <c r="B127" s="161" t="s">
        <v>167</v>
      </c>
      <c r="C127" s="95" t="s">
        <v>17</v>
      </c>
      <c r="D127" s="95">
        <v>1</v>
      </c>
      <c r="E127" s="95" t="s">
        <v>57</v>
      </c>
      <c r="F127" s="95" t="s">
        <v>57</v>
      </c>
      <c r="G127" s="123">
        <v>39.64</v>
      </c>
      <c r="H127" s="118"/>
      <c r="I127" s="95">
        <f>(G127-H127)</f>
        <v>39.64</v>
      </c>
      <c r="J127" s="95">
        <f>I127*D127</f>
        <v>39.64</v>
      </c>
      <c r="K127" s="90"/>
      <c r="L127" s="162" t="s">
        <v>17</v>
      </c>
      <c r="M127" s="108">
        <v>1</v>
      </c>
      <c r="N127" s="145">
        <v>36.700000000000003</v>
      </c>
      <c r="O127" s="123">
        <v>2.7</v>
      </c>
      <c r="P127" s="92"/>
      <c r="Q127" s="92"/>
      <c r="R127" s="108">
        <f>(N127*O127-P127)*M127</f>
        <v>99.090000000000018</v>
      </c>
      <c r="S127" s="110"/>
      <c r="T127" s="95" t="s">
        <v>17</v>
      </c>
      <c r="U127" s="163">
        <f>N127*M127</f>
        <v>36.700000000000003</v>
      </c>
      <c r="V127" s="90"/>
      <c r="W127" s="162" t="s">
        <v>17</v>
      </c>
      <c r="X127" s="95" t="str">
        <f t="shared" ref="X127:AB128" si="321">E127</f>
        <v>cad</v>
      </c>
      <c r="Y127" s="95" t="str">
        <f t="shared" si="321"/>
        <v>cad</v>
      </c>
      <c r="Z127" s="108">
        <f t="shared" si="321"/>
        <v>39.64</v>
      </c>
      <c r="AA127" s="108">
        <f t="shared" si="321"/>
        <v>0</v>
      </c>
      <c r="AB127" s="108">
        <f t="shared" si="321"/>
        <v>39.64</v>
      </c>
      <c r="AC127" s="108">
        <f t="shared" si="220"/>
        <v>39.64</v>
      </c>
      <c r="AD127" s="110"/>
      <c r="AE127" s="92" t="s">
        <v>357</v>
      </c>
      <c r="AF127" s="108">
        <f t="shared" ref="AF127" si="322">N127*M127</f>
        <v>36.700000000000003</v>
      </c>
    </row>
    <row r="128" spans="1:32" s="11" customFormat="1" ht="15.75" customHeight="1">
      <c r="A128" s="18"/>
      <c r="B128" s="161" t="s">
        <v>72</v>
      </c>
      <c r="C128" s="95" t="s">
        <v>24</v>
      </c>
      <c r="D128" s="95">
        <v>1</v>
      </c>
      <c r="E128" s="95" t="s">
        <v>57</v>
      </c>
      <c r="F128" s="95" t="s">
        <v>57</v>
      </c>
      <c r="G128" s="123">
        <v>40.909999999999997</v>
      </c>
      <c r="H128" s="118"/>
      <c r="I128" s="95">
        <f>(G128-H128)</f>
        <v>40.909999999999997</v>
      </c>
      <c r="J128" s="95">
        <f>I128*D128</f>
        <v>40.909999999999997</v>
      </c>
      <c r="K128" s="90"/>
      <c r="L128" s="162" t="s">
        <v>24</v>
      </c>
      <c r="M128" s="108">
        <v>1</v>
      </c>
      <c r="N128" s="145">
        <v>26.71</v>
      </c>
      <c r="O128" s="123">
        <v>3.65</v>
      </c>
      <c r="P128" s="92"/>
      <c r="Q128" s="92"/>
      <c r="R128" s="108">
        <f>(N128*O128-P128)*M128</f>
        <v>97.491500000000002</v>
      </c>
      <c r="S128" s="110"/>
      <c r="T128" s="95" t="s">
        <v>20</v>
      </c>
      <c r="U128" s="163">
        <f>N128*M128</f>
        <v>26.71</v>
      </c>
      <c r="V128" s="90"/>
      <c r="W128" s="162" t="s">
        <v>20</v>
      </c>
      <c r="X128" s="95" t="str">
        <f t="shared" si="321"/>
        <v>cad</v>
      </c>
      <c r="Y128" s="95" t="str">
        <f t="shared" si="321"/>
        <v>cad</v>
      </c>
      <c r="Z128" s="108">
        <f t="shared" si="321"/>
        <v>40.909999999999997</v>
      </c>
      <c r="AA128" s="108">
        <f t="shared" si="321"/>
        <v>0</v>
      </c>
      <c r="AB128" s="108">
        <f t="shared" si="321"/>
        <v>40.909999999999997</v>
      </c>
      <c r="AC128" s="108">
        <f t="shared" si="220"/>
        <v>40.909999999999997</v>
      </c>
      <c r="AD128" s="110"/>
      <c r="AE128" s="92"/>
      <c r="AF128" s="108"/>
    </row>
    <row r="129" spans="1:35" s="11" customFormat="1" ht="15.75" customHeight="1">
      <c r="A129" s="18"/>
      <c r="B129" s="161"/>
      <c r="C129" s="95" t="s">
        <v>24</v>
      </c>
      <c r="D129" s="95">
        <v>1</v>
      </c>
      <c r="E129" s="95" t="s">
        <v>57</v>
      </c>
      <c r="F129" s="95" t="s">
        <v>57</v>
      </c>
      <c r="G129" s="123">
        <v>8.83</v>
      </c>
      <c r="H129" s="118"/>
      <c r="I129" s="95">
        <f>(G129-H129)</f>
        <v>8.83</v>
      </c>
      <c r="J129" s="95">
        <f>I129*D129</f>
        <v>8.83</v>
      </c>
      <c r="K129" s="90"/>
      <c r="L129" s="162"/>
      <c r="M129" s="108"/>
      <c r="N129" s="95"/>
      <c r="O129" s="95"/>
      <c r="P129" s="92"/>
      <c r="Q129" s="92"/>
      <c r="R129" s="108"/>
      <c r="S129" s="110"/>
      <c r="T129" s="95"/>
      <c r="U129" s="163"/>
      <c r="V129" s="90"/>
      <c r="W129" s="162"/>
      <c r="X129" s="95"/>
      <c r="Y129" s="95"/>
      <c r="Z129" s="108"/>
      <c r="AA129" s="108"/>
      <c r="AB129" s="108"/>
      <c r="AC129" s="108"/>
      <c r="AD129" s="110"/>
      <c r="AE129" s="92"/>
      <c r="AF129" s="108"/>
    </row>
    <row r="130" spans="1:35" s="11" customFormat="1" ht="15.75" customHeight="1">
      <c r="A130" s="18"/>
      <c r="B130" s="167" t="s">
        <v>469</v>
      </c>
      <c r="C130" s="95" t="s">
        <v>338</v>
      </c>
      <c r="D130" s="95">
        <v>1</v>
      </c>
      <c r="E130" s="95" t="s">
        <v>57</v>
      </c>
      <c r="F130" s="95" t="s">
        <v>57</v>
      </c>
      <c r="G130" s="168">
        <v>16.29</v>
      </c>
      <c r="H130" s="118"/>
      <c r="I130" s="95">
        <f t="shared" ref="I130:I133" si="323">(G130-H130)</f>
        <v>16.29</v>
      </c>
      <c r="J130" s="95">
        <f t="shared" ref="J130:J133" si="324">I130*D130</f>
        <v>16.29</v>
      </c>
      <c r="K130" s="90"/>
      <c r="L130" s="162"/>
      <c r="M130" s="108"/>
      <c r="N130" s="95"/>
      <c r="O130" s="108"/>
      <c r="P130" s="92"/>
      <c r="Q130" s="92"/>
      <c r="R130" s="108">
        <f t="shared" ref="R130:R134" si="325">(N130*O130-P130)*M130</f>
        <v>0</v>
      </c>
      <c r="S130" s="110"/>
      <c r="T130" s="95"/>
      <c r="U130" s="163"/>
      <c r="V130" s="90"/>
      <c r="W130" s="162"/>
      <c r="X130" s="95"/>
      <c r="Y130" s="95"/>
      <c r="Z130" s="108"/>
      <c r="AA130" s="108"/>
      <c r="AB130" s="108"/>
      <c r="AC130" s="108"/>
      <c r="AD130" s="110"/>
      <c r="AE130" s="92"/>
      <c r="AF130" s="108"/>
    </row>
    <row r="131" spans="1:35" s="11" customFormat="1" ht="15.75" customHeight="1">
      <c r="A131" s="18"/>
      <c r="B131" s="167" t="s">
        <v>470</v>
      </c>
      <c r="C131" s="95" t="s">
        <v>338</v>
      </c>
      <c r="D131" s="95">
        <v>1</v>
      </c>
      <c r="E131" s="95" t="s">
        <v>57</v>
      </c>
      <c r="F131" s="95" t="s">
        <v>57</v>
      </c>
      <c r="G131" s="168">
        <v>19.649999999999999</v>
      </c>
      <c r="H131" s="118"/>
      <c r="I131" s="95">
        <f t="shared" si="323"/>
        <v>19.649999999999999</v>
      </c>
      <c r="J131" s="95">
        <f t="shared" si="324"/>
        <v>19.649999999999999</v>
      </c>
      <c r="K131" s="90"/>
      <c r="L131" s="162"/>
      <c r="M131" s="108"/>
      <c r="N131" s="95"/>
      <c r="O131" s="108"/>
      <c r="P131" s="92"/>
      <c r="Q131" s="92"/>
      <c r="R131" s="108">
        <f t="shared" si="325"/>
        <v>0</v>
      </c>
      <c r="S131" s="110"/>
      <c r="T131" s="95"/>
      <c r="U131" s="163"/>
      <c r="V131" s="90"/>
      <c r="W131" s="162"/>
      <c r="X131" s="95"/>
      <c r="Y131" s="95"/>
      <c r="Z131" s="108"/>
      <c r="AA131" s="108"/>
      <c r="AB131" s="108"/>
      <c r="AC131" s="108"/>
      <c r="AD131" s="110"/>
      <c r="AE131" s="92"/>
      <c r="AF131" s="108"/>
    </row>
    <row r="132" spans="1:35" s="11" customFormat="1" ht="15.75" customHeight="1">
      <c r="A132" s="18"/>
      <c r="B132" s="167" t="s">
        <v>471</v>
      </c>
      <c r="C132" s="95" t="s">
        <v>338</v>
      </c>
      <c r="D132" s="95">
        <v>1</v>
      </c>
      <c r="E132" s="95" t="s">
        <v>57</v>
      </c>
      <c r="F132" s="95" t="s">
        <v>57</v>
      </c>
      <c r="G132" s="168">
        <v>45.12</v>
      </c>
      <c r="H132" s="118"/>
      <c r="I132" s="95">
        <f t="shared" si="323"/>
        <v>45.12</v>
      </c>
      <c r="J132" s="95">
        <f t="shared" si="324"/>
        <v>45.12</v>
      </c>
      <c r="K132" s="90"/>
      <c r="L132" s="162"/>
      <c r="M132" s="108"/>
      <c r="N132" s="95"/>
      <c r="O132" s="108"/>
      <c r="P132" s="92"/>
      <c r="Q132" s="92"/>
      <c r="R132" s="108">
        <f t="shared" si="325"/>
        <v>0</v>
      </c>
      <c r="S132" s="110"/>
      <c r="T132" s="95"/>
      <c r="U132" s="163"/>
      <c r="V132" s="90"/>
      <c r="W132" s="162"/>
      <c r="X132" s="95"/>
      <c r="Y132" s="95"/>
      <c r="Z132" s="108"/>
      <c r="AA132" s="108"/>
      <c r="AB132" s="108"/>
      <c r="AC132" s="108"/>
      <c r="AD132" s="110"/>
      <c r="AE132" s="92"/>
      <c r="AF132" s="108"/>
    </row>
    <row r="133" spans="1:35" s="11" customFormat="1" ht="15.75" customHeight="1">
      <c r="A133" s="18"/>
      <c r="B133" s="167" t="s">
        <v>472</v>
      </c>
      <c r="C133" s="95" t="s">
        <v>338</v>
      </c>
      <c r="D133" s="95">
        <v>1</v>
      </c>
      <c r="E133" s="95" t="s">
        <v>57</v>
      </c>
      <c r="F133" s="95" t="s">
        <v>57</v>
      </c>
      <c r="G133" s="168">
        <v>101</v>
      </c>
      <c r="H133" s="118"/>
      <c r="I133" s="95">
        <f t="shared" si="323"/>
        <v>101</v>
      </c>
      <c r="J133" s="95">
        <f t="shared" si="324"/>
        <v>101</v>
      </c>
      <c r="K133" s="90"/>
      <c r="L133" s="162"/>
      <c r="M133" s="108"/>
      <c r="N133" s="95"/>
      <c r="O133" s="108"/>
      <c r="P133" s="92"/>
      <c r="Q133" s="92"/>
      <c r="R133" s="108">
        <f t="shared" si="325"/>
        <v>0</v>
      </c>
      <c r="S133" s="110"/>
      <c r="T133" s="95"/>
      <c r="U133" s="163"/>
      <c r="V133" s="90"/>
      <c r="W133" s="162"/>
      <c r="X133" s="95"/>
      <c r="Y133" s="95"/>
      <c r="Z133" s="108"/>
      <c r="AA133" s="108"/>
      <c r="AB133" s="108"/>
      <c r="AC133" s="108"/>
      <c r="AD133" s="110"/>
      <c r="AE133" s="92"/>
      <c r="AF133" s="108"/>
    </row>
    <row r="134" spans="1:35" ht="15.75" customHeight="1">
      <c r="A134" s="19"/>
      <c r="B134" s="180" t="s">
        <v>466</v>
      </c>
      <c r="C134" s="181" t="s">
        <v>338</v>
      </c>
      <c r="D134" s="95">
        <v>1</v>
      </c>
      <c r="E134" s="95" t="s">
        <v>57</v>
      </c>
      <c r="F134" s="95" t="s">
        <v>57</v>
      </c>
      <c r="G134" s="182">
        <v>122.69</v>
      </c>
      <c r="H134" s="183"/>
      <c r="I134" s="95">
        <f>(G134-H134)</f>
        <v>122.69</v>
      </c>
      <c r="J134" s="181">
        <f>I134*D134</f>
        <v>122.69</v>
      </c>
      <c r="K134" s="184"/>
      <c r="L134" s="183"/>
      <c r="M134" s="181"/>
      <c r="N134" s="95"/>
      <c r="O134" s="181"/>
      <c r="P134" s="181"/>
      <c r="Q134" s="183"/>
      <c r="R134" s="108">
        <f t="shared" si="325"/>
        <v>0</v>
      </c>
      <c r="S134" s="170"/>
      <c r="T134" s="95"/>
      <c r="U134" s="185"/>
      <c r="V134" s="83"/>
      <c r="W134" s="118"/>
      <c r="X134" s="95"/>
      <c r="Y134" s="95"/>
      <c r="Z134" s="95"/>
      <c r="AA134" s="118"/>
      <c r="AB134" s="118"/>
      <c r="AC134" s="118"/>
      <c r="AD134" s="83"/>
      <c r="AE134" s="118"/>
      <c r="AF134" s="95">
        <f>N134</f>
        <v>0</v>
      </c>
    </row>
    <row r="135" spans="1:35" ht="15.75" customHeight="1">
      <c r="A135" s="19"/>
      <c r="B135" s="180" t="s">
        <v>474</v>
      </c>
      <c r="C135" s="181" t="s">
        <v>338</v>
      </c>
      <c r="D135" s="95">
        <v>1</v>
      </c>
      <c r="E135" s="95" t="s">
        <v>57</v>
      </c>
      <c r="F135" s="95" t="s">
        <v>57</v>
      </c>
      <c r="G135" s="182">
        <v>198.12</v>
      </c>
      <c r="H135" s="183"/>
      <c r="I135" s="95">
        <f>(G135-H135)</f>
        <v>198.12</v>
      </c>
      <c r="J135" s="181">
        <f>I135*D135</f>
        <v>198.12</v>
      </c>
      <c r="K135" s="184"/>
      <c r="L135" s="183"/>
      <c r="M135" s="181"/>
      <c r="N135" s="95"/>
      <c r="O135" s="181"/>
      <c r="P135" s="181"/>
      <c r="Q135" s="186"/>
      <c r="R135" s="108"/>
      <c r="S135" s="170"/>
      <c r="T135" s="95"/>
      <c r="U135" s="185"/>
      <c r="V135" s="83"/>
      <c r="W135" s="118"/>
      <c r="X135" s="95"/>
      <c r="Y135" s="95"/>
      <c r="Z135" s="95"/>
      <c r="AA135" s="118"/>
      <c r="AB135" s="118"/>
      <c r="AC135" s="118"/>
      <c r="AD135" s="83"/>
      <c r="AE135" s="118"/>
      <c r="AF135" s="95"/>
    </row>
    <row r="136" spans="1:35" ht="15.75" customHeight="1">
      <c r="B136" s="187"/>
      <c r="C136" s="83"/>
      <c r="D136" s="83"/>
      <c r="E136" s="83"/>
      <c r="F136" s="188"/>
      <c r="G136" s="170"/>
      <c r="H136" s="83"/>
      <c r="I136" s="83"/>
      <c r="J136" s="189">
        <f>SUM(J11:J135)</f>
        <v>2263.9899999999998</v>
      </c>
      <c r="K136" s="83"/>
      <c r="L136" s="80"/>
      <c r="M136" s="170"/>
      <c r="N136" s="190">
        <f>SUM(N11:N135)</f>
        <v>1634.0999999999995</v>
      </c>
      <c r="O136" s="170"/>
      <c r="P136" s="170"/>
      <c r="Q136" s="83"/>
      <c r="R136" s="190">
        <f>SUM(R11:R135)</f>
        <v>4750.4435000000021</v>
      </c>
      <c r="S136" s="83"/>
      <c r="T136" s="83"/>
      <c r="U136" s="190">
        <f>SUM(U11:U135)</f>
        <v>1549.2599999999993</v>
      </c>
      <c r="V136" s="83"/>
      <c r="W136" s="83"/>
      <c r="X136" s="83"/>
      <c r="Y136" s="83"/>
      <c r="Z136" s="83"/>
      <c r="AA136" s="83"/>
      <c r="AB136" s="83"/>
      <c r="AC136" s="190">
        <f>SUM(AC11:AC135)</f>
        <v>1890.4400000000003</v>
      </c>
      <c r="AD136" s="83"/>
      <c r="AE136" s="85"/>
      <c r="AF136" s="190">
        <f>SUM(AF11:AF46,AF47:AF48,AF49:AF53,AF55:AF64,AF66,AF68:AF71,AF74:AF75,AF79:AF82,AF83:AF84,AF87,AF90,AF98,AF101:AF121,AF122:AF124,AF127)</f>
        <v>1120.96</v>
      </c>
    </row>
    <row r="137" spans="1:35" ht="15.75" customHeight="1">
      <c r="B137" s="205" t="s">
        <v>5</v>
      </c>
      <c r="C137" s="83"/>
      <c r="D137" s="83"/>
      <c r="E137" s="83"/>
      <c r="F137" s="188"/>
      <c r="G137" s="83"/>
      <c r="H137" s="83"/>
      <c r="I137" s="83"/>
      <c r="J137" s="210"/>
      <c r="K137" s="83"/>
      <c r="L137" s="80"/>
      <c r="M137" s="170"/>
      <c r="N137" s="170"/>
      <c r="O137" s="170"/>
      <c r="P137" s="170"/>
      <c r="Q137" s="83"/>
      <c r="R137" s="83"/>
      <c r="S137" s="83"/>
      <c r="T137" s="83"/>
      <c r="U137" s="226"/>
      <c r="V137" s="83"/>
      <c r="W137" s="83"/>
      <c r="X137" s="83"/>
      <c r="Y137" s="83"/>
      <c r="Z137" s="83"/>
      <c r="AA137" s="83"/>
      <c r="AB137" s="83"/>
      <c r="AC137" s="83"/>
      <c r="AD137" s="83"/>
      <c r="AE137" s="85"/>
      <c r="AF137" s="85"/>
      <c r="AG137" s="83"/>
      <c r="AH137" s="83"/>
    </row>
    <row r="138" spans="1:35" ht="15.75" customHeight="1">
      <c r="B138" s="205"/>
      <c r="C138" s="83"/>
      <c r="D138" s="83"/>
      <c r="E138" s="83"/>
      <c r="F138" s="188"/>
      <c r="G138" s="83"/>
      <c r="H138" s="83"/>
      <c r="I138" s="83"/>
      <c r="J138" s="210"/>
      <c r="K138" s="83"/>
      <c r="L138" s="83"/>
      <c r="M138" s="170"/>
      <c r="N138" s="170"/>
      <c r="O138" s="170"/>
      <c r="P138" s="170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5"/>
      <c r="AF138" s="85"/>
      <c r="AG138" s="83"/>
      <c r="AH138" s="83"/>
    </row>
    <row r="139" spans="1:35" ht="15.75" customHeight="1">
      <c r="B139" s="205" t="s">
        <v>3</v>
      </c>
      <c r="C139" s="83"/>
      <c r="D139" s="83"/>
      <c r="E139" s="83"/>
      <c r="F139" s="188"/>
      <c r="G139" s="83"/>
      <c r="H139" s="83"/>
      <c r="I139" s="83"/>
      <c r="J139" s="210"/>
      <c r="K139" s="83"/>
      <c r="L139" s="83"/>
      <c r="M139" s="205" t="s">
        <v>2</v>
      </c>
      <c r="N139" s="83"/>
      <c r="O139" s="170"/>
      <c r="P139" s="170"/>
      <c r="Q139" s="83"/>
      <c r="R139" s="83"/>
      <c r="S139" s="83"/>
      <c r="T139" s="83"/>
      <c r="U139" s="83"/>
      <c r="V139" s="83"/>
      <c r="W139" s="83"/>
      <c r="X139" s="205" t="s">
        <v>4</v>
      </c>
      <c r="Y139" s="83"/>
      <c r="Z139" s="83"/>
      <c r="AA139" s="83"/>
      <c r="AB139" s="83"/>
      <c r="AC139" s="83"/>
      <c r="AD139" s="83"/>
      <c r="AE139" s="227" t="s">
        <v>34</v>
      </c>
      <c r="AF139" s="80"/>
      <c r="AG139" s="80"/>
      <c r="AH139" s="80"/>
      <c r="AI139" s="10"/>
    </row>
    <row r="140" spans="1:35" ht="15.75" customHeight="1">
      <c r="B140" s="95" t="s">
        <v>17</v>
      </c>
      <c r="C140" s="218">
        <f>SUMIF(C$11:C$135,B140,J$11:J$135)</f>
        <v>1354.7499999999998</v>
      </c>
      <c r="D140" s="313"/>
      <c r="E140" s="199"/>
      <c r="F140" s="188"/>
      <c r="G140" s="83"/>
      <c r="H140" s="83"/>
      <c r="I140" s="83"/>
      <c r="J140" s="210"/>
      <c r="K140" s="83"/>
      <c r="L140" s="83"/>
      <c r="M140" s="118" t="s">
        <v>17</v>
      </c>
      <c r="N140" s="219">
        <f>SUMIF(L$11:L$135,M140,R$11:R$135)</f>
        <v>1967.4059999999995</v>
      </c>
      <c r="O140" s="170"/>
      <c r="P140" s="170"/>
      <c r="Q140" s="83"/>
      <c r="R140" s="83"/>
      <c r="S140" s="83"/>
      <c r="T140" s="83"/>
      <c r="U140" s="83"/>
      <c r="V140" s="83"/>
      <c r="W140" s="83"/>
      <c r="X140" s="228" t="s">
        <v>17</v>
      </c>
      <c r="Y140" s="221">
        <f>SUMIF(W$11:W$135,X140,AC$11:AC$135)</f>
        <v>1021.0500000000003</v>
      </c>
      <c r="Z140" s="83"/>
      <c r="AA140" s="83"/>
      <c r="AB140" s="83"/>
      <c r="AC140" s="83"/>
      <c r="AD140" s="83"/>
      <c r="AE140" s="118" t="s">
        <v>39</v>
      </c>
      <c r="AF140" s="324" t="s">
        <v>364</v>
      </c>
      <c r="AG140" s="324"/>
      <c r="AH140" s="324"/>
      <c r="AI140" s="8" t="s">
        <v>365</v>
      </c>
    </row>
    <row r="141" spans="1:35" ht="15.75" customHeight="1">
      <c r="B141" s="95" t="s">
        <v>18</v>
      </c>
      <c r="C141" s="218">
        <f t="shared" ref="C141:C153" si="326">SUMIF(C$11:C$135,B141,J$11:J$135)</f>
        <v>0</v>
      </c>
      <c r="D141" s="83"/>
      <c r="E141" s="199"/>
      <c r="F141" s="188"/>
      <c r="G141" s="83"/>
      <c r="H141" s="83"/>
      <c r="I141" s="83"/>
      <c r="J141" s="210"/>
      <c r="K141" s="83"/>
      <c r="L141" s="83"/>
      <c r="M141" s="118" t="s">
        <v>18</v>
      </c>
      <c r="N141" s="219">
        <f t="shared" ref="N141:N159" si="327">SUMIF(L$11:L$135,M141,R$11:R$135)</f>
        <v>382.83299999999997</v>
      </c>
      <c r="O141" s="170"/>
      <c r="P141" s="170"/>
      <c r="Q141" s="83"/>
      <c r="R141" s="83"/>
      <c r="S141" s="83"/>
      <c r="T141" s="83"/>
      <c r="U141" s="83"/>
      <c r="V141" s="83"/>
      <c r="W141" s="83"/>
      <c r="X141" s="228" t="s">
        <v>18</v>
      </c>
      <c r="Y141" s="221">
        <f t="shared" ref="Y141:Y149" si="328">SUMIF(W$11:W$135,X141,AC$11:AC$135)</f>
        <v>100.02999999999999</v>
      </c>
      <c r="Z141" s="83"/>
      <c r="AA141" s="83"/>
      <c r="AB141" s="83"/>
      <c r="AC141" s="83"/>
      <c r="AD141" s="83"/>
      <c r="AE141" s="118" t="s">
        <v>357</v>
      </c>
      <c r="AF141" s="323" t="s">
        <v>363</v>
      </c>
      <c r="AG141" s="323"/>
      <c r="AH141" s="323"/>
      <c r="AI141" s="24">
        <f>AF136</f>
        <v>1120.96</v>
      </c>
    </row>
    <row r="142" spans="1:35" ht="15.75" customHeight="1">
      <c r="B142" s="95" t="s">
        <v>19</v>
      </c>
      <c r="C142" s="218">
        <f t="shared" si="326"/>
        <v>0</v>
      </c>
      <c r="D142" s="83"/>
      <c r="E142" s="191"/>
      <c r="F142" s="188"/>
      <c r="G142" s="83"/>
      <c r="H142" s="83"/>
      <c r="I142" s="83"/>
      <c r="J142" s="210"/>
      <c r="K142" s="83"/>
      <c r="L142" s="83"/>
      <c r="M142" s="118" t="s">
        <v>19</v>
      </c>
      <c r="N142" s="219">
        <f t="shared" si="327"/>
        <v>711.16599999999994</v>
      </c>
      <c r="O142" s="170"/>
      <c r="P142" s="170"/>
      <c r="Q142" s="83"/>
      <c r="R142" s="83"/>
      <c r="S142" s="83"/>
      <c r="T142" s="83"/>
      <c r="U142" s="83"/>
      <c r="V142" s="83"/>
      <c r="W142" s="83"/>
      <c r="X142" s="228" t="s">
        <v>19</v>
      </c>
      <c r="Y142" s="221">
        <f t="shared" si="328"/>
        <v>410.58000000000015</v>
      </c>
      <c r="Z142" s="83"/>
      <c r="AA142" s="83"/>
      <c r="AB142" s="83"/>
      <c r="AC142" s="83"/>
      <c r="AD142" s="83"/>
      <c r="AE142" s="85"/>
      <c r="AF142" s="85"/>
      <c r="AG142" s="83"/>
      <c r="AH142" s="83"/>
    </row>
    <row r="143" spans="1:35" ht="15.75" customHeight="1">
      <c r="B143" s="95" t="s">
        <v>20</v>
      </c>
      <c r="C143" s="218">
        <f t="shared" si="326"/>
        <v>79.710000000000008</v>
      </c>
      <c r="D143" s="83"/>
      <c r="E143" s="191"/>
      <c r="F143" s="188"/>
      <c r="G143" s="83"/>
      <c r="H143" s="83"/>
      <c r="I143" s="83"/>
      <c r="J143" s="210"/>
      <c r="K143" s="83"/>
      <c r="L143" s="83"/>
      <c r="M143" s="118" t="s">
        <v>20</v>
      </c>
      <c r="N143" s="219">
        <f t="shared" si="327"/>
        <v>27.27</v>
      </c>
      <c r="O143" s="170"/>
      <c r="P143" s="170"/>
      <c r="Q143" s="83"/>
      <c r="R143" s="83"/>
      <c r="S143" s="83"/>
      <c r="T143" s="83"/>
      <c r="U143" s="83"/>
      <c r="V143" s="83"/>
      <c r="W143" s="83"/>
      <c r="X143" s="228" t="s">
        <v>20</v>
      </c>
      <c r="Y143" s="221">
        <f t="shared" si="328"/>
        <v>269.44000000000005</v>
      </c>
      <c r="Z143" s="83"/>
      <c r="AA143" s="83"/>
      <c r="AB143" s="83"/>
      <c r="AC143" s="83"/>
      <c r="AD143" s="83"/>
      <c r="AE143" s="85"/>
      <c r="AF143" s="85"/>
      <c r="AG143" s="83"/>
      <c r="AH143" s="83"/>
    </row>
    <row r="144" spans="1:35" ht="15.75" customHeight="1">
      <c r="B144" s="95" t="s">
        <v>21</v>
      </c>
      <c r="C144" s="218">
        <f t="shared" si="326"/>
        <v>0</v>
      </c>
      <c r="D144" s="83"/>
      <c r="E144" s="191"/>
      <c r="F144" s="188"/>
      <c r="G144" s="83"/>
      <c r="H144" s="83"/>
      <c r="I144" s="83"/>
      <c r="J144" s="210"/>
      <c r="K144" s="83"/>
      <c r="L144" s="83"/>
      <c r="M144" s="118" t="s">
        <v>21</v>
      </c>
      <c r="N144" s="219">
        <f t="shared" si="327"/>
        <v>0</v>
      </c>
      <c r="O144" s="170"/>
      <c r="P144" s="170"/>
      <c r="Q144" s="83"/>
      <c r="R144" s="83"/>
      <c r="S144" s="83"/>
      <c r="T144" s="83"/>
      <c r="U144" s="83"/>
      <c r="V144" s="83"/>
      <c r="W144" s="83"/>
      <c r="X144" s="228" t="s">
        <v>21</v>
      </c>
      <c r="Y144" s="221">
        <f t="shared" si="328"/>
        <v>0</v>
      </c>
      <c r="Z144" s="83"/>
      <c r="AA144" s="83"/>
      <c r="AB144" s="83"/>
      <c r="AC144" s="83"/>
      <c r="AD144" s="83"/>
      <c r="AE144" s="85"/>
      <c r="AF144" s="85"/>
      <c r="AG144" s="83"/>
      <c r="AH144" s="83"/>
    </row>
    <row r="145" spans="2:34" ht="15.75" customHeight="1">
      <c r="B145" s="95" t="s">
        <v>22</v>
      </c>
      <c r="C145" s="218">
        <f t="shared" si="326"/>
        <v>0</v>
      </c>
      <c r="D145" s="83"/>
      <c r="E145" s="191"/>
      <c r="F145" s="188"/>
      <c r="G145" s="83"/>
      <c r="H145" s="83"/>
      <c r="I145" s="83"/>
      <c r="J145" s="210"/>
      <c r="K145" s="83"/>
      <c r="L145" s="83"/>
      <c r="M145" s="118" t="s">
        <v>22</v>
      </c>
      <c r="N145" s="219">
        <f t="shared" si="327"/>
        <v>109.215</v>
      </c>
      <c r="O145" s="170"/>
      <c r="P145" s="170"/>
      <c r="Q145" s="83"/>
      <c r="R145" s="83"/>
      <c r="S145" s="83"/>
      <c r="T145" s="83"/>
      <c r="U145" s="83"/>
      <c r="V145" s="83"/>
      <c r="W145" s="83"/>
      <c r="X145" s="228" t="s">
        <v>22</v>
      </c>
      <c r="Y145" s="221">
        <f t="shared" si="328"/>
        <v>0</v>
      </c>
      <c r="Z145" s="83"/>
      <c r="AA145" s="83"/>
      <c r="AB145" s="83"/>
      <c r="AC145" s="83"/>
      <c r="AD145" s="83"/>
      <c r="AE145" s="85"/>
      <c r="AF145" s="85"/>
      <c r="AG145" s="83"/>
      <c r="AH145" s="83"/>
    </row>
    <row r="146" spans="2:34" ht="15.75" customHeight="1">
      <c r="B146" s="95" t="s">
        <v>23</v>
      </c>
      <c r="C146" s="218">
        <f t="shared" si="326"/>
        <v>0</v>
      </c>
      <c r="D146" s="83"/>
      <c r="E146" s="191"/>
      <c r="F146" s="188"/>
      <c r="G146" s="83"/>
      <c r="H146" s="83"/>
      <c r="I146" s="83"/>
      <c r="J146" s="210"/>
      <c r="K146" s="83"/>
      <c r="L146" s="83"/>
      <c r="M146" s="118" t="s">
        <v>23</v>
      </c>
      <c r="N146" s="219">
        <f t="shared" si="327"/>
        <v>0</v>
      </c>
      <c r="O146" s="170"/>
      <c r="P146" s="170"/>
      <c r="Q146" s="83"/>
      <c r="R146" s="83"/>
      <c r="S146" s="83"/>
      <c r="T146" s="83"/>
      <c r="U146" s="83"/>
      <c r="V146" s="83"/>
      <c r="W146" s="83"/>
      <c r="X146" s="228" t="s">
        <v>23</v>
      </c>
      <c r="Y146" s="221">
        <f t="shared" si="328"/>
        <v>0</v>
      </c>
      <c r="Z146" s="83"/>
      <c r="AA146" s="83"/>
      <c r="AB146" s="83"/>
      <c r="AC146" s="83"/>
      <c r="AD146" s="83"/>
      <c r="AE146" s="85"/>
      <c r="AF146" s="85"/>
      <c r="AG146" s="83"/>
      <c r="AH146" s="83"/>
    </row>
    <row r="147" spans="2:34" ht="15.75" customHeight="1">
      <c r="B147" s="95" t="s">
        <v>24</v>
      </c>
      <c r="C147" s="218">
        <f t="shared" si="326"/>
        <v>306.33999999999997</v>
      </c>
      <c r="D147" s="83"/>
      <c r="E147" s="191"/>
      <c r="F147" s="188"/>
      <c r="G147" s="83"/>
      <c r="H147" s="83"/>
      <c r="I147" s="83"/>
      <c r="J147" s="210"/>
      <c r="K147" s="83"/>
      <c r="L147" s="83"/>
      <c r="M147" s="118" t="s">
        <v>24</v>
      </c>
      <c r="N147" s="219">
        <f t="shared" si="327"/>
        <v>993.56649999999991</v>
      </c>
      <c r="O147" s="170"/>
      <c r="P147" s="170"/>
      <c r="Q147" s="83"/>
      <c r="R147" s="83"/>
      <c r="S147" s="83"/>
      <c r="T147" s="83"/>
      <c r="U147" s="83"/>
      <c r="V147" s="83"/>
      <c r="W147" s="83"/>
      <c r="X147" s="228" t="s">
        <v>24</v>
      </c>
      <c r="Y147" s="221">
        <f t="shared" si="328"/>
        <v>56.800000000000004</v>
      </c>
      <c r="Z147" s="83"/>
      <c r="AA147" s="83"/>
      <c r="AB147" s="83"/>
      <c r="AC147" s="83"/>
      <c r="AD147" s="83"/>
      <c r="AE147" s="85"/>
      <c r="AF147" s="85"/>
      <c r="AG147" s="83"/>
      <c r="AH147" s="83"/>
    </row>
    <row r="148" spans="2:34" ht="15.75" customHeight="1">
      <c r="B148" s="95" t="s">
        <v>25</v>
      </c>
      <c r="C148" s="218">
        <f t="shared" si="326"/>
        <v>0</v>
      </c>
      <c r="D148" s="83"/>
      <c r="E148" s="191"/>
      <c r="F148" s="188"/>
      <c r="G148" s="83"/>
      <c r="H148" s="83"/>
      <c r="I148" s="83"/>
      <c r="J148" s="210"/>
      <c r="K148" s="83"/>
      <c r="L148" s="83"/>
      <c r="M148" s="118" t="s">
        <v>25</v>
      </c>
      <c r="N148" s="219">
        <f t="shared" si="327"/>
        <v>0</v>
      </c>
      <c r="O148" s="170"/>
      <c r="P148" s="170"/>
      <c r="Q148" s="83"/>
      <c r="R148" s="83"/>
      <c r="S148" s="83"/>
      <c r="T148" s="83"/>
      <c r="U148" s="83"/>
      <c r="V148" s="83"/>
      <c r="W148" s="83"/>
      <c r="X148" s="228" t="s">
        <v>25</v>
      </c>
      <c r="Y148" s="221">
        <f t="shared" si="328"/>
        <v>0</v>
      </c>
      <c r="Z148" s="83"/>
      <c r="AA148" s="83"/>
      <c r="AB148" s="83"/>
      <c r="AC148" s="83"/>
      <c r="AD148" s="83"/>
      <c r="AE148" s="85"/>
      <c r="AF148" s="85"/>
      <c r="AG148" s="83"/>
      <c r="AH148" s="83"/>
    </row>
    <row r="149" spans="2:34" ht="15.75" customHeight="1">
      <c r="B149" s="95" t="s">
        <v>26</v>
      </c>
      <c r="C149" s="218">
        <f t="shared" si="326"/>
        <v>0</v>
      </c>
      <c r="D149" s="83"/>
      <c r="E149" s="191"/>
      <c r="F149" s="188"/>
      <c r="G149" s="83"/>
      <c r="H149" s="83"/>
      <c r="I149" s="83"/>
      <c r="J149" s="210"/>
      <c r="K149" s="83"/>
      <c r="L149" s="83"/>
      <c r="M149" s="118" t="s">
        <v>26</v>
      </c>
      <c r="N149" s="219">
        <f t="shared" si="327"/>
        <v>0</v>
      </c>
      <c r="O149" s="170"/>
      <c r="P149" s="170"/>
      <c r="Q149" s="83"/>
      <c r="R149" s="83"/>
      <c r="S149" s="83"/>
      <c r="T149" s="83"/>
      <c r="U149" s="83"/>
      <c r="V149" s="83"/>
      <c r="W149" s="83"/>
      <c r="X149" s="228" t="s">
        <v>26</v>
      </c>
      <c r="Y149" s="221">
        <f t="shared" si="328"/>
        <v>32.54</v>
      </c>
      <c r="Z149" s="83"/>
      <c r="AA149" s="83"/>
      <c r="AB149" s="83"/>
      <c r="AC149" s="83"/>
      <c r="AD149" s="83"/>
      <c r="AE149" s="85"/>
      <c r="AF149" s="85"/>
      <c r="AG149" s="83"/>
      <c r="AH149" s="83"/>
    </row>
    <row r="150" spans="2:34" ht="15.75" customHeight="1">
      <c r="B150" s="95" t="s">
        <v>27</v>
      </c>
      <c r="C150" s="218">
        <f t="shared" si="326"/>
        <v>0</v>
      </c>
      <c r="D150" s="83"/>
      <c r="E150" s="191"/>
      <c r="F150" s="188"/>
      <c r="G150" s="83"/>
      <c r="H150" s="83"/>
      <c r="I150" s="83"/>
      <c r="J150" s="210"/>
      <c r="K150" s="83"/>
      <c r="L150" s="83"/>
      <c r="M150" s="118" t="s">
        <v>27</v>
      </c>
      <c r="N150" s="219">
        <f t="shared" si="327"/>
        <v>0</v>
      </c>
      <c r="O150" s="170"/>
      <c r="P150" s="170"/>
      <c r="Q150" s="83"/>
      <c r="R150" s="83"/>
      <c r="S150" s="83"/>
      <c r="T150" s="83"/>
      <c r="U150" s="83"/>
      <c r="V150" s="83"/>
      <c r="W150" s="83"/>
      <c r="X150" s="85"/>
      <c r="Y150" s="189">
        <f>SUM(Y140:Y149)</f>
        <v>1890.4400000000005</v>
      </c>
      <c r="Z150" s="83"/>
      <c r="AA150" s="83"/>
      <c r="AB150" s="83"/>
      <c r="AC150" s="83"/>
      <c r="AD150" s="83"/>
      <c r="AE150" s="85"/>
      <c r="AF150" s="85"/>
      <c r="AG150" s="83"/>
      <c r="AH150" s="83"/>
    </row>
    <row r="151" spans="2:34" ht="15.75" customHeight="1">
      <c r="B151" s="95" t="s">
        <v>337</v>
      </c>
      <c r="C151" s="218">
        <f t="shared" si="326"/>
        <v>20.32</v>
      </c>
      <c r="D151" s="83"/>
      <c r="E151" s="191"/>
      <c r="F151" s="188"/>
      <c r="G151" s="83"/>
      <c r="H151" s="83"/>
      <c r="I151" s="83"/>
      <c r="J151" s="210"/>
      <c r="K151" s="83"/>
      <c r="L151" s="83"/>
      <c r="M151" s="118" t="s">
        <v>337</v>
      </c>
      <c r="N151" s="219">
        <f t="shared" si="327"/>
        <v>0</v>
      </c>
      <c r="O151" s="170"/>
      <c r="P151" s="170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5"/>
      <c r="AF151" s="85"/>
      <c r="AG151" s="83"/>
      <c r="AH151" s="83"/>
    </row>
    <row r="152" spans="2:34" ht="15.75" customHeight="1">
      <c r="B152" s="95" t="s">
        <v>338</v>
      </c>
      <c r="C152" s="218">
        <f t="shared" si="326"/>
        <v>502.87</v>
      </c>
      <c r="D152" s="83"/>
      <c r="E152" s="191"/>
      <c r="F152" s="188"/>
      <c r="G152" s="83"/>
      <c r="H152" s="83"/>
      <c r="I152" s="83"/>
      <c r="J152" s="210"/>
      <c r="K152" s="83"/>
      <c r="L152" s="83"/>
      <c r="M152" s="118" t="s">
        <v>338</v>
      </c>
      <c r="N152" s="219">
        <f t="shared" si="327"/>
        <v>0</v>
      </c>
      <c r="O152" s="170"/>
      <c r="P152" s="170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5"/>
      <c r="AF152" s="85"/>
      <c r="AG152" s="83"/>
      <c r="AH152" s="83"/>
    </row>
    <row r="153" spans="2:34" ht="15.75" customHeight="1">
      <c r="B153" s="95"/>
      <c r="C153" s="218">
        <f t="shared" si="326"/>
        <v>0</v>
      </c>
      <c r="D153" s="83"/>
      <c r="E153" s="191"/>
      <c r="F153" s="188"/>
      <c r="G153" s="83"/>
      <c r="H153" s="83"/>
      <c r="I153" s="83"/>
      <c r="J153" s="210"/>
      <c r="K153" s="83"/>
      <c r="L153" s="83"/>
      <c r="M153" s="118" t="s">
        <v>339</v>
      </c>
      <c r="N153" s="219">
        <f t="shared" si="327"/>
        <v>0</v>
      </c>
      <c r="O153" s="170"/>
      <c r="P153" s="170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5"/>
      <c r="AF153" s="85"/>
      <c r="AG153" s="83"/>
      <c r="AH153" s="83"/>
    </row>
    <row r="154" spans="2:34" ht="15.75" customHeight="1">
      <c r="B154" s="210"/>
      <c r="C154" s="211">
        <f>SUM(C140:C153)</f>
        <v>2263.9899999999998</v>
      </c>
      <c r="D154" s="170"/>
      <c r="E154" s="83"/>
      <c r="F154" s="188"/>
      <c r="G154" s="83"/>
      <c r="H154" s="83"/>
      <c r="I154" s="83"/>
      <c r="J154" s="210"/>
      <c r="K154" s="83"/>
      <c r="L154" s="83"/>
      <c r="M154" s="118" t="s">
        <v>28</v>
      </c>
      <c r="N154" s="219">
        <f t="shared" si="327"/>
        <v>0</v>
      </c>
      <c r="O154" s="170"/>
      <c r="P154" s="170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5"/>
      <c r="AF154" s="85"/>
      <c r="AG154" s="83"/>
      <c r="AH154" s="83"/>
    </row>
    <row r="155" spans="2:34" ht="15.75" customHeight="1">
      <c r="B155" s="187"/>
      <c r="C155" s="83"/>
      <c r="D155" s="83"/>
      <c r="E155" s="83"/>
      <c r="F155" s="188"/>
      <c r="G155" s="83"/>
      <c r="H155" s="83"/>
      <c r="I155" s="83"/>
      <c r="J155" s="210"/>
      <c r="K155" s="83"/>
      <c r="L155" s="83"/>
      <c r="M155" s="118" t="s">
        <v>29</v>
      </c>
      <c r="N155" s="219">
        <f t="shared" si="327"/>
        <v>0</v>
      </c>
      <c r="O155" s="170"/>
      <c r="P155" s="170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5"/>
      <c r="AF155" s="85"/>
      <c r="AG155" s="83"/>
      <c r="AH155" s="83"/>
    </row>
    <row r="156" spans="2:34" ht="15.75" customHeight="1">
      <c r="B156" s="187"/>
      <c r="C156" s="83"/>
      <c r="D156" s="83"/>
      <c r="E156" s="83"/>
      <c r="F156" s="188"/>
      <c r="G156" s="83"/>
      <c r="H156" s="83"/>
      <c r="I156" s="83"/>
      <c r="J156" s="210"/>
      <c r="K156" s="83"/>
      <c r="L156" s="83"/>
      <c r="M156" s="118" t="s">
        <v>30</v>
      </c>
      <c r="N156" s="219">
        <f t="shared" si="327"/>
        <v>0</v>
      </c>
      <c r="O156" s="170"/>
      <c r="P156" s="170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5"/>
      <c r="AF156" s="85"/>
      <c r="AG156" s="83"/>
      <c r="AH156" s="83"/>
    </row>
    <row r="157" spans="2:34" ht="15.75" customHeight="1">
      <c r="B157" s="187"/>
      <c r="C157" s="83"/>
      <c r="D157" s="83"/>
      <c r="E157" s="83"/>
      <c r="F157" s="188"/>
      <c r="G157" s="83"/>
      <c r="H157" s="83"/>
      <c r="I157" s="83"/>
      <c r="J157" s="210"/>
      <c r="K157" s="83"/>
      <c r="L157" s="83"/>
      <c r="M157" s="118" t="s">
        <v>340</v>
      </c>
      <c r="N157" s="219">
        <f t="shared" si="327"/>
        <v>0</v>
      </c>
      <c r="O157" s="170"/>
      <c r="P157" s="170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5"/>
      <c r="AF157" s="85"/>
      <c r="AG157" s="83"/>
      <c r="AH157" s="83"/>
    </row>
    <row r="158" spans="2:34" ht="15.75" customHeight="1">
      <c r="B158" s="187"/>
      <c r="C158" s="83"/>
      <c r="D158" s="83"/>
      <c r="E158" s="83"/>
      <c r="F158" s="188"/>
      <c r="G158" s="83"/>
      <c r="H158" s="83"/>
      <c r="I158" s="83"/>
      <c r="J158" s="210"/>
      <c r="K158" s="83"/>
      <c r="L158" s="83"/>
      <c r="M158" s="118" t="s">
        <v>341</v>
      </c>
      <c r="N158" s="219">
        <f t="shared" si="327"/>
        <v>558.98699999999997</v>
      </c>
      <c r="O158" s="170"/>
      <c r="P158" s="170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5"/>
      <c r="AF158" s="85"/>
      <c r="AG158" s="83"/>
      <c r="AH158" s="83"/>
    </row>
    <row r="159" spans="2:34" ht="15.75" customHeight="1">
      <c r="B159" s="187"/>
      <c r="C159" s="83"/>
      <c r="D159" s="83"/>
      <c r="E159" s="83"/>
      <c r="F159" s="188"/>
      <c r="G159" s="83"/>
      <c r="H159" s="83"/>
      <c r="I159" s="83"/>
      <c r="J159" s="210"/>
      <c r="K159" s="83"/>
      <c r="L159" s="83"/>
      <c r="M159" s="118" t="s">
        <v>31</v>
      </c>
      <c r="N159" s="219">
        <f t="shared" si="327"/>
        <v>0</v>
      </c>
      <c r="O159" s="170"/>
      <c r="P159" s="170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5"/>
      <c r="AF159" s="85"/>
      <c r="AG159" s="83"/>
      <c r="AH159" s="83"/>
    </row>
    <row r="160" spans="2:34" ht="15.75" customHeight="1">
      <c r="B160" s="187"/>
      <c r="C160" s="83"/>
      <c r="D160" s="83"/>
      <c r="E160" s="83"/>
      <c r="F160" s="188"/>
      <c r="G160" s="83"/>
      <c r="H160" s="83"/>
      <c r="I160" s="83"/>
      <c r="J160" s="210"/>
      <c r="K160" s="83"/>
      <c r="L160" s="83"/>
      <c r="M160" s="187"/>
      <c r="N160" s="190">
        <f>SUM(N140:N159)</f>
        <v>4750.4435000000003</v>
      </c>
      <c r="O160" s="170"/>
      <c r="P160" s="170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5"/>
      <c r="AF160" s="85"/>
      <c r="AG160" s="83"/>
      <c r="AH160" s="83"/>
    </row>
    <row r="161" spans="2:34" ht="15.75" customHeight="1">
      <c r="B161" s="227" t="s">
        <v>33</v>
      </c>
      <c r="C161" s="80"/>
      <c r="D161" s="80"/>
      <c r="E161" s="80"/>
      <c r="F161" s="188"/>
      <c r="G161" s="83"/>
      <c r="H161" s="83"/>
      <c r="I161" s="83"/>
      <c r="J161" s="210"/>
      <c r="K161" s="83"/>
      <c r="L161" s="83"/>
      <c r="M161" s="170"/>
      <c r="N161" s="170"/>
      <c r="O161" s="170"/>
      <c r="P161" s="170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5"/>
      <c r="AF161" s="85"/>
      <c r="AG161" s="83"/>
      <c r="AH161" s="83"/>
    </row>
    <row r="162" spans="2:34" ht="15.75" customHeight="1">
      <c r="B162" s="83"/>
      <c r="C162" s="80"/>
      <c r="D162" s="80"/>
      <c r="E162" s="80"/>
      <c r="F162" s="188"/>
      <c r="G162" s="83"/>
      <c r="H162" s="83"/>
      <c r="I162" s="83"/>
      <c r="J162" s="210"/>
      <c r="K162" s="83"/>
      <c r="L162" s="83"/>
      <c r="M162" s="170"/>
      <c r="N162" s="170"/>
      <c r="O162" s="170"/>
      <c r="P162" s="170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5"/>
      <c r="AF162" s="85"/>
      <c r="AG162" s="83"/>
      <c r="AH162" s="83"/>
    </row>
    <row r="163" spans="2:34" ht="60" customHeight="1">
      <c r="B163" s="91" t="s">
        <v>17</v>
      </c>
      <c r="C163" s="323" t="s">
        <v>359</v>
      </c>
      <c r="D163" s="323"/>
      <c r="E163" s="323"/>
      <c r="F163" s="213">
        <f>SUMIF(T$11:T$135,B163,U$11:U$135)</f>
        <v>497.80999999999995</v>
      </c>
      <c r="G163" s="83"/>
      <c r="H163" s="83"/>
      <c r="I163" s="83"/>
      <c r="J163" s="210"/>
      <c r="K163" s="83"/>
      <c r="L163" s="83"/>
      <c r="M163" s="170"/>
      <c r="N163" s="170"/>
      <c r="O163" s="170"/>
      <c r="P163" s="170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5"/>
      <c r="AF163" s="85"/>
      <c r="AG163" s="83"/>
      <c r="AH163" s="83"/>
    </row>
    <row r="164" spans="2:34" ht="60" customHeight="1">
      <c r="B164" s="91" t="s">
        <v>18</v>
      </c>
      <c r="C164" s="323" t="s">
        <v>360</v>
      </c>
      <c r="D164" s="323"/>
      <c r="E164" s="323"/>
      <c r="F164" s="213">
        <f>SUMIF(T$11:T$135,B164,U$11:U$135)</f>
        <v>141.79</v>
      </c>
      <c r="G164" s="83"/>
      <c r="H164" s="83"/>
      <c r="I164" s="83"/>
      <c r="J164" s="210"/>
      <c r="K164" s="83"/>
      <c r="L164" s="83"/>
      <c r="M164" s="170"/>
      <c r="N164" s="170"/>
      <c r="O164" s="170"/>
      <c r="P164" s="170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5"/>
      <c r="AF164" s="85"/>
      <c r="AG164" s="83"/>
      <c r="AH164" s="83"/>
    </row>
    <row r="165" spans="2:34" ht="25.05" customHeight="1">
      <c r="B165" s="91" t="s">
        <v>19</v>
      </c>
      <c r="C165" s="323" t="s">
        <v>361</v>
      </c>
      <c r="D165" s="323"/>
      <c r="E165" s="323"/>
      <c r="F165" s="213">
        <f>SUMIF(T$11:T$135,B165,U$11:U$135)</f>
        <v>306.5</v>
      </c>
      <c r="G165" s="83"/>
      <c r="H165" s="83"/>
      <c r="I165" s="83"/>
      <c r="J165" s="210"/>
      <c r="K165" s="83"/>
      <c r="L165" s="83"/>
      <c r="M165" s="170"/>
      <c r="N165" s="170"/>
      <c r="O165" s="170"/>
      <c r="P165" s="170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5"/>
      <c r="AF165" s="85"/>
      <c r="AG165" s="83"/>
      <c r="AH165" s="83"/>
    </row>
    <row r="166" spans="2:34" ht="49.95" customHeight="1">
      <c r="B166" s="91" t="s">
        <v>20</v>
      </c>
      <c r="C166" s="323" t="s">
        <v>362</v>
      </c>
      <c r="D166" s="323"/>
      <c r="E166" s="323"/>
      <c r="F166" s="213">
        <f>SUMIF(T$11:T$135,B166,U$11:U$135)</f>
        <v>257.62</v>
      </c>
      <c r="G166" s="83"/>
      <c r="H166" s="83"/>
      <c r="I166" s="83"/>
      <c r="J166" s="210"/>
      <c r="K166" s="83"/>
      <c r="L166" s="83"/>
      <c r="M166" s="170"/>
      <c r="N166" s="170"/>
      <c r="O166" s="170"/>
      <c r="P166" s="170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5"/>
      <c r="AF166" s="85"/>
      <c r="AG166" s="83"/>
      <c r="AH166" s="83"/>
    </row>
    <row r="167" spans="2:34" ht="60" customHeight="1">
      <c r="B167" s="91" t="s">
        <v>21</v>
      </c>
      <c r="C167" s="323" t="s">
        <v>532</v>
      </c>
      <c r="D167" s="323"/>
      <c r="E167" s="323"/>
      <c r="F167" s="213">
        <f>SUMIF(T$11:T$135,B167,U$11:U$135)</f>
        <v>345.54</v>
      </c>
      <c r="G167" s="83"/>
      <c r="H167" s="83"/>
      <c r="I167" s="83"/>
      <c r="J167" s="210"/>
      <c r="K167" s="83"/>
      <c r="L167" s="83"/>
      <c r="M167" s="170"/>
      <c r="N167" s="170"/>
      <c r="O167" s="170"/>
      <c r="P167" s="170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5"/>
      <c r="AF167" s="85"/>
      <c r="AG167" s="83"/>
      <c r="AH167" s="83"/>
    </row>
    <row r="168" spans="2:34" ht="15.75" customHeight="1">
      <c r="B168" s="83"/>
      <c r="C168" s="80"/>
      <c r="D168" s="80"/>
      <c r="E168" s="80"/>
      <c r="F168" s="214">
        <f>SUM(F163:F167)</f>
        <v>1549.2599999999998</v>
      </c>
      <c r="G168" s="83"/>
      <c r="H168" s="83"/>
      <c r="I168" s="83"/>
      <c r="J168" s="210"/>
      <c r="K168" s="83"/>
      <c r="L168" s="83"/>
      <c r="M168" s="170"/>
      <c r="N168" s="170"/>
      <c r="O168" s="170"/>
      <c r="P168" s="170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5"/>
      <c r="AF168" s="85"/>
      <c r="AG168" s="83"/>
      <c r="AH168" s="83"/>
    </row>
    <row r="169" spans="2:34" ht="15.75" customHeight="1">
      <c r="B169" s="187"/>
      <c r="C169" s="83"/>
      <c r="D169" s="83"/>
      <c r="E169" s="83"/>
      <c r="F169" s="188"/>
      <c r="G169" s="83"/>
      <c r="H169" s="83"/>
      <c r="I169" s="83"/>
      <c r="J169" s="210"/>
      <c r="K169" s="83"/>
      <c r="L169" s="83"/>
      <c r="M169" s="170"/>
      <c r="N169" s="170"/>
      <c r="O169" s="170"/>
      <c r="P169" s="170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5"/>
      <c r="AF169" s="85"/>
      <c r="AG169" s="83"/>
      <c r="AH169" s="83"/>
    </row>
    <row r="170" spans="2:34" ht="15.75" customHeight="1">
      <c r="B170" s="187"/>
      <c r="C170" s="83"/>
      <c r="D170" s="83"/>
      <c r="E170" s="83"/>
      <c r="F170" s="188"/>
      <c r="G170" s="83"/>
      <c r="H170" s="83"/>
      <c r="I170" s="83"/>
      <c r="J170" s="210"/>
      <c r="K170" s="83"/>
      <c r="L170" s="83"/>
      <c r="M170" s="170"/>
      <c r="N170" s="170"/>
      <c r="O170" s="170"/>
      <c r="P170" s="170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5"/>
      <c r="AF170" s="85"/>
      <c r="AG170" s="83"/>
      <c r="AH170" s="83"/>
    </row>
    <row r="171" spans="2:34" ht="15.75" customHeight="1">
      <c r="B171" s="187"/>
      <c r="C171" s="83"/>
      <c r="D171" s="83"/>
      <c r="E171" s="83"/>
      <c r="F171" s="188"/>
      <c r="G171" s="83"/>
      <c r="H171" s="83"/>
      <c r="I171" s="83"/>
      <c r="J171" s="210"/>
      <c r="K171" s="83"/>
      <c r="L171" s="83"/>
      <c r="M171" s="170"/>
      <c r="N171" s="170"/>
      <c r="O171" s="170"/>
      <c r="P171" s="170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5"/>
      <c r="AF171" s="85"/>
      <c r="AG171" s="83"/>
      <c r="AH171" s="83"/>
    </row>
    <row r="172" spans="2:34" ht="15.75" customHeight="1">
      <c r="B172" s="187"/>
      <c r="C172" s="83"/>
      <c r="D172" s="83"/>
      <c r="E172" s="83"/>
      <c r="F172" s="188"/>
      <c r="G172" s="83"/>
      <c r="H172" s="83"/>
      <c r="I172" s="83"/>
      <c r="J172" s="210"/>
      <c r="K172" s="83"/>
      <c r="L172" s="83"/>
      <c r="M172" s="170"/>
      <c r="N172" s="170"/>
      <c r="O172" s="170"/>
      <c r="P172" s="170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5"/>
      <c r="AF172" s="85"/>
      <c r="AG172" s="83"/>
      <c r="AH172" s="83"/>
    </row>
    <row r="173" spans="2:34" ht="15.75" customHeight="1">
      <c r="B173" s="187"/>
      <c r="C173" s="83"/>
      <c r="D173" s="83"/>
      <c r="E173" s="83"/>
      <c r="F173" s="188"/>
      <c r="G173" s="83"/>
      <c r="H173" s="83"/>
      <c r="I173" s="83"/>
      <c r="J173" s="210"/>
      <c r="K173" s="83"/>
      <c r="L173" s="83"/>
      <c r="M173" s="170"/>
      <c r="N173" s="170"/>
      <c r="O173" s="170"/>
      <c r="P173" s="170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5"/>
      <c r="AF173" s="85"/>
      <c r="AG173" s="83"/>
      <c r="AH173" s="83"/>
    </row>
    <row r="174" spans="2:34" ht="15.75" customHeight="1">
      <c r="B174" s="187"/>
      <c r="C174" s="83"/>
      <c r="D174" s="83"/>
      <c r="E174" s="83"/>
      <c r="F174" s="188"/>
      <c r="G174" s="83"/>
      <c r="H174" s="83"/>
      <c r="I174" s="83"/>
      <c r="J174" s="210"/>
      <c r="K174" s="83"/>
      <c r="L174" s="83"/>
      <c r="M174" s="170"/>
      <c r="N174" s="170"/>
      <c r="O174" s="170"/>
      <c r="P174" s="170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5"/>
      <c r="AF174" s="85"/>
      <c r="AG174" s="83"/>
      <c r="AH174" s="83"/>
    </row>
    <row r="175" spans="2:34" ht="15.75" customHeight="1">
      <c r="B175" s="187"/>
      <c r="C175" s="83"/>
      <c r="D175" s="83"/>
      <c r="E175" s="83"/>
      <c r="F175" s="188"/>
      <c r="G175" s="83"/>
      <c r="H175" s="83"/>
      <c r="I175" s="83"/>
      <c r="J175" s="210"/>
      <c r="K175" s="83"/>
      <c r="L175" s="83"/>
      <c r="M175" s="170"/>
      <c r="N175" s="170"/>
      <c r="O175" s="170"/>
      <c r="P175" s="170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5"/>
      <c r="AF175" s="85"/>
      <c r="AG175" s="83"/>
      <c r="AH175" s="83"/>
    </row>
    <row r="176" spans="2:34" ht="15.75" customHeight="1">
      <c r="B176" s="187"/>
      <c r="C176" s="83"/>
      <c r="D176" s="83"/>
      <c r="E176" s="83"/>
      <c r="F176" s="188"/>
      <c r="G176" s="83"/>
      <c r="H176" s="83"/>
      <c r="I176" s="83"/>
      <c r="J176" s="210"/>
      <c r="K176" s="83"/>
      <c r="L176" s="83"/>
      <c r="M176" s="170"/>
      <c r="N176" s="170"/>
      <c r="O176" s="170"/>
      <c r="P176" s="170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5"/>
      <c r="AF176" s="85"/>
      <c r="AG176" s="83"/>
      <c r="AH176" s="83"/>
    </row>
    <row r="177" spans="2:34" ht="15.75" customHeight="1">
      <c r="B177" s="187"/>
      <c r="C177" s="83"/>
      <c r="D177" s="83"/>
      <c r="E177" s="83"/>
      <c r="F177" s="188"/>
      <c r="G177" s="83"/>
      <c r="H177" s="83"/>
      <c r="I177" s="83"/>
      <c r="J177" s="210"/>
      <c r="K177" s="83"/>
      <c r="L177" s="83"/>
      <c r="M177" s="170"/>
      <c r="N177" s="170"/>
      <c r="O177" s="170"/>
      <c r="P177" s="170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5"/>
      <c r="AF177" s="85"/>
      <c r="AG177" s="83"/>
      <c r="AH177" s="83"/>
    </row>
    <row r="178" spans="2:34" ht="15.75" customHeight="1">
      <c r="B178" s="187"/>
      <c r="C178" s="83"/>
      <c r="D178" s="170"/>
      <c r="E178" s="83"/>
      <c r="F178" s="188"/>
      <c r="G178" s="83"/>
      <c r="H178" s="83"/>
      <c r="I178" s="83"/>
      <c r="J178" s="210"/>
      <c r="K178" s="83"/>
      <c r="L178" s="83"/>
      <c r="M178" s="170"/>
      <c r="N178" s="170"/>
      <c r="O178" s="170"/>
      <c r="P178" s="170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5"/>
      <c r="AF178" s="85"/>
      <c r="AG178" s="83"/>
      <c r="AH178" s="83"/>
    </row>
    <row r="179" spans="2:34" ht="15.75" customHeight="1">
      <c r="B179" s="187"/>
      <c r="C179" s="83"/>
      <c r="D179" s="83"/>
      <c r="E179" s="83"/>
      <c r="F179" s="188"/>
      <c r="G179" s="83"/>
      <c r="H179" s="83"/>
      <c r="I179" s="83"/>
      <c r="J179" s="210"/>
      <c r="K179" s="83"/>
      <c r="L179" s="83"/>
      <c r="M179" s="170"/>
      <c r="N179" s="170"/>
      <c r="O179" s="170"/>
      <c r="P179" s="170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5"/>
      <c r="AF179" s="85"/>
      <c r="AG179" s="83"/>
      <c r="AH179" s="83"/>
    </row>
    <row r="180" spans="2:34" ht="15.75" customHeight="1">
      <c r="B180" s="187"/>
      <c r="C180" s="83"/>
      <c r="D180" s="83"/>
      <c r="E180" s="83"/>
      <c r="F180" s="188"/>
      <c r="G180" s="83"/>
      <c r="H180" s="83"/>
      <c r="I180" s="83"/>
      <c r="J180" s="210"/>
      <c r="K180" s="83"/>
      <c r="L180" s="83"/>
      <c r="M180" s="170"/>
      <c r="N180" s="170"/>
      <c r="O180" s="170"/>
      <c r="P180" s="170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5"/>
      <c r="AF180" s="85"/>
      <c r="AG180" s="83"/>
      <c r="AH180" s="83"/>
    </row>
    <row r="181" spans="2:34" ht="15.75" customHeight="1">
      <c r="B181" s="187"/>
      <c r="C181" s="83"/>
      <c r="D181" s="83"/>
      <c r="E181" s="83"/>
      <c r="F181" s="188"/>
      <c r="G181" s="83"/>
      <c r="H181" s="83"/>
      <c r="I181" s="83"/>
      <c r="J181" s="210"/>
      <c r="K181" s="83"/>
      <c r="L181" s="83"/>
      <c r="M181" s="170"/>
      <c r="N181" s="170"/>
      <c r="O181" s="170"/>
      <c r="P181" s="170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5"/>
      <c r="AF181" s="85"/>
      <c r="AG181" s="83"/>
      <c r="AH181" s="83"/>
    </row>
    <row r="182" spans="2:34" ht="15.75" customHeight="1">
      <c r="B182" s="187"/>
      <c r="C182" s="83"/>
      <c r="D182" s="83"/>
      <c r="E182" s="83"/>
      <c r="F182" s="188"/>
      <c r="G182" s="83"/>
      <c r="H182" s="83"/>
      <c r="I182" s="83"/>
      <c r="J182" s="210"/>
      <c r="K182" s="83"/>
      <c r="L182" s="83"/>
      <c r="M182" s="170"/>
      <c r="N182" s="170"/>
      <c r="O182" s="170"/>
      <c r="P182" s="170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5"/>
      <c r="AF182" s="85"/>
      <c r="AG182" s="83"/>
      <c r="AH182" s="83"/>
    </row>
    <row r="183" spans="2:34" ht="15.75" customHeight="1">
      <c r="B183" s="187"/>
      <c r="C183" s="83"/>
      <c r="D183" s="83"/>
      <c r="E183" s="83"/>
      <c r="F183" s="188"/>
      <c r="G183" s="83"/>
      <c r="H183" s="83"/>
      <c r="I183" s="83"/>
      <c r="J183" s="210"/>
      <c r="K183" s="83"/>
      <c r="L183" s="83"/>
      <c r="M183" s="170"/>
      <c r="N183" s="170"/>
      <c r="O183" s="170"/>
      <c r="P183" s="170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5"/>
      <c r="AF183" s="85"/>
      <c r="AG183" s="83"/>
      <c r="AH183" s="83"/>
    </row>
    <row r="184" spans="2:34" ht="15.75" customHeight="1">
      <c r="B184" s="187"/>
      <c r="C184" s="83"/>
      <c r="D184" s="83"/>
      <c r="E184" s="83"/>
      <c r="F184" s="188"/>
      <c r="G184" s="83"/>
      <c r="H184" s="83"/>
      <c r="I184" s="83"/>
      <c r="J184" s="210"/>
      <c r="K184" s="83"/>
      <c r="L184" s="83"/>
      <c r="M184" s="170"/>
      <c r="N184" s="170"/>
      <c r="O184" s="170"/>
      <c r="P184" s="170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5"/>
      <c r="AF184" s="85"/>
      <c r="AG184" s="83"/>
      <c r="AH184" s="83"/>
    </row>
    <row r="185" spans="2:34" ht="15.75" customHeight="1">
      <c r="B185" s="187"/>
      <c r="C185" s="83"/>
      <c r="D185" s="83"/>
      <c r="E185" s="83"/>
      <c r="F185" s="188"/>
      <c r="G185" s="83"/>
      <c r="H185" s="83"/>
      <c r="I185" s="83"/>
      <c r="J185" s="210"/>
      <c r="K185" s="83"/>
      <c r="L185" s="83"/>
      <c r="M185" s="170"/>
      <c r="N185" s="170"/>
      <c r="O185" s="170"/>
      <c r="P185" s="170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5"/>
      <c r="AF185" s="85"/>
      <c r="AG185" s="83"/>
      <c r="AH185" s="83"/>
    </row>
    <row r="186" spans="2:34" ht="15.75" customHeight="1">
      <c r="B186" s="187"/>
      <c r="C186" s="83"/>
      <c r="D186" s="83"/>
      <c r="E186" s="83"/>
      <c r="F186" s="188"/>
      <c r="G186" s="83"/>
      <c r="H186" s="83"/>
      <c r="I186" s="83"/>
      <c r="J186" s="210"/>
      <c r="K186" s="83"/>
      <c r="L186" s="83"/>
      <c r="M186" s="170"/>
      <c r="N186" s="170"/>
      <c r="O186" s="170"/>
      <c r="P186" s="170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5"/>
      <c r="AF186" s="85"/>
      <c r="AG186" s="83"/>
      <c r="AH186" s="83"/>
    </row>
    <row r="187" spans="2:34" ht="15.75" customHeight="1">
      <c r="B187" s="187"/>
      <c r="C187" s="83"/>
      <c r="D187" s="83"/>
      <c r="E187" s="83"/>
      <c r="F187" s="188"/>
      <c r="G187" s="83"/>
      <c r="H187" s="83"/>
      <c r="I187" s="83"/>
      <c r="J187" s="210"/>
      <c r="K187" s="83"/>
      <c r="L187" s="83"/>
      <c r="M187" s="170"/>
      <c r="N187" s="170"/>
      <c r="O187" s="170"/>
      <c r="P187" s="170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5"/>
      <c r="AF187" s="85"/>
      <c r="AG187" s="83"/>
      <c r="AH187" s="83"/>
    </row>
    <row r="188" spans="2:34" ht="15.75" customHeight="1">
      <c r="B188" s="187"/>
      <c r="C188" s="83"/>
      <c r="D188" s="83"/>
      <c r="E188" s="83"/>
      <c r="F188" s="188"/>
      <c r="G188" s="83"/>
      <c r="H188" s="83"/>
      <c r="I188" s="83"/>
      <c r="J188" s="210"/>
      <c r="K188" s="83"/>
      <c r="L188" s="83"/>
      <c r="M188" s="170"/>
      <c r="N188" s="170"/>
      <c r="O188" s="170"/>
      <c r="P188" s="170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5"/>
      <c r="AF188" s="85"/>
      <c r="AG188" s="83"/>
      <c r="AH188" s="83"/>
    </row>
    <row r="189" spans="2:34" ht="15.75" customHeight="1">
      <c r="B189" s="187"/>
      <c r="C189" s="83"/>
      <c r="D189" s="83"/>
      <c r="E189" s="83"/>
      <c r="F189" s="188"/>
      <c r="G189" s="83"/>
      <c r="H189" s="83"/>
      <c r="I189" s="83"/>
      <c r="J189" s="210"/>
      <c r="K189" s="83"/>
      <c r="L189" s="83"/>
      <c r="M189" s="170"/>
      <c r="N189" s="170"/>
      <c r="O189" s="170"/>
      <c r="P189" s="170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5"/>
      <c r="AF189" s="85"/>
      <c r="AG189" s="83"/>
      <c r="AH189" s="83"/>
    </row>
    <row r="190" spans="2:34" ht="15.75" customHeight="1">
      <c r="B190" s="187"/>
      <c r="C190" s="83"/>
      <c r="D190" s="83"/>
      <c r="E190" s="83"/>
      <c r="F190" s="188"/>
      <c r="G190" s="83"/>
      <c r="H190" s="83"/>
      <c r="I190" s="83"/>
      <c r="J190" s="210"/>
      <c r="K190" s="83"/>
      <c r="L190" s="83"/>
      <c r="M190" s="170"/>
      <c r="N190" s="170"/>
      <c r="O190" s="170"/>
      <c r="P190" s="170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5"/>
      <c r="AF190" s="85"/>
      <c r="AG190" s="83"/>
      <c r="AH190" s="83"/>
    </row>
    <row r="191" spans="2:34" ht="15.75" customHeight="1">
      <c r="B191" s="187"/>
      <c r="C191" s="83"/>
      <c r="D191" s="83"/>
      <c r="E191" s="83"/>
      <c r="F191" s="188"/>
      <c r="G191" s="83"/>
      <c r="H191" s="83"/>
      <c r="I191" s="83"/>
      <c r="J191" s="210"/>
      <c r="K191" s="83"/>
      <c r="L191" s="83"/>
      <c r="M191" s="170"/>
      <c r="N191" s="170"/>
      <c r="O191" s="170"/>
      <c r="P191" s="170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5"/>
      <c r="AF191" s="85"/>
      <c r="AG191" s="83"/>
      <c r="AH191" s="83"/>
    </row>
    <row r="192" spans="2:34" ht="15.75" customHeight="1">
      <c r="B192" s="187"/>
      <c r="C192" s="83"/>
      <c r="D192" s="170"/>
      <c r="E192" s="83"/>
      <c r="F192" s="188"/>
      <c r="G192" s="83"/>
      <c r="H192" s="83"/>
      <c r="I192" s="83"/>
      <c r="J192" s="210"/>
      <c r="K192" s="83"/>
      <c r="L192" s="83"/>
      <c r="M192" s="170"/>
      <c r="N192" s="170"/>
      <c r="O192" s="170"/>
      <c r="P192" s="170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5"/>
      <c r="AF192" s="85"/>
      <c r="AG192" s="83"/>
      <c r="AH192" s="83"/>
    </row>
    <row r="193" spans="2:34" ht="15.75" customHeight="1">
      <c r="B193" s="187"/>
      <c r="C193" s="83"/>
      <c r="D193" s="83"/>
      <c r="E193" s="83"/>
      <c r="F193" s="188"/>
      <c r="G193" s="83"/>
      <c r="H193" s="83"/>
      <c r="I193" s="83"/>
      <c r="J193" s="210"/>
      <c r="K193" s="83"/>
      <c r="L193" s="83"/>
      <c r="M193" s="170"/>
      <c r="N193" s="170"/>
      <c r="O193" s="170"/>
      <c r="P193" s="170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5"/>
      <c r="AF193" s="85"/>
      <c r="AG193" s="83"/>
      <c r="AH193" s="83"/>
    </row>
    <row r="194" spans="2:34" ht="15.75" customHeight="1">
      <c r="B194" s="187"/>
      <c r="C194" s="83"/>
      <c r="D194" s="83"/>
      <c r="E194" s="83"/>
      <c r="F194" s="188"/>
      <c r="G194" s="83"/>
      <c r="H194" s="83"/>
      <c r="I194" s="83"/>
      <c r="J194" s="187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5"/>
      <c r="AF194" s="85"/>
      <c r="AG194" s="83"/>
      <c r="AH194" s="83"/>
    </row>
    <row r="195" spans="2:34" ht="15.75" customHeight="1">
      <c r="B195" s="187"/>
      <c r="C195" s="83"/>
      <c r="D195" s="83"/>
      <c r="E195" s="83"/>
      <c r="F195" s="188"/>
      <c r="G195" s="83"/>
      <c r="H195" s="83"/>
      <c r="I195" s="83"/>
      <c r="J195" s="187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5"/>
      <c r="AF195" s="85"/>
      <c r="AG195" s="83"/>
      <c r="AH195" s="83"/>
    </row>
    <row r="196" spans="2:34" ht="13.5" customHeight="1">
      <c r="B196" s="187"/>
      <c r="C196" s="83"/>
      <c r="D196" s="83"/>
      <c r="E196" s="83"/>
      <c r="F196" s="188"/>
      <c r="G196" s="83"/>
      <c r="H196" s="83"/>
      <c r="I196" s="83"/>
      <c r="J196" s="187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5"/>
      <c r="AF196" s="85"/>
      <c r="AG196" s="83"/>
      <c r="AH196" s="83"/>
    </row>
    <row r="197" spans="2:34" ht="60" customHeight="1">
      <c r="B197" s="187"/>
      <c r="C197" s="83"/>
      <c r="D197" s="83"/>
      <c r="E197" s="83"/>
      <c r="F197" s="188"/>
      <c r="G197" s="83"/>
      <c r="H197" s="83"/>
      <c r="I197" s="83"/>
      <c r="J197" s="187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5"/>
      <c r="AF197" s="85"/>
      <c r="AG197" s="83"/>
      <c r="AH197" s="83"/>
    </row>
    <row r="198" spans="2:34" ht="55.05" customHeight="1">
      <c r="B198" s="187"/>
      <c r="C198" s="83"/>
      <c r="D198" s="83"/>
      <c r="E198" s="83"/>
      <c r="F198" s="188"/>
      <c r="G198" s="83"/>
      <c r="H198" s="83"/>
      <c r="I198" s="83"/>
      <c r="J198" s="187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5"/>
      <c r="AF198" s="85"/>
      <c r="AG198" s="83"/>
      <c r="AH198" s="83"/>
    </row>
    <row r="199" spans="2:34" ht="29.25" customHeight="1">
      <c r="B199" s="187"/>
      <c r="C199" s="83"/>
      <c r="D199" s="83"/>
      <c r="E199" s="83"/>
      <c r="F199" s="188"/>
      <c r="G199" s="83"/>
      <c r="H199" s="83"/>
      <c r="I199" s="83"/>
      <c r="J199" s="187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5"/>
      <c r="AF199" s="85"/>
      <c r="AG199" s="83"/>
      <c r="AH199" s="83"/>
    </row>
    <row r="200" spans="2:34" ht="43.5" customHeight="1">
      <c r="B200" s="187"/>
      <c r="C200" s="83"/>
      <c r="D200" s="83"/>
      <c r="E200" s="83"/>
      <c r="F200" s="188"/>
      <c r="G200" s="83"/>
      <c r="H200" s="83"/>
      <c r="I200" s="83"/>
      <c r="J200" s="187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5"/>
      <c r="AF200" s="85"/>
      <c r="AG200" s="83"/>
      <c r="AH200" s="83"/>
    </row>
    <row r="201" spans="2:34" ht="43.5" customHeight="1">
      <c r="B201" s="187"/>
      <c r="C201" s="83"/>
      <c r="D201" s="83"/>
      <c r="E201" s="83"/>
      <c r="F201" s="188"/>
      <c r="G201" s="83"/>
      <c r="H201" s="83"/>
      <c r="I201" s="83"/>
      <c r="J201" s="187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5"/>
      <c r="AF201" s="85"/>
      <c r="AG201" s="83"/>
      <c r="AH201" s="83"/>
    </row>
    <row r="202" spans="2:34" ht="15.75" customHeight="1">
      <c r="B202" s="187"/>
      <c r="C202" s="83"/>
      <c r="D202" s="83"/>
      <c r="E202" s="83"/>
      <c r="F202" s="188"/>
      <c r="G202" s="83"/>
      <c r="H202" s="83"/>
      <c r="I202" s="83"/>
      <c r="J202" s="187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5"/>
      <c r="AF202" s="85"/>
      <c r="AG202" s="83"/>
      <c r="AH202" s="83"/>
    </row>
    <row r="203" spans="2:34" ht="15.75" customHeight="1">
      <c r="B203" s="83"/>
      <c r="C203" s="80"/>
      <c r="D203" s="80"/>
      <c r="E203" s="80"/>
      <c r="F203" s="188"/>
      <c r="G203" s="83"/>
      <c r="H203" s="83"/>
      <c r="I203" s="83"/>
      <c r="J203" s="187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5"/>
      <c r="AF203" s="85"/>
      <c r="AG203" s="83"/>
      <c r="AH203" s="83"/>
    </row>
    <row r="204" spans="2:34" ht="15.75" customHeight="1">
      <c r="B204" s="227"/>
      <c r="C204" s="80"/>
      <c r="D204" s="80"/>
      <c r="E204" s="80"/>
      <c r="F204" s="188"/>
      <c r="G204" s="83"/>
      <c r="H204" s="83"/>
      <c r="I204" s="83"/>
      <c r="J204" s="187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5"/>
      <c r="AF204" s="85"/>
      <c r="AG204" s="83"/>
      <c r="AH204" s="83"/>
    </row>
    <row r="205" spans="2:34" ht="15.75" customHeight="1">
      <c r="B205" s="187"/>
      <c r="C205" s="83"/>
      <c r="D205" s="83"/>
      <c r="E205" s="83"/>
      <c r="F205" s="188"/>
      <c r="G205" s="83"/>
      <c r="H205" s="83"/>
      <c r="I205" s="83"/>
      <c r="J205" s="187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5"/>
      <c r="AF205" s="85"/>
      <c r="AG205" s="83"/>
      <c r="AH205" s="83"/>
    </row>
    <row r="206" spans="2:34" ht="15.75" customHeight="1">
      <c r="B206" s="187"/>
      <c r="C206" s="83"/>
      <c r="D206" s="83"/>
      <c r="E206" s="83"/>
      <c r="F206" s="188"/>
      <c r="G206" s="83"/>
      <c r="H206" s="83"/>
      <c r="I206" s="83"/>
      <c r="J206" s="187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5"/>
      <c r="AF206" s="85"/>
      <c r="AG206" s="83"/>
      <c r="AH206" s="83"/>
    </row>
    <row r="207" spans="2:34" ht="25.05" customHeight="1">
      <c r="B207" s="187"/>
      <c r="C207" s="83"/>
      <c r="D207" s="83"/>
      <c r="E207" s="83"/>
      <c r="F207" s="188"/>
      <c r="G207" s="83"/>
      <c r="H207" s="83"/>
      <c r="I207" s="83"/>
      <c r="J207" s="187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5"/>
      <c r="AF207" s="85"/>
      <c r="AG207" s="83"/>
      <c r="AH207" s="83"/>
    </row>
    <row r="208" spans="2:34" ht="15.75" customHeight="1">
      <c r="B208" s="83"/>
      <c r="C208" s="80"/>
      <c r="D208" s="80"/>
      <c r="E208" s="80"/>
      <c r="F208" s="188"/>
      <c r="G208" s="83"/>
      <c r="H208" s="83"/>
      <c r="I208" s="83"/>
      <c r="J208" s="187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5"/>
      <c r="AF208" s="85"/>
      <c r="AG208" s="83"/>
      <c r="AH208" s="83"/>
    </row>
    <row r="209" spans="2:34" ht="15.75" customHeight="1">
      <c r="B209" s="83"/>
      <c r="C209" s="80"/>
      <c r="D209" s="80"/>
      <c r="E209" s="80"/>
      <c r="F209" s="188"/>
      <c r="G209" s="83"/>
      <c r="H209" s="83"/>
      <c r="I209" s="83"/>
      <c r="J209" s="187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5"/>
      <c r="AF209" s="85"/>
      <c r="AG209" s="83"/>
      <c r="AH209" s="83"/>
    </row>
    <row r="210" spans="2:34" ht="15.75" customHeight="1">
      <c r="B210" s="187"/>
      <c r="C210" s="83"/>
      <c r="D210" s="83"/>
      <c r="E210" s="83"/>
      <c r="F210" s="188"/>
      <c r="G210" s="83"/>
      <c r="H210" s="83"/>
      <c r="I210" s="83"/>
      <c r="J210" s="187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5"/>
      <c r="AF210" s="85"/>
      <c r="AG210" s="83"/>
      <c r="AH210" s="83"/>
    </row>
    <row r="211" spans="2:34" ht="15.75" customHeight="1">
      <c r="B211" s="187"/>
      <c r="C211" s="83"/>
      <c r="D211" s="83"/>
      <c r="E211" s="83"/>
      <c r="F211" s="188"/>
      <c r="G211" s="83"/>
      <c r="H211" s="83"/>
      <c r="I211" s="83"/>
      <c r="J211" s="187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5"/>
      <c r="AF211" s="85"/>
      <c r="AG211" s="83"/>
      <c r="AH211" s="83"/>
    </row>
    <row r="212" spans="2:34" ht="15.75" customHeight="1">
      <c r="B212" s="187"/>
      <c r="C212" s="83"/>
      <c r="D212" s="83"/>
      <c r="E212" s="83"/>
      <c r="F212" s="188"/>
      <c r="G212" s="83"/>
      <c r="H212" s="83"/>
      <c r="I212" s="83"/>
      <c r="J212" s="187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5"/>
      <c r="AF212" s="85"/>
      <c r="AG212" s="83"/>
      <c r="AH212" s="83"/>
    </row>
    <row r="213" spans="2:34" ht="15.75" customHeight="1">
      <c r="B213" s="187"/>
      <c r="C213" s="83"/>
      <c r="D213" s="83"/>
      <c r="E213" s="83"/>
      <c r="F213" s="188"/>
      <c r="G213" s="83"/>
      <c r="H213" s="83"/>
      <c r="I213" s="83"/>
      <c r="J213" s="187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5"/>
      <c r="AF213" s="85"/>
      <c r="AG213" s="83"/>
      <c r="AH213" s="83"/>
    </row>
    <row r="214" spans="2:34" ht="15.75" customHeight="1">
      <c r="B214" s="187"/>
      <c r="C214" s="83"/>
      <c r="D214" s="83"/>
      <c r="E214" s="83"/>
      <c r="F214" s="188"/>
      <c r="G214" s="83"/>
      <c r="H214" s="83"/>
      <c r="I214" s="83"/>
      <c r="J214" s="187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5"/>
      <c r="AF214" s="85"/>
      <c r="AG214" s="83"/>
      <c r="AH214" s="83"/>
    </row>
    <row r="215" spans="2:34" ht="15.75" customHeight="1">
      <c r="B215" s="187"/>
      <c r="C215" s="83"/>
      <c r="D215" s="83"/>
      <c r="E215" s="83"/>
      <c r="F215" s="188"/>
      <c r="G215" s="83"/>
      <c r="H215" s="83"/>
      <c r="I215" s="83"/>
      <c r="J215" s="187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5"/>
      <c r="AF215" s="85"/>
      <c r="AG215" s="83"/>
      <c r="AH215" s="83"/>
    </row>
    <row r="216" spans="2:34" ht="15.75" customHeight="1">
      <c r="B216" s="187"/>
      <c r="C216" s="83"/>
      <c r="D216" s="83"/>
      <c r="E216" s="83"/>
      <c r="F216" s="188"/>
      <c r="G216" s="83"/>
      <c r="H216" s="83"/>
      <c r="I216" s="83"/>
      <c r="J216" s="187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5"/>
      <c r="AF216" s="85"/>
      <c r="AG216" s="83"/>
      <c r="AH216" s="83"/>
    </row>
    <row r="217" spans="2:34" ht="15.75" customHeight="1">
      <c r="B217" s="187"/>
      <c r="C217" s="83"/>
      <c r="D217" s="83"/>
      <c r="E217" s="83"/>
      <c r="F217" s="188"/>
      <c r="G217" s="83"/>
      <c r="H217" s="83"/>
      <c r="I217" s="83"/>
      <c r="J217" s="187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5"/>
      <c r="AF217" s="85"/>
      <c r="AG217" s="83"/>
      <c r="AH217" s="83"/>
    </row>
    <row r="218" spans="2:34" ht="15.75" customHeight="1">
      <c r="B218" s="187"/>
      <c r="C218" s="83"/>
      <c r="D218" s="83"/>
      <c r="E218" s="83"/>
      <c r="F218" s="188"/>
      <c r="G218" s="83"/>
      <c r="H218" s="83"/>
      <c r="I218" s="83"/>
      <c r="J218" s="187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5"/>
      <c r="AF218" s="85"/>
      <c r="AG218" s="83"/>
      <c r="AH218" s="83"/>
    </row>
    <row r="219" spans="2:34" ht="15.75" customHeight="1">
      <c r="B219" s="187"/>
      <c r="C219" s="83"/>
      <c r="D219" s="83"/>
      <c r="E219" s="83"/>
      <c r="F219" s="188"/>
      <c r="G219" s="83"/>
      <c r="H219" s="83"/>
      <c r="I219" s="83"/>
      <c r="J219" s="187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5"/>
      <c r="AF219" s="85"/>
      <c r="AG219" s="83"/>
      <c r="AH219" s="83"/>
    </row>
    <row r="220" spans="2:34" ht="15.75" customHeight="1">
      <c r="B220" s="187"/>
      <c r="C220" s="83"/>
      <c r="D220" s="83"/>
      <c r="E220" s="83"/>
      <c r="F220" s="188"/>
      <c r="G220" s="83"/>
      <c r="H220" s="83"/>
      <c r="I220" s="83"/>
      <c r="J220" s="187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5"/>
      <c r="AF220" s="85"/>
      <c r="AG220" s="83"/>
      <c r="AH220" s="83"/>
    </row>
    <row r="221" spans="2:34" ht="15.75" customHeight="1">
      <c r="B221" s="187"/>
      <c r="C221" s="83"/>
      <c r="D221" s="83"/>
      <c r="E221" s="83"/>
      <c r="F221" s="188"/>
      <c r="G221" s="83"/>
      <c r="H221" s="83"/>
      <c r="I221" s="83"/>
      <c r="J221" s="187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5"/>
      <c r="AF221" s="85"/>
      <c r="AG221" s="83"/>
      <c r="AH221" s="83"/>
    </row>
    <row r="222" spans="2:34" ht="15.75" customHeight="1">
      <c r="B222" s="187"/>
      <c r="C222" s="83"/>
      <c r="D222" s="83"/>
      <c r="E222" s="83"/>
      <c r="F222" s="188"/>
      <c r="G222" s="83"/>
      <c r="H222" s="83"/>
      <c r="I222" s="83"/>
      <c r="J222" s="187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5"/>
      <c r="AF222" s="85"/>
      <c r="AG222" s="83"/>
      <c r="AH222" s="83"/>
    </row>
    <row r="223" spans="2:34" ht="15.75" customHeight="1">
      <c r="B223" s="187"/>
      <c r="C223" s="83"/>
      <c r="D223" s="83"/>
      <c r="E223" s="83"/>
      <c r="F223" s="188"/>
      <c r="G223" s="83"/>
      <c r="H223" s="83"/>
      <c r="I223" s="83"/>
      <c r="J223" s="187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5"/>
      <c r="AF223" s="85"/>
      <c r="AG223" s="83"/>
      <c r="AH223" s="83"/>
    </row>
    <row r="224" spans="2:34" ht="15.75" customHeight="1">
      <c r="B224" s="187"/>
      <c r="C224" s="83"/>
      <c r="D224" s="83"/>
      <c r="E224" s="83"/>
      <c r="F224" s="188"/>
      <c r="G224" s="83"/>
      <c r="H224" s="83"/>
      <c r="I224" s="83"/>
      <c r="J224" s="187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5"/>
      <c r="AF224" s="85"/>
      <c r="AG224" s="83"/>
      <c r="AH224" s="83"/>
    </row>
    <row r="225" spans="2:34" ht="15.75" customHeight="1">
      <c r="B225" s="187"/>
      <c r="C225" s="83"/>
      <c r="D225" s="83"/>
      <c r="E225" s="83"/>
      <c r="F225" s="188"/>
      <c r="G225" s="83"/>
      <c r="H225" s="83"/>
      <c r="I225" s="83"/>
      <c r="J225" s="187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5"/>
      <c r="AF225" s="85"/>
      <c r="AG225" s="83"/>
      <c r="AH225" s="83"/>
    </row>
    <row r="226" spans="2:34" ht="15.75" customHeight="1">
      <c r="B226" s="187"/>
      <c r="C226" s="83"/>
      <c r="D226" s="83"/>
      <c r="E226" s="83"/>
      <c r="F226" s="188"/>
      <c r="G226" s="83"/>
      <c r="H226" s="83"/>
      <c r="I226" s="83"/>
      <c r="J226" s="187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5"/>
      <c r="AF226" s="85"/>
      <c r="AG226" s="83"/>
      <c r="AH226" s="83"/>
    </row>
    <row r="227" spans="2:34" ht="15.75" customHeight="1">
      <c r="B227" s="187"/>
      <c r="C227" s="83"/>
      <c r="D227" s="83"/>
      <c r="E227" s="83"/>
      <c r="F227" s="188"/>
      <c r="G227" s="83"/>
      <c r="H227" s="83"/>
      <c r="I227" s="83"/>
      <c r="J227" s="187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5"/>
      <c r="AF227" s="85"/>
      <c r="AG227" s="83"/>
      <c r="AH227" s="83"/>
    </row>
    <row r="228" spans="2:34" ht="15.75" customHeight="1">
      <c r="B228" s="187"/>
      <c r="C228" s="83"/>
      <c r="D228" s="83"/>
      <c r="E228" s="83"/>
      <c r="F228" s="188"/>
      <c r="G228" s="83"/>
      <c r="H228" s="83"/>
      <c r="I228" s="83"/>
      <c r="J228" s="187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5"/>
      <c r="AF228" s="85"/>
      <c r="AG228" s="83"/>
      <c r="AH228" s="83"/>
    </row>
    <row r="229" spans="2:34" ht="15.75" customHeight="1">
      <c r="B229" s="187"/>
      <c r="C229" s="83"/>
      <c r="D229" s="83"/>
      <c r="E229" s="83"/>
      <c r="F229" s="188"/>
      <c r="G229" s="83"/>
      <c r="H229" s="83"/>
      <c r="I229" s="83"/>
      <c r="J229" s="187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5"/>
      <c r="AF229" s="85"/>
      <c r="AG229" s="83"/>
      <c r="AH229" s="83"/>
    </row>
    <row r="230" spans="2:34" ht="15.75" customHeight="1">
      <c r="B230" s="187"/>
      <c r="C230" s="83"/>
      <c r="D230" s="83"/>
      <c r="E230" s="83"/>
      <c r="F230" s="188"/>
      <c r="G230" s="83"/>
      <c r="H230" s="83"/>
      <c r="I230" s="83"/>
      <c r="J230" s="187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5"/>
      <c r="AF230" s="85"/>
      <c r="AG230" s="83"/>
      <c r="AH230" s="83"/>
    </row>
    <row r="231" spans="2:34" ht="15.75" customHeight="1">
      <c r="B231" s="187"/>
      <c r="C231" s="83"/>
      <c r="D231" s="83"/>
      <c r="E231" s="83"/>
      <c r="F231" s="188"/>
      <c r="G231" s="83"/>
      <c r="H231" s="83"/>
      <c r="I231" s="83"/>
      <c r="J231" s="187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5"/>
      <c r="AF231" s="85"/>
      <c r="AG231" s="83"/>
      <c r="AH231" s="83"/>
    </row>
    <row r="232" spans="2:34" ht="15.75" customHeight="1">
      <c r="B232" s="187"/>
      <c r="C232" s="83"/>
      <c r="D232" s="83"/>
      <c r="E232" s="83"/>
      <c r="F232" s="188"/>
      <c r="G232" s="83"/>
      <c r="H232" s="83"/>
      <c r="I232" s="83"/>
      <c r="J232" s="187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5"/>
      <c r="AF232" s="85"/>
      <c r="AG232" s="83"/>
      <c r="AH232" s="83"/>
    </row>
    <row r="233" spans="2:34" ht="15.75" customHeight="1">
      <c r="B233" s="187"/>
      <c r="C233" s="83"/>
      <c r="D233" s="83"/>
      <c r="E233" s="83"/>
      <c r="F233" s="188"/>
      <c r="G233" s="83"/>
      <c r="H233" s="83"/>
      <c r="I233" s="83"/>
      <c r="J233" s="187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5"/>
      <c r="AF233" s="85"/>
      <c r="AG233" s="83"/>
      <c r="AH233" s="83"/>
    </row>
    <row r="234" spans="2:34" ht="15.75" customHeight="1">
      <c r="B234" s="187"/>
      <c r="C234" s="83"/>
      <c r="D234" s="83"/>
      <c r="E234" s="83"/>
      <c r="F234" s="188"/>
      <c r="G234" s="83"/>
      <c r="H234" s="83"/>
      <c r="I234" s="83"/>
      <c r="J234" s="187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5"/>
      <c r="AF234" s="85"/>
      <c r="AG234" s="83"/>
      <c r="AH234" s="83"/>
    </row>
    <row r="235" spans="2:34" ht="15.75" customHeight="1">
      <c r="B235" s="187"/>
      <c r="C235" s="83"/>
      <c r="D235" s="83"/>
      <c r="E235" s="83"/>
      <c r="F235" s="188"/>
      <c r="G235" s="83"/>
      <c r="H235" s="83"/>
      <c r="I235" s="83"/>
      <c r="J235" s="187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5"/>
      <c r="AF235" s="85"/>
      <c r="AG235" s="83"/>
      <c r="AH235" s="83"/>
    </row>
    <row r="236" spans="2:34" ht="15.75" customHeight="1">
      <c r="B236" s="187"/>
      <c r="C236" s="83"/>
      <c r="D236" s="83"/>
      <c r="E236" s="83"/>
      <c r="F236" s="188"/>
      <c r="G236" s="83"/>
      <c r="H236" s="83"/>
      <c r="I236" s="83"/>
      <c r="J236" s="187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5"/>
      <c r="AF236" s="85"/>
      <c r="AG236" s="83"/>
      <c r="AH236" s="83"/>
    </row>
    <row r="237" spans="2:34" ht="15.75" customHeight="1">
      <c r="B237" s="187"/>
      <c r="C237" s="83"/>
      <c r="D237" s="83"/>
      <c r="E237" s="83"/>
      <c r="F237" s="188"/>
      <c r="G237" s="83"/>
      <c r="H237" s="83"/>
      <c r="I237" s="83"/>
      <c r="J237" s="187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5"/>
      <c r="AF237" s="85"/>
      <c r="AG237" s="83"/>
      <c r="AH237" s="83"/>
    </row>
    <row r="238" spans="2:34" ht="15.75" customHeight="1">
      <c r="B238" s="187"/>
      <c r="C238" s="83"/>
      <c r="D238" s="83"/>
      <c r="E238" s="83"/>
      <c r="F238" s="188"/>
      <c r="G238" s="83"/>
      <c r="H238" s="83"/>
      <c r="I238" s="83"/>
      <c r="J238" s="187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5"/>
      <c r="AF238" s="85"/>
      <c r="AG238" s="83"/>
      <c r="AH238" s="83"/>
    </row>
    <row r="239" spans="2:34" ht="15.75" customHeight="1">
      <c r="B239" s="187"/>
      <c r="C239" s="83"/>
      <c r="D239" s="83"/>
      <c r="E239" s="83"/>
      <c r="F239" s="188"/>
      <c r="G239" s="83"/>
      <c r="H239" s="83"/>
      <c r="I239" s="83"/>
      <c r="J239" s="187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5"/>
      <c r="AF239" s="85"/>
      <c r="AG239" s="83"/>
      <c r="AH239" s="83"/>
    </row>
    <row r="240" spans="2:3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</sheetData>
  <mergeCells count="7">
    <mergeCell ref="AF140:AH140"/>
    <mergeCell ref="C167:E167"/>
    <mergeCell ref="AF141:AH141"/>
    <mergeCell ref="C163:E163"/>
    <mergeCell ref="C164:E164"/>
    <mergeCell ref="C165:E165"/>
    <mergeCell ref="C166:E166"/>
  </mergeCells>
  <phoneticPr fontId="19" type="noConversion"/>
  <pageMargins left="0.51181102362204722" right="0.51181102362204722" top="1.1811023622047243" bottom="1.1811023622047243" header="0.78740157480314954" footer="0.78740157480314954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1048527"/>
  <sheetViews>
    <sheetView zoomScale="110" zoomScaleNormal="110" workbookViewId="0">
      <selection activeCell="B30" sqref="B30:B31"/>
    </sheetView>
  </sheetViews>
  <sheetFormatPr defaultRowHeight="15" customHeight="1"/>
  <cols>
    <col min="1" max="1" width="2.796875" style="28" customWidth="1"/>
    <col min="2" max="2" width="20.5" style="10" customWidth="1"/>
    <col min="3" max="5" width="8.796875" style="28" customWidth="1"/>
    <col min="6" max="6" width="9.5" style="28" customWidth="1"/>
    <col min="7" max="7" width="6.69921875" style="28" customWidth="1"/>
    <col min="8" max="8" width="9.69921875" style="28" hidden="1" customWidth="1"/>
    <col min="9" max="9" width="7.3984375" style="28" customWidth="1"/>
    <col min="10" max="10" width="9.796875" style="28" customWidth="1"/>
    <col min="11" max="11" width="2.796875" style="28" customWidth="1"/>
    <col min="12" max="12" width="8.69921875" style="9" customWidth="1"/>
    <col min="13" max="13" width="7.69921875" style="28" customWidth="1"/>
    <col min="14" max="15" width="9.69921875" style="28" customWidth="1"/>
    <col min="16" max="16" width="9" style="28" hidden="1" customWidth="1"/>
    <col min="17" max="17" width="11.19921875" style="28" hidden="1" customWidth="1"/>
    <col min="18" max="18" width="9.59765625" style="28" customWidth="1"/>
    <col min="19" max="19" width="2.69921875" style="28" customWidth="1"/>
    <col min="20" max="20" width="7.796875" style="28" customWidth="1"/>
    <col min="21" max="21" width="8.796875" style="28" customWidth="1"/>
    <col min="22" max="22" width="2.69921875" style="28" customWidth="1"/>
    <col min="23" max="23" width="8.796875" style="28" customWidth="1"/>
    <col min="24" max="24" width="13.3984375" style="28" hidden="1" customWidth="1"/>
    <col min="25" max="25" width="6.59765625" style="28" hidden="1" customWidth="1"/>
    <col min="26" max="26" width="8.796875" style="28" customWidth="1"/>
    <col min="27" max="27" width="7.796875" style="28" customWidth="1"/>
    <col min="28" max="28" width="8.5" style="28" customWidth="1"/>
    <col min="29" max="29" width="9.69921875" style="28" customWidth="1"/>
    <col min="30" max="30" width="2.796875" style="28" customWidth="1"/>
    <col min="31" max="32" width="8.69921875" style="28" customWidth="1"/>
    <col min="33" max="33" width="13.3984375" customWidth="1"/>
    <col min="34" max="34" width="12.8984375" customWidth="1"/>
    <col min="35" max="35" width="9.19921875" customWidth="1"/>
    <col min="36" max="1024" width="13.3984375" customWidth="1"/>
  </cols>
  <sheetData>
    <row r="2" spans="1:35" ht="15" customHeight="1">
      <c r="A2" s="281" t="s">
        <v>281</v>
      </c>
      <c r="B2" s="282" t="s">
        <v>282</v>
      </c>
      <c r="C2" s="191"/>
      <c r="D2" s="191"/>
      <c r="E2" s="191"/>
      <c r="M2" s="66" t="s">
        <v>423</v>
      </c>
    </row>
    <row r="3" spans="1:35" ht="15" customHeight="1">
      <c r="A3" s="281" t="s">
        <v>283</v>
      </c>
      <c r="B3" s="282" t="s">
        <v>284</v>
      </c>
      <c r="C3" s="191"/>
      <c r="D3" s="191"/>
      <c r="E3" s="191"/>
      <c r="M3" s="67" t="s">
        <v>391</v>
      </c>
    </row>
    <row r="4" spans="1:35" ht="15" customHeight="1">
      <c r="A4" s="191"/>
      <c r="B4" s="283" t="s">
        <v>636</v>
      </c>
      <c r="C4" s="191"/>
      <c r="D4" s="191"/>
      <c r="E4" s="191"/>
      <c r="M4" s="68" t="s">
        <v>392</v>
      </c>
    </row>
    <row r="5" spans="1:35" ht="15" customHeight="1">
      <c r="M5" s="71" t="s">
        <v>526</v>
      </c>
    </row>
    <row r="7" spans="1:35" ht="13.8">
      <c r="B7" s="65"/>
      <c r="L7" s="45"/>
      <c r="M7" s="46"/>
      <c r="T7" s="46"/>
      <c r="U7" s="46"/>
      <c r="W7" s="46"/>
      <c r="AE7" s="46"/>
      <c r="AF7" s="46"/>
    </row>
    <row r="8" spans="1:35" ht="14.4">
      <c r="B8" s="277" t="s">
        <v>35</v>
      </c>
      <c r="C8" s="83"/>
      <c r="D8" s="83"/>
      <c r="E8" s="83"/>
      <c r="F8" s="83"/>
      <c r="G8" s="83"/>
      <c r="H8" s="83"/>
      <c r="I8" s="83"/>
      <c r="J8" s="83"/>
      <c r="K8" s="83"/>
      <c r="L8" s="277" t="s">
        <v>36</v>
      </c>
      <c r="M8" s="272"/>
      <c r="N8" s="83"/>
      <c r="O8" s="83"/>
      <c r="P8" s="83"/>
      <c r="Q8" s="83"/>
      <c r="R8" s="83"/>
      <c r="S8" s="83"/>
      <c r="T8" s="272" t="s">
        <v>33</v>
      </c>
      <c r="U8" s="272"/>
      <c r="V8" s="83"/>
      <c r="W8" s="272" t="s">
        <v>37</v>
      </c>
      <c r="X8" s="83"/>
      <c r="Y8" s="83"/>
      <c r="Z8" s="83"/>
      <c r="AA8" s="83"/>
      <c r="AB8" s="83"/>
      <c r="AC8" s="83"/>
      <c r="AD8" s="83"/>
      <c r="AE8" s="272" t="s">
        <v>34</v>
      </c>
      <c r="AF8" s="272"/>
    </row>
    <row r="9" spans="1:35" ht="15" customHeight="1">
      <c r="A9" s="28" t="s">
        <v>346</v>
      </c>
    </row>
    <row r="10" spans="1:35" s="5" customFormat="1" ht="13.8">
      <c r="A10" s="28" t="s">
        <v>344</v>
      </c>
      <c r="B10" s="79" t="s">
        <v>38</v>
      </c>
      <c r="C10" s="79" t="s">
        <v>39</v>
      </c>
      <c r="D10" s="79" t="s">
        <v>40</v>
      </c>
      <c r="E10" s="79" t="s">
        <v>41</v>
      </c>
      <c r="F10" s="79" t="s">
        <v>42</v>
      </c>
      <c r="G10" s="79" t="s">
        <v>43</v>
      </c>
      <c r="H10" s="79" t="s">
        <v>44</v>
      </c>
      <c r="I10" s="79" t="s">
        <v>45</v>
      </c>
      <c r="J10" s="79" t="s">
        <v>46</v>
      </c>
      <c r="K10" s="191"/>
      <c r="L10" s="82" t="s">
        <v>39</v>
      </c>
      <c r="M10" s="82" t="s">
        <v>40</v>
      </c>
      <c r="N10" s="82" t="s">
        <v>47</v>
      </c>
      <c r="O10" s="82" t="s">
        <v>48</v>
      </c>
      <c r="P10" s="82" t="s">
        <v>44</v>
      </c>
      <c r="Q10" s="82" t="s">
        <v>49</v>
      </c>
      <c r="R10" s="82" t="s">
        <v>46</v>
      </c>
      <c r="S10" s="191"/>
      <c r="T10" s="84" t="s">
        <v>39</v>
      </c>
      <c r="U10" s="84" t="s">
        <v>47</v>
      </c>
      <c r="V10" s="191"/>
      <c r="W10" s="88" t="s">
        <v>39</v>
      </c>
      <c r="X10" s="88" t="s">
        <v>41</v>
      </c>
      <c r="Y10" s="88" t="s">
        <v>42</v>
      </c>
      <c r="Z10" s="88" t="s">
        <v>43</v>
      </c>
      <c r="AA10" s="88" t="s">
        <v>44</v>
      </c>
      <c r="AB10" s="88" t="s">
        <v>45</v>
      </c>
      <c r="AC10" s="88" t="s">
        <v>46</v>
      </c>
      <c r="AD10" s="191"/>
      <c r="AE10" s="84" t="s">
        <v>39</v>
      </c>
      <c r="AF10" s="84" t="s">
        <v>47</v>
      </c>
    </row>
    <row r="11" spans="1:35" ht="13.8">
      <c r="B11" s="192"/>
      <c r="C11" s="79" t="s">
        <v>50</v>
      </c>
      <c r="D11" s="79"/>
      <c r="E11" s="79" t="s">
        <v>51</v>
      </c>
      <c r="F11" s="79" t="s">
        <v>52</v>
      </c>
      <c r="G11" s="79" t="s">
        <v>51</v>
      </c>
      <c r="H11" s="79" t="s">
        <v>51</v>
      </c>
      <c r="I11" s="79" t="s">
        <v>51</v>
      </c>
      <c r="J11" s="79" t="s">
        <v>51</v>
      </c>
      <c r="K11" s="191"/>
      <c r="L11" s="82" t="s">
        <v>53</v>
      </c>
      <c r="M11" s="82"/>
      <c r="N11" s="82" t="s">
        <v>52</v>
      </c>
      <c r="O11" s="82" t="s">
        <v>51</v>
      </c>
      <c r="P11" s="82" t="s">
        <v>51</v>
      </c>
      <c r="Q11" s="82" t="s">
        <v>51</v>
      </c>
      <c r="R11" s="82" t="s">
        <v>51</v>
      </c>
      <c r="S11" s="191"/>
      <c r="T11" s="84"/>
      <c r="U11" s="84" t="s">
        <v>52</v>
      </c>
      <c r="V11" s="191"/>
      <c r="W11" s="88" t="s">
        <v>54</v>
      </c>
      <c r="X11" s="88" t="s">
        <v>51</v>
      </c>
      <c r="Y11" s="88" t="s">
        <v>52</v>
      </c>
      <c r="Z11" s="88" t="s">
        <v>51</v>
      </c>
      <c r="AA11" s="88" t="s">
        <v>51</v>
      </c>
      <c r="AB11" s="88" t="s">
        <v>51</v>
      </c>
      <c r="AC11" s="88" t="s">
        <v>51</v>
      </c>
      <c r="AD11" s="191"/>
      <c r="AE11" s="84"/>
      <c r="AF11" s="84" t="s">
        <v>52</v>
      </c>
    </row>
    <row r="12" spans="1:35" s="11" customFormat="1" ht="13.8">
      <c r="A12" s="29"/>
      <c r="B12" s="161" t="s">
        <v>192</v>
      </c>
      <c r="C12" s="95" t="s">
        <v>20</v>
      </c>
      <c r="D12" s="95">
        <v>1</v>
      </c>
      <c r="E12" s="95" t="s">
        <v>57</v>
      </c>
      <c r="F12" s="95" t="s">
        <v>57</v>
      </c>
      <c r="G12" s="95">
        <v>4.6900000000000004</v>
      </c>
      <c r="H12" s="118"/>
      <c r="I12" s="95">
        <f t="shared" ref="I12:I60" si="0">(G12-H12)</f>
        <v>4.6900000000000004</v>
      </c>
      <c r="J12" s="95">
        <f t="shared" ref="J12:J60" si="1">I12*D12</f>
        <v>4.6900000000000004</v>
      </c>
      <c r="K12" s="191"/>
      <c r="L12" s="95" t="s">
        <v>18</v>
      </c>
      <c r="M12" s="95">
        <v>1</v>
      </c>
      <c r="N12" s="95">
        <v>8.99</v>
      </c>
      <c r="O12" s="123">
        <v>2.7</v>
      </c>
      <c r="P12" s="118"/>
      <c r="Q12" s="118"/>
      <c r="R12" s="95">
        <f t="shared" ref="R12:R71" si="2">(N12*O12-P12)*M12</f>
        <v>24.273000000000003</v>
      </c>
      <c r="S12" s="193"/>
      <c r="T12" s="108" t="s">
        <v>18</v>
      </c>
      <c r="U12" s="163">
        <f t="shared" ref="U12:U20" si="3">N12*M12</f>
        <v>8.99</v>
      </c>
      <c r="V12" s="193"/>
      <c r="W12" s="162" t="s">
        <v>18</v>
      </c>
      <c r="X12" s="108" t="str">
        <f t="shared" ref="X12:X58" si="4">E12</f>
        <v>cad</v>
      </c>
      <c r="Y12" s="108" t="str">
        <f t="shared" ref="Y12:Y58" si="5">F12</f>
        <v>cad</v>
      </c>
      <c r="Z12" s="108">
        <f>G12</f>
        <v>4.6900000000000004</v>
      </c>
      <c r="AA12" s="108">
        <f t="shared" ref="AA12:AA58" si="6">H12</f>
        <v>0</v>
      </c>
      <c r="AB12" s="108">
        <f t="shared" ref="AB12:AB58" si="7">I12</f>
        <v>4.6900000000000004</v>
      </c>
      <c r="AC12" s="108">
        <f t="shared" ref="AC12:AC113" si="8">J12</f>
        <v>4.6900000000000004</v>
      </c>
      <c r="AD12" s="193"/>
      <c r="AE12" s="92" t="s">
        <v>357</v>
      </c>
      <c r="AF12" s="194">
        <f>N12*M12</f>
        <v>8.99</v>
      </c>
    </row>
    <row r="13" spans="1:35" s="11" customFormat="1" ht="13.8">
      <c r="A13" s="29"/>
      <c r="B13" s="161" t="s">
        <v>193</v>
      </c>
      <c r="C13" s="95" t="s">
        <v>20</v>
      </c>
      <c r="D13" s="95">
        <v>1</v>
      </c>
      <c r="E13" s="95" t="s">
        <v>57</v>
      </c>
      <c r="F13" s="95" t="s">
        <v>57</v>
      </c>
      <c r="G13" s="95">
        <v>4.6900000000000004</v>
      </c>
      <c r="H13" s="118"/>
      <c r="I13" s="95">
        <f t="shared" si="0"/>
        <v>4.6900000000000004</v>
      </c>
      <c r="J13" s="95">
        <f t="shared" si="1"/>
        <v>4.6900000000000004</v>
      </c>
      <c r="K13" s="191"/>
      <c r="L13" s="95" t="s">
        <v>18</v>
      </c>
      <c r="M13" s="95">
        <v>1</v>
      </c>
      <c r="N13" s="95">
        <v>8.99</v>
      </c>
      <c r="O13" s="123">
        <v>2.7</v>
      </c>
      <c r="P13" s="118"/>
      <c r="Q13" s="118"/>
      <c r="R13" s="95">
        <f t="shared" si="2"/>
        <v>24.273000000000003</v>
      </c>
      <c r="S13" s="195"/>
      <c r="T13" s="108" t="s">
        <v>18</v>
      </c>
      <c r="U13" s="163">
        <f t="shared" si="3"/>
        <v>8.99</v>
      </c>
      <c r="V13" s="193"/>
      <c r="W13" s="162" t="s">
        <v>18</v>
      </c>
      <c r="X13" s="108" t="str">
        <f t="shared" si="4"/>
        <v>cad</v>
      </c>
      <c r="Y13" s="108" t="str">
        <f t="shared" si="5"/>
        <v>cad</v>
      </c>
      <c r="Z13" s="108">
        <f t="shared" ref="Z13:Z58" si="9">G13</f>
        <v>4.6900000000000004</v>
      </c>
      <c r="AA13" s="108">
        <f t="shared" si="6"/>
        <v>0</v>
      </c>
      <c r="AB13" s="108">
        <f t="shared" si="7"/>
        <v>4.6900000000000004</v>
      </c>
      <c r="AC13" s="108">
        <f t="shared" si="8"/>
        <v>4.6900000000000004</v>
      </c>
      <c r="AD13" s="193"/>
      <c r="AE13" s="92" t="s">
        <v>357</v>
      </c>
      <c r="AF13" s="194">
        <f t="shared" ref="AF13:AF18" si="10">N13*M13</f>
        <v>8.99</v>
      </c>
    </row>
    <row r="14" spans="1:35" s="11" customFormat="1" ht="13.8">
      <c r="A14" s="29"/>
      <c r="B14" s="161" t="s">
        <v>194</v>
      </c>
      <c r="C14" s="318" t="s">
        <v>17</v>
      </c>
      <c r="D14" s="95">
        <v>1</v>
      </c>
      <c r="E14" s="95" t="s">
        <v>57</v>
      </c>
      <c r="F14" s="95" t="s">
        <v>57</v>
      </c>
      <c r="G14" s="123">
        <v>16.399999999999999</v>
      </c>
      <c r="H14" s="118"/>
      <c r="I14" s="95">
        <f t="shared" si="0"/>
        <v>16.399999999999999</v>
      </c>
      <c r="J14" s="95">
        <f t="shared" si="1"/>
        <v>16.399999999999999</v>
      </c>
      <c r="K14" s="191"/>
      <c r="L14" s="95" t="s">
        <v>19</v>
      </c>
      <c r="M14" s="95">
        <v>1</v>
      </c>
      <c r="N14" s="123">
        <v>17.59</v>
      </c>
      <c r="O14" s="123">
        <v>2.7</v>
      </c>
      <c r="P14" s="118"/>
      <c r="Q14" s="118"/>
      <c r="R14" s="95">
        <f t="shared" si="2"/>
        <v>47.493000000000002</v>
      </c>
      <c r="S14" s="195"/>
      <c r="T14" s="108" t="s">
        <v>358</v>
      </c>
      <c r="U14" s="163">
        <f t="shared" si="3"/>
        <v>17.59</v>
      </c>
      <c r="V14" s="193"/>
      <c r="W14" s="162" t="s">
        <v>17</v>
      </c>
      <c r="X14" s="108" t="str">
        <f t="shared" si="4"/>
        <v>cad</v>
      </c>
      <c r="Y14" s="108" t="str">
        <f t="shared" si="5"/>
        <v>cad</v>
      </c>
      <c r="Z14" s="108">
        <f t="shared" si="9"/>
        <v>16.399999999999999</v>
      </c>
      <c r="AA14" s="108">
        <f t="shared" si="6"/>
        <v>0</v>
      </c>
      <c r="AB14" s="108">
        <f t="shared" si="7"/>
        <v>16.399999999999999</v>
      </c>
      <c r="AC14" s="108">
        <f t="shared" si="8"/>
        <v>16.399999999999999</v>
      </c>
      <c r="AD14" s="193"/>
      <c r="AE14" s="92" t="s">
        <v>357</v>
      </c>
      <c r="AF14" s="194">
        <f t="shared" si="10"/>
        <v>17.59</v>
      </c>
    </row>
    <row r="15" spans="1:35" s="11" customFormat="1" ht="13.8">
      <c r="A15" s="29"/>
      <c r="B15" s="161" t="s">
        <v>195</v>
      </c>
      <c r="C15" s="318" t="s">
        <v>17</v>
      </c>
      <c r="D15" s="95">
        <v>1</v>
      </c>
      <c r="E15" s="95" t="s">
        <v>57</v>
      </c>
      <c r="F15" s="95" t="s">
        <v>57</v>
      </c>
      <c r="G15" s="95">
        <v>15.71</v>
      </c>
      <c r="H15" s="118"/>
      <c r="I15" s="95">
        <f t="shared" si="0"/>
        <v>15.71</v>
      </c>
      <c r="J15" s="95">
        <f t="shared" si="1"/>
        <v>15.71</v>
      </c>
      <c r="K15" s="191"/>
      <c r="L15" s="95" t="s">
        <v>19</v>
      </c>
      <c r="M15" s="95">
        <v>1</v>
      </c>
      <c r="N15" s="95">
        <v>18.8</v>
      </c>
      <c r="O15" s="123">
        <v>2.7</v>
      </c>
      <c r="P15" s="118"/>
      <c r="Q15" s="118"/>
      <c r="R15" s="95">
        <f t="shared" si="2"/>
        <v>50.760000000000005</v>
      </c>
      <c r="S15" s="195"/>
      <c r="T15" s="108" t="s">
        <v>358</v>
      </c>
      <c r="U15" s="163">
        <f t="shared" si="3"/>
        <v>18.8</v>
      </c>
      <c r="V15" s="193"/>
      <c r="W15" s="162" t="s">
        <v>17</v>
      </c>
      <c r="X15" s="108" t="str">
        <f t="shared" si="4"/>
        <v>cad</v>
      </c>
      <c r="Y15" s="108" t="str">
        <f t="shared" si="5"/>
        <v>cad</v>
      </c>
      <c r="Z15" s="108">
        <f t="shared" si="9"/>
        <v>15.71</v>
      </c>
      <c r="AA15" s="108">
        <f t="shared" si="6"/>
        <v>0</v>
      </c>
      <c r="AB15" s="108">
        <f t="shared" si="7"/>
        <v>15.71</v>
      </c>
      <c r="AC15" s="108">
        <f t="shared" si="8"/>
        <v>15.71</v>
      </c>
      <c r="AD15" s="195"/>
      <c r="AE15" s="92" t="s">
        <v>357</v>
      </c>
      <c r="AF15" s="194">
        <f t="shared" si="10"/>
        <v>18.8</v>
      </c>
      <c r="AG15" s="12"/>
      <c r="AH15" s="12"/>
      <c r="AI15" s="12">
        <f>P15</f>
        <v>0</v>
      </c>
    </row>
    <row r="16" spans="1:35" s="11" customFormat="1" ht="13.8">
      <c r="A16" s="29"/>
      <c r="B16" s="161" t="s">
        <v>196</v>
      </c>
      <c r="C16" s="318" t="s">
        <v>17</v>
      </c>
      <c r="D16" s="95">
        <v>1</v>
      </c>
      <c r="E16" s="95" t="s">
        <v>57</v>
      </c>
      <c r="F16" s="95" t="s">
        <v>57</v>
      </c>
      <c r="G16" s="95">
        <v>11.34</v>
      </c>
      <c r="H16" s="118"/>
      <c r="I16" s="95">
        <f t="shared" si="0"/>
        <v>11.34</v>
      </c>
      <c r="J16" s="95">
        <f t="shared" si="1"/>
        <v>11.34</v>
      </c>
      <c r="K16" s="191"/>
      <c r="L16" s="95" t="s">
        <v>19</v>
      </c>
      <c r="M16" s="95">
        <v>1</v>
      </c>
      <c r="N16" s="95">
        <v>13.5</v>
      </c>
      <c r="O16" s="123">
        <v>2.7</v>
      </c>
      <c r="P16" s="118"/>
      <c r="Q16" s="118"/>
      <c r="R16" s="95">
        <f t="shared" si="2"/>
        <v>36.450000000000003</v>
      </c>
      <c r="S16" s="195"/>
      <c r="T16" s="108" t="s">
        <v>358</v>
      </c>
      <c r="U16" s="163">
        <f t="shared" si="3"/>
        <v>13.5</v>
      </c>
      <c r="V16" s="193"/>
      <c r="W16" s="162" t="s">
        <v>17</v>
      </c>
      <c r="X16" s="108" t="str">
        <f t="shared" si="4"/>
        <v>cad</v>
      </c>
      <c r="Y16" s="108" t="str">
        <f t="shared" si="5"/>
        <v>cad</v>
      </c>
      <c r="Z16" s="108">
        <f t="shared" si="9"/>
        <v>11.34</v>
      </c>
      <c r="AA16" s="108">
        <f t="shared" si="6"/>
        <v>0</v>
      </c>
      <c r="AB16" s="108">
        <f t="shared" si="7"/>
        <v>11.34</v>
      </c>
      <c r="AC16" s="108">
        <f t="shared" si="8"/>
        <v>11.34</v>
      </c>
      <c r="AD16" s="193"/>
      <c r="AE16" s="92" t="s">
        <v>357</v>
      </c>
      <c r="AF16" s="194">
        <f t="shared" si="10"/>
        <v>13.5</v>
      </c>
    </row>
    <row r="17" spans="1:32" s="11" customFormat="1" ht="13.8">
      <c r="A17" s="29"/>
      <c r="B17" s="161" t="s">
        <v>197</v>
      </c>
      <c r="C17" s="318" t="s">
        <v>17</v>
      </c>
      <c r="D17" s="95">
        <v>1</v>
      </c>
      <c r="E17" s="95" t="s">
        <v>57</v>
      </c>
      <c r="F17" s="95" t="s">
        <v>57</v>
      </c>
      <c r="G17" s="123">
        <v>14.3</v>
      </c>
      <c r="H17" s="118"/>
      <c r="I17" s="95">
        <f t="shared" si="0"/>
        <v>14.3</v>
      </c>
      <c r="J17" s="95">
        <f t="shared" si="1"/>
        <v>14.3</v>
      </c>
      <c r="K17" s="191"/>
      <c r="L17" s="95" t="s">
        <v>19</v>
      </c>
      <c r="M17" s="95">
        <v>1</v>
      </c>
      <c r="N17" s="123">
        <v>15.86</v>
      </c>
      <c r="O17" s="123">
        <v>2.7</v>
      </c>
      <c r="P17" s="118"/>
      <c r="Q17" s="118"/>
      <c r="R17" s="95">
        <f t="shared" si="2"/>
        <v>42.822000000000003</v>
      </c>
      <c r="S17" s="195"/>
      <c r="T17" s="108" t="s">
        <v>358</v>
      </c>
      <c r="U17" s="163">
        <f t="shared" si="3"/>
        <v>15.86</v>
      </c>
      <c r="V17" s="193"/>
      <c r="W17" s="162" t="s">
        <v>17</v>
      </c>
      <c r="X17" s="108" t="str">
        <f t="shared" si="4"/>
        <v>cad</v>
      </c>
      <c r="Y17" s="108" t="str">
        <f t="shared" si="5"/>
        <v>cad</v>
      </c>
      <c r="Z17" s="108">
        <f t="shared" si="9"/>
        <v>14.3</v>
      </c>
      <c r="AA17" s="108">
        <f t="shared" si="6"/>
        <v>0</v>
      </c>
      <c r="AB17" s="108">
        <f t="shared" si="7"/>
        <v>14.3</v>
      </c>
      <c r="AC17" s="108">
        <f t="shared" si="8"/>
        <v>14.3</v>
      </c>
      <c r="AD17" s="193"/>
      <c r="AE17" s="92" t="s">
        <v>357</v>
      </c>
      <c r="AF17" s="194">
        <f t="shared" si="10"/>
        <v>15.86</v>
      </c>
    </row>
    <row r="18" spans="1:32" s="11" customFormat="1" ht="13.8">
      <c r="A18" s="29"/>
      <c r="B18" s="161" t="s">
        <v>198</v>
      </c>
      <c r="C18" s="318" t="s">
        <v>17</v>
      </c>
      <c r="D18" s="95">
        <v>1</v>
      </c>
      <c r="E18" s="95" t="s">
        <v>57</v>
      </c>
      <c r="F18" s="95" t="s">
        <v>57</v>
      </c>
      <c r="G18" s="95">
        <v>11.34</v>
      </c>
      <c r="H18" s="118"/>
      <c r="I18" s="95">
        <f t="shared" si="0"/>
        <v>11.34</v>
      </c>
      <c r="J18" s="95">
        <f t="shared" si="1"/>
        <v>11.34</v>
      </c>
      <c r="K18" s="191"/>
      <c r="L18" s="95" t="s">
        <v>19</v>
      </c>
      <c r="M18" s="95">
        <v>1</v>
      </c>
      <c r="N18" s="95">
        <v>13.5</v>
      </c>
      <c r="O18" s="123">
        <v>2.7</v>
      </c>
      <c r="P18" s="118"/>
      <c r="Q18" s="118"/>
      <c r="R18" s="95">
        <f t="shared" si="2"/>
        <v>36.450000000000003</v>
      </c>
      <c r="S18" s="195"/>
      <c r="T18" s="108" t="s">
        <v>358</v>
      </c>
      <c r="U18" s="163">
        <f t="shared" si="3"/>
        <v>13.5</v>
      </c>
      <c r="V18" s="193"/>
      <c r="W18" s="162" t="s">
        <v>17</v>
      </c>
      <c r="X18" s="108" t="str">
        <f t="shared" si="4"/>
        <v>cad</v>
      </c>
      <c r="Y18" s="108" t="str">
        <f t="shared" si="5"/>
        <v>cad</v>
      </c>
      <c r="Z18" s="108">
        <f t="shared" si="9"/>
        <v>11.34</v>
      </c>
      <c r="AA18" s="108">
        <f t="shared" si="6"/>
        <v>0</v>
      </c>
      <c r="AB18" s="108">
        <f t="shared" si="7"/>
        <v>11.34</v>
      </c>
      <c r="AC18" s="108">
        <f t="shared" si="8"/>
        <v>11.34</v>
      </c>
      <c r="AD18" s="193"/>
      <c r="AE18" s="92" t="s">
        <v>357</v>
      </c>
      <c r="AF18" s="194">
        <f t="shared" si="10"/>
        <v>13.5</v>
      </c>
    </row>
    <row r="19" spans="1:32" s="11" customFormat="1" ht="13.8">
      <c r="A19" s="29"/>
      <c r="B19" s="161" t="s">
        <v>162</v>
      </c>
      <c r="C19" s="95" t="s">
        <v>20</v>
      </c>
      <c r="D19" s="95">
        <v>1</v>
      </c>
      <c r="E19" s="95" t="s">
        <v>57</v>
      </c>
      <c r="F19" s="95" t="s">
        <v>57</v>
      </c>
      <c r="G19" s="95">
        <v>5.89</v>
      </c>
      <c r="H19" s="118"/>
      <c r="I19" s="95">
        <f t="shared" si="0"/>
        <v>5.89</v>
      </c>
      <c r="J19" s="95">
        <f t="shared" si="1"/>
        <v>5.89</v>
      </c>
      <c r="K19" s="191"/>
      <c r="L19" s="95" t="s">
        <v>18</v>
      </c>
      <c r="M19" s="95">
        <v>1</v>
      </c>
      <c r="N19" s="123">
        <v>9.8699999999999992</v>
      </c>
      <c r="O19" s="123">
        <v>2.7</v>
      </c>
      <c r="P19" s="118"/>
      <c r="Q19" s="118"/>
      <c r="R19" s="95">
        <f t="shared" si="2"/>
        <v>26.649000000000001</v>
      </c>
      <c r="S19" s="195"/>
      <c r="T19" s="108" t="s">
        <v>18</v>
      </c>
      <c r="U19" s="163">
        <f t="shared" si="3"/>
        <v>9.8699999999999992</v>
      </c>
      <c r="V19" s="193"/>
      <c r="W19" s="162" t="s">
        <v>18</v>
      </c>
      <c r="X19" s="108" t="str">
        <f t="shared" si="4"/>
        <v>cad</v>
      </c>
      <c r="Y19" s="108" t="str">
        <f t="shared" si="5"/>
        <v>cad</v>
      </c>
      <c r="Z19" s="108">
        <f t="shared" si="9"/>
        <v>5.89</v>
      </c>
      <c r="AA19" s="108">
        <f t="shared" si="6"/>
        <v>0</v>
      </c>
      <c r="AB19" s="108">
        <f t="shared" si="7"/>
        <v>5.89</v>
      </c>
      <c r="AC19" s="108">
        <f t="shared" si="8"/>
        <v>5.89</v>
      </c>
      <c r="AD19" s="193"/>
      <c r="AE19" s="92" t="s">
        <v>357</v>
      </c>
      <c r="AF19" s="194">
        <f t="shared" ref="AF19:AF53" si="11">N19*M19</f>
        <v>9.8699999999999992</v>
      </c>
    </row>
    <row r="20" spans="1:32" s="11" customFormat="1" ht="13.8">
      <c r="A20" s="29"/>
      <c r="B20" s="161" t="s">
        <v>163</v>
      </c>
      <c r="C20" s="95" t="s">
        <v>20</v>
      </c>
      <c r="D20" s="95">
        <v>1</v>
      </c>
      <c r="E20" s="95" t="s">
        <v>57</v>
      </c>
      <c r="F20" s="95" t="s">
        <v>57</v>
      </c>
      <c r="G20" s="123">
        <v>5.89</v>
      </c>
      <c r="H20" s="118"/>
      <c r="I20" s="95">
        <f t="shared" si="0"/>
        <v>5.89</v>
      </c>
      <c r="J20" s="95">
        <f t="shared" si="1"/>
        <v>5.89</v>
      </c>
      <c r="K20" s="191"/>
      <c r="L20" s="95" t="s">
        <v>18</v>
      </c>
      <c r="M20" s="95">
        <v>1</v>
      </c>
      <c r="N20" s="123">
        <v>9.8699999999999992</v>
      </c>
      <c r="O20" s="123">
        <v>2.7</v>
      </c>
      <c r="P20" s="118"/>
      <c r="Q20" s="118"/>
      <c r="R20" s="95">
        <f t="shared" si="2"/>
        <v>26.649000000000001</v>
      </c>
      <c r="S20" s="195"/>
      <c r="T20" s="108" t="s">
        <v>18</v>
      </c>
      <c r="U20" s="163">
        <f t="shared" si="3"/>
        <v>9.8699999999999992</v>
      </c>
      <c r="V20" s="193"/>
      <c r="W20" s="162" t="s">
        <v>18</v>
      </c>
      <c r="X20" s="108" t="str">
        <f t="shared" si="4"/>
        <v>cad</v>
      </c>
      <c r="Y20" s="108" t="str">
        <f t="shared" si="5"/>
        <v>cad</v>
      </c>
      <c r="Z20" s="108">
        <f t="shared" si="9"/>
        <v>5.89</v>
      </c>
      <c r="AA20" s="108">
        <f t="shared" si="6"/>
        <v>0</v>
      </c>
      <c r="AB20" s="108">
        <f t="shared" si="7"/>
        <v>5.89</v>
      </c>
      <c r="AC20" s="108">
        <f t="shared" si="8"/>
        <v>5.89</v>
      </c>
      <c r="AD20" s="193"/>
      <c r="AE20" s="92" t="s">
        <v>357</v>
      </c>
      <c r="AF20" s="194">
        <f t="shared" si="11"/>
        <v>9.8699999999999992</v>
      </c>
    </row>
    <row r="21" spans="1:32" s="11" customFormat="1" ht="13.8">
      <c r="A21" s="29"/>
      <c r="B21" s="161" t="s">
        <v>199</v>
      </c>
      <c r="C21" s="95" t="s">
        <v>20</v>
      </c>
      <c r="D21" s="95">
        <v>1</v>
      </c>
      <c r="E21" s="95" t="s">
        <v>57</v>
      </c>
      <c r="F21" s="95" t="s">
        <v>57</v>
      </c>
      <c r="G21" s="95">
        <v>4.7</v>
      </c>
      <c r="H21" s="118"/>
      <c r="I21" s="95">
        <f t="shared" si="0"/>
        <v>4.7</v>
      </c>
      <c r="J21" s="95">
        <f t="shared" si="1"/>
        <v>4.7</v>
      </c>
      <c r="K21" s="191"/>
      <c r="L21" s="95" t="s">
        <v>18</v>
      </c>
      <c r="M21" s="95">
        <v>1</v>
      </c>
      <c r="N21" s="95">
        <v>9</v>
      </c>
      <c r="O21" s="123">
        <v>2.7</v>
      </c>
      <c r="P21" s="118"/>
      <c r="Q21" s="118"/>
      <c r="R21" s="95">
        <f t="shared" si="2"/>
        <v>24.3</v>
      </c>
      <c r="S21" s="195"/>
      <c r="T21" s="108" t="s">
        <v>18</v>
      </c>
      <c r="U21" s="163">
        <f t="shared" ref="U21:U22" si="12">N21*M21</f>
        <v>9</v>
      </c>
      <c r="V21" s="193"/>
      <c r="W21" s="162" t="s">
        <v>18</v>
      </c>
      <c r="X21" s="108" t="str">
        <f t="shared" si="4"/>
        <v>cad</v>
      </c>
      <c r="Y21" s="108" t="str">
        <f t="shared" si="5"/>
        <v>cad</v>
      </c>
      <c r="Z21" s="108">
        <f t="shared" si="9"/>
        <v>4.7</v>
      </c>
      <c r="AA21" s="108">
        <f t="shared" si="6"/>
        <v>0</v>
      </c>
      <c r="AB21" s="108">
        <f t="shared" si="7"/>
        <v>4.7</v>
      </c>
      <c r="AC21" s="108">
        <f t="shared" si="8"/>
        <v>4.7</v>
      </c>
      <c r="AD21" s="193"/>
      <c r="AE21" s="92" t="s">
        <v>357</v>
      </c>
      <c r="AF21" s="194">
        <f t="shared" si="11"/>
        <v>9</v>
      </c>
    </row>
    <row r="22" spans="1:32" s="11" customFormat="1" ht="13.8">
      <c r="A22" s="29"/>
      <c r="B22" s="161" t="s">
        <v>200</v>
      </c>
      <c r="C22" s="95" t="s">
        <v>20</v>
      </c>
      <c r="D22" s="95">
        <v>1</v>
      </c>
      <c r="E22" s="95" t="s">
        <v>57</v>
      </c>
      <c r="F22" s="95" t="s">
        <v>57</v>
      </c>
      <c r="G22" s="123">
        <v>4.03</v>
      </c>
      <c r="H22" s="118"/>
      <c r="I22" s="95">
        <f t="shared" si="0"/>
        <v>4.03</v>
      </c>
      <c r="J22" s="95">
        <f t="shared" si="1"/>
        <v>4.03</v>
      </c>
      <c r="K22" s="191"/>
      <c r="L22" s="95" t="s">
        <v>18</v>
      </c>
      <c r="M22" s="95">
        <v>1</v>
      </c>
      <c r="N22" s="123">
        <v>8.6</v>
      </c>
      <c r="O22" s="123">
        <v>2.7</v>
      </c>
      <c r="P22" s="118"/>
      <c r="Q22" s="118"/>
      <c r="R22" s="95">
        <f t="shared" si="2"/>
        <v>23.22</v>
      </c>
      <c r="S22" s="195"/>
      <c r="T22" s="108" t="s">
        <v>18</v>
      </c>
      <c r="U22" s="163">
        <f t="shared" si="12"/>
        <v>8.6</v>
      </c>
      <c r="V22" s="193"/>
      <c r="W22" s="162" t="s">
        <v>18</v>
      </c>
      <c r="X22" s="108" t="str">
        <f t="shared" si="4"/>
        <v>cad</v>
      </c>
      <c r="Y22" s="108" t="str">
        <f t="shared" si="5"/>
        <v>cad</v>
      </c>
      <c r="Z22" s="108">
        <f t="shared" si="9"/>
        <v>4.03</v>
      </c>
      <c r="AA22" s="108">
        <f t="shared" si="6"/>
        <v>0</v>
      </c>
      <c r="AB22" s="108">
        <f t="shared" si="7"/>
        <v>4.03</v>
      </c>
      <c r="AC22" s="108">
        <f t="shared" si="8"/>
        <v>4.03</v>
      </c>
      <c r="AD22" s="193"/>
      <c r="AE22" s="92" t="s">
        <v>357</v>
      </c>
      <c r="AF22" s="194">
        <f t="shared" si="11"/>
        <v>8.6</v>
      </c>
    </row>
    <row r="23" spans="1:32" s="11" customFormat="1" ht="13.8">
      <c r="A23" s="29"/>
      <c r="B23" s="161" t="s">
        <v>123</v>
      </c>
      <c r="C23" s="95" t="s">
        <v>22</v>
      </c>
      <c r="D23" s="95">
        <v>1</v>
      </c>
      <c r="E23" s="95" t="s">
        <v>57</v>
      </c>
      <c r="F23" s="95" t="s">
        <v>57</v>
      </c>
      <c r="G23" s="123">
        <v>3.32</v>
      </c>
      <c r="H23" s="118"/>
      <c r="I23" s="95">
        <f t="shared" si="0"/>
        <v>3.32</v>
      </c>
      <c r="J23" s="95">
        <f t="shared" si="1"/>
        <v>3.32</v>
      </c>
      <c r="K23" s="191"/>
      <c r="L23" s="95" t="s">
        <v>20</v>
      </c>
      <c r="M23" s="95">
        <v>1</v>
      </c>
      <c r="N23" s="95">
        <v>8.1</v>
      </c>
      <c r="O23" s="123">
        <v>2.7</v>
      </c>
      <c r="P23" s="118"/>
      <c r="Q23" s="118"/>
      <c r="R23" s="95">
        <f t="shared" si="2"/>
        <v>21.87</v>
      </c>
      <c r="S23" s="195"/>
      <c r="T23" s="108" t="s">
        <v>18</v>
      </c>
      <c r="U23" s="163">
        <f t="shared" ref="U23:U25" si="13">N23*M23</f>
        <v>8.1</v>
      </c>
      <c r="V23" s="193"/>
      <c r="W23" s="162" t="s">
        <v>18</v>
      </c>
      <c r="X23" s="108" t="str">
        <f t="shared" si="4"/>
        <v>cad</v>
      </c>
      <c r="Y23" s="108" t="str">
        <f t="shared" si="5"/>
        <v>cad</v>
      </c>
      <c r="Z23" s="108">
        <f t="shared" si="9"/>
        <v>3.32</v>
      </c>
      <c r="AA23" s="108">
        <f t="shared" si="6"/>
        <v>0</v>
      </c>
      <c r="AB23" s="108">
        <f t="shared" si="7"/>
        <v>3.32</v>
      </c>
      <c r="AC23" s="108">
        <f t="shared" si="8"/>
        <v>3.32</v>
      </c>
      <c r="AD23" s="193"/>
      <c r="AE23" s="92" t="s">
        <v>357</v>
      </c>
      <c r="AF23" s="194">
        <f t="shared" si="11"/>
        <v>8.1</v>
      </c>
    </row>
    <row r="24" spans="1:32" s="11" customFormat="1" ht="13.8">
      <c r="A24" s="29"/>
      <c r="B24" s="167" t="s">
        <v>123</v>
      </c>
      <c r="C24" s="95" t="s">
        <v>22</v>
      </c>
      <c r="D24" s="95">
        <v>1</v>
      </c>
      <c r="E24" s="95" t="s">
        <v>57</v>
      </c>
      <c r="F24" s="95" t="s">
        <v>57</v>
      </c>
      <c r="G24" s="168">
        <v>3.57</v>
      </c>
      <c r="H24" s="118"/>
      <c r="I24" s="95">
        <f t="shared" ref="I24:I25" si="14">(G24-H24)</f>
        <v>3.57</v>
      </c>
      <c r="J24" s="95">
        <f t="shared" ref="J24:J25" si="15">I24*D24</f>
        <v>3.57</v>
      </c>
      <c r="K24" s="191"/>
      <c r="L24" s="95" t="s">
        <v>20</v>
      </c>
      <c r="M24" s="95">
        <v>1</v>
      </c>
      <c r="N24" s="168">
        <v>8.1</v>
      </c>
      <c r="O24" s="168">
        <v>2.7</v>
      </c>
      <c r="P24" s="118"/>
      <c r="Q24" s="118"/>
      <c r="R24" s="95">
        <f t="shared" si="2"/>
        <v>21.87</v>
      </c>
      <c r="S24" s="195"/>
      <c r="T24" s="108" t="s">
        <v>18</v>
      </c>
      <c r="U24" s="163">
        <f t="shared" si="13"/>
        <v>8.1</v>
      </c>
      <c r="V24" s="193"/>
      <c r="W24" s="162" t="s">
        <v>18</v>
      </c>
      <c r="X24" s="108"/>
      <c r="Y24" s="108"/>
      <c r="Z24" s="108">
        <f t="shared" si="9"/>
        <v>3.57</v>
      </c>
      <c r="AA24" s="108">
        <f t="shared" ref="AA24" si="16">H24</f>
        <v>0</v>
      </c>
      <c r="AB24" s="108">
        <f t="shared" ref="AB24:AB25" si="17">I24</f>
        <v>3.57</v>
      </c>
      <c r="AC24" s="108">
        <f t="shared" ref="AC24:AC25" si="18">J24</f>
        <v>3.57</v>
      </c>
      <c r="AD24" s="193"/>
      <c r="AE24" s="92" t="s">
        <v>17</v>
      </c>
      <c r="AF24" s="194">
        <f t="shared" si="11"/>
        <v>8.1</v>
      </c>
    </row>
    <row r="25" spans="1:32" s="11" customFormat="1" ht="13.8">
      <c r="A25" s="29"/>
      <c r="B25" s="167" t="s">
        <v>157</v>
      </c>
      <c r="C25" s="318" t="s">
        <v>17</v>
      </c>
      <c r="D25" s="95">
        <v>1</v>
      </c>
      <c r="E25" s="95" t="s">
        <v>57</v>
      </c>
      <c r="F25" s="95" t="s">
        <v>57</v>
      </c>
      <c r="G25" s="168">
        <v>5.4</v>
      </c>
      <c r="H25" s="118"/>
      <c r="I25" s="95">
        <f t="shared" si="14"/>
        <v>5.4</v>
      </c>
      <c r="J25" s="95">
        <f t="shared" si="15"/>
        <v>5.4</v>
      </c>
      <c r="K25" s="191"/>
      <c r="L25" s="95" t="s">
        <v>17</v>
      </c>
      <c r="M25" s="95">
        <v>1</v>
      </c>
      <c r="N25" s="168">
        <f>10.2-2.25</f>
        <v>7.9499999999999993</v>
      </c>
      <c r="O25" s="168">
        <v>2.7</v>
      </c>
      <c r="P25" s="118"/>
      <c r="Q25" s="118"/>
      <c r="R25" s="95">
        <f t="shared" si="2"/>
        <v>21.465</v>
      </c>
      <c r="S25" s="195"/>
      <c r="T25" s="108" t="s">
        <v>21</v>
      </c>
      <c r="U25" s="163">
        <f t="shared" si="13"/>
        <v>7.9499999999999993</v>
      </c>
      <c r="V25" s="193"/>
      <c r="W25" s="162" t="s">
        <v>19</v>
      </c>
      <c r="X25" s="108"/>
      <c r="Y25" s="108"/>
      <c r="Z25" s="108">
        <f t="shared" si="9"/>
        <v>5.4</v>
      </c>
      <c r="AA25" s="108"/>
      <c r="AB25" s="108">
        <f t="shared" si="17"/>
        <v>5.4</v>
      </c>
      <c r="AC25" s="108">
        <f t="shared" si="18"/>
        <v>5.4</v>
      </c>
      <c r="AD25" s="193"/>
      <c r="AE25" s="92"/>
      <c r="AF25" s="194"/>
    </row>
    <row r="26" spans="1:32" s="11" customFormat="1" ht="13.8">
      <c r="A26" s="29"/>
      <c r="B26" s="161" t="s">
        <v>201</v>
      </c>
      <c r="C26" s="95" t="s">
        <v>20</v>
      </c>
      <c r="D26" s="95">
        <v>1</v>
      </c>
      <c r="E26" s="95" t="s">
        <v>57</v>
      </c>
      <c r="F26" s="95" t="s">
        <v>57</v>
      </c>
      <c r="G26" s="123">
        <v>5.24</v>
      </c>
      <c r="H26" s="118"/>
      <c r="I26" s="95">
        <f t="shared" si="0"/>
        <v>5.24</v>
      </c>
      <c r="J26" s="95">
        <f t="shared" si="1"/>
        <v>5.24</v>
      </c>
      <c r="K26" s="191"/>
      <c r="L26" s="95" t="s">
        <v>18</v>
      </c>
      <c r="M26" s="95">
        <v>1</v>
      </c>
      <c r="N26" s="123">
        <v>10.130000000000001</v>
      </c>
      <c r="O26" s="123">
        <v>2.7</v>
      </c>
      <c r="P26" s="118"/>
      <c r="Q26" s="118"/>
      <c r="R26" s="95">
        <f t="shared" si="2"/>
        <v>27.351000000000003</v>
      </c>
      <c r="S26" s="195"/>
      <c r="T26" s="108" t="s">
        <v>18</v>
      </c>
      <c r="U26" s="163">
        <f t="shared" ref="U26" si="19">N26*M26</f>
        <v>10.130000000000001</v>
      </c>
      <c r="V26" s="193"/>
      <c r="W26" s="162" t="s">
        <v>18</v>
      </c>
      <c r="X26" s="108" t="str">
        <f t="shared" si="4"/>
        <v>cad</v>
      </c>
      <c r="Y26" s="108" t="str">
        <f t="shared" si="5"/>
        <v>cad</v>
      </c>
      <c r="Z26" s="108">
        <f t="shared" si="9"/>
        <v>5.24</v>
      </c>
      <c r="AA26" s="108">
        <f t="shared" si="6"/>
        <v>0</v>
      </c>
      <c r="AB26" s="108">
        <f t="shared" si="7"/>
        <v>5.24</v>
      </c>
      <c r="AC26" s="108">
        <f t="shared" si="8"/>
        <v>5.24</v>
      </c>
      <c r="AD26" s="193"/>
      <c r="AE26" s="92" t="s">
        <v>357</v>
      </c>
      <c r="AF26" s="194">
        <f t="shared" si="11"/>
        <v>10.130000000000001</v>
      </c>
    </row>
    <row r="27" spans="1:32" s="11" customFormat="1" ht="13.8">
      <c r="A27" s="29"/>
      <c r="B27" s="161" t="s">
        <v>119</v>
      </c>
      <c r="C27" s="95" t="s">
        <v>20</v>
      </c>
      <c r="D27" s="95">
        <v>1</v>
      </c>
      <c r="E27" s="95" t="s">
        <v>57</v>
      </c>
      <c r="F27" s="95" t="s">
        <v>57</v>
      </c>
      <c r="G27" s="95">
        <v>5.74</v>
      </c>
      <c r="H27" s="118"/>
      <c r="I27" s="95">
        <f t="shared" si="0"/>
        <v>5.74</v>
      </c>
      <c r="J27" s="95">
        <f t="shared" si="1"/>
        <v>5.74</v>
      </c>
      <c r="K27" s="191"/>
      <c r="L27" s="95" t="s">
        <v>20</v>
      </c>
      <c r="M27" s="95">
        <v>1</v>
      </c>
      <c r="N27" s="123">
        <v>9.7100000000000009</v>
      </c>
      <c r="O27" s="123">
        <v>2.7</v>
      </c>
      <c r="P27" s="118"/>
      <c r="Q27" s="118"/>
      <c r="R27" s="95">
        <f t="shared" si="2"/>
        <v>26.217000000000002</v>
      </c>
      <c r="S27" s="195"/>
      <c r="T27" s="108"/>
      <c r="U27" s="163"/>
      <c r="V27" s="193"/>
      <c r="W27" s="162" t="s">
        <v>18</v>
      </c>
      <c r="X27" s="108" t="str">
        <f t="shared" si="4"/>
        <v>cad</v>
      </c>
      <c r="Y27" s="108" t="str">
        <f t="shared" si="5"/>
        <v>cad</v>
      </c>
      <c r="Z27" s="108">
        <f t="shared" si="9"/>
        <v>5.74</v>
      </c>
      <c r="AA27" s="108">
        <f t="shared" si="6"/>
        <v>0</v>
      </c>
      <c r="AB27" s="108">
        <f t="shared" si="7"/>
        <v>5.74</v>
      </c>
      <c r="AC27" s="108">
        <f t="shared" si="8"/>
        <v>5.74</v>
      </c>
      <c r="AD27" s="193"/>
      <c r="AE27" s="92" t="s">
        <v>357</v>
      </c>
      <c r="AF27" s="194">
        <f t="shared" si="11"/>
        <v>9.7100000000000009</v>
      </c>
    </row>
    <row r="28" spans="1:32" s="11" customFormat="1" ht="13.8">
      <c r="A28" s="29"/>
      <c r="B28" s="167" t="s">
        <v>119</v>
      </c>
      <c r="C28" s="95" t="s">
        <v>20</v>
      </c>
      <c r="D28" s="95">
        <v>1</v>
      </c>
      <c r="E28" s="95" t="s">
        <v>57</v>
      </c>
      <c r="F28" s="95" t="s">
        <v>57</v>
      </c>
      <c r="G28" s="168">
        <v>6.07</v>
      </c>
      <c r="H28" s="118"/>
      <c r="I28" s="95">
        <f t="shared" ref="I28" si="20">(G28-H28)</f>
        <v>6.07</v>
      </c>
      <c r="J28" s="95">
        <f t="shared" ref="J28" si="21">I28*D28</f>
        <v>6.07</v>
      </c>
      <c r="K28" s="191"/>
      <c r="L28" s="95" t="s">
        <v>20</v>
      </c>
      <c r="M28" s="95">
        <v>1</v>
      </c>
      <c r="N28" s="168">
        <v>9.9</v>
      </c>
      <c r="O28" s="168">
        <v>2.7</v>
      </c>
      <c r="P28" s="118"/>
      <c r="Q28" s="118"/>
      <c r="R28" s="95">
        <f t="shared" si="2"/>
        <v>26.730000000000004</v>
      </c>
      <c r="S28" s="195"/>
      <c r="T28" s="108"/>
      <c r="U28" s="163"/>
      <c r="V28" s="193"/>
      <c r="W28" s="162" t="s">
        <v>18</v>
      </c>
      <c r="X28" s="108"/>
      <c r="Y28" s="108"/>
      <c r="Z28" s="108">
        <f t="shared" si="9"/>
        <v>6.07</v>
      </c>
      <c r="AA28" s="108">
        <f t="shared" ref="AA28" si="22">H28</f>
        <v>0</v>
      </c>
      <c r="AB28" s="108">
        <f t="shared" ref="AB28" si="23">I28</f>
        <v>6.07</v>
      </c>
      <c r="AC28" s="108">
        <f t="shared" ref="AC28" si="24">J28</f>
        <v>6.07</v>
      </c>
      <c r="AD28" s="193"/>
      <c r="AE28" s="92" t="s">
        <v>357</v>
      </c>
      <c r="AF28" s="194">
        <f t="shared" si="11"/>
        <v>9.9</v>
      </c>
    </row>
    <row r="29" spans="1:32" s="11" customFormat="1" ht="13.8">
      <c r="A29" s="29"/>
      <c r="B29" s="161" t="s">
        <v>375</v>
      </c>
      <c r="C29" s="318" t="s">
        <v>17</v>
      </c>
      <c r="D29" s="95">
        <v>1</v>
      </c>
      <c r="E29" s="95" t="s">
        <v>57</v>
      </c>
      <c r="F29" s="95" t="s">
        <v>57</v>
      </c>
      <c r="G29" s="123">
        <v>30.01</v>
      </c>
      <c r="H29" s="118"/>
      <c r="I29" s="95">
        <f t="shared" ref="I29" si="25">(G29-H29)</f>
        <v>30.01</v>
      </c>
      <c r="J29" s="95">
        <f t="shared" ref="J29" si="26">I29*D29</f>
        <v>30.01</v>
      </c>
      <c r="K29" s="191"/>
      <c r="L29" s="95" t="s">
        <v>17</v>
      </c>
      <c r="M29" s="95">
        <v>1</v>
      </c>
      <c r="N29" s="123">
        <f>29.83-1.5</f>
        <v>28.33</v>
      </c>
      <c r="O29" s="123">
        <v>2.7</v>
      </c>
      <c r="P29" s="118"/>
      <c r="Q29" s="118"/>
      <c r="R29" s="95">
        <f t="shared" ref="R29:R53" si="27">(N29*O29-P29)*M29</f>
        <v>76.491</v>
      </c>
      <c r="S29" s="195"/>
      <c r="T29" s="108" t="s">
        <v>21</v>
      </c>
      <c r="U29" s="163">
        <f>N29*M29</f>
        <v>28.33</v>
      </c>
      <c r="V29" s="193"/>
      <c r="W29" s="162" t="s">
        <v>17</v>
      </c>
      <c r="X29" s="108" t="str">
        <f t="shared" ref="X29" si="28">E29</f>
        <v>cad</v>
      </c>
      <c r="Y29" s="108" t="str">
        <f t="shared" ref="Y29" si="29">F29</f>
        <v>cad</v>
      </c>
      <c r="Z29" s="108">
        <f t="shared" ref="Z29" si="30">G29</f>
        <v>30.01</v>
      </c>
      <c r="AA29" s="108">
        <f t="shared" ref="AA29" si="31">H29</f>
        <v>0</v>
      </c>
      <c r="AB29" s="108">
        <f t="shared" ref="AB29" si="32">I29</f>
        <v>30.01</v>
      </c>
      <c r="AC29" s="108">
        <f t="shared" si="8"/>
        <v>30.01</v>
      </c>
      <c r="AD29" s="193"/>
      <c r="AE29" s="92" t="s">
        <v>17</v>
      </c>
      <c r="AF29" s="194">
        <f t="shared" si="11"/>
        <v>28.33</v>
      </c>
    </row>
    <row r="30" spans="1:32" s="11" customFormat="1" ht="13.8">
      <c r="A30" s="29"/>
      <c r="B30" s="161"/>
      <c r="C30" s="95"/>
      <c r="D30" s="95"/>
      <c r="E30" s="95"/>
      <c r="F30" s="95"/>
      <c r="G30" s="141"/>
      <c r="H30" s="118"/>
      <c r="I30" s="95"/>
      <c r="J30" s="95"/>
      <c r="K30" s="191"/>
      <c r="L30" s="95"/>
      <c r="M30" s="95"/>
      <c r="N30" s="95"/>
      <c r="O30" s="95"/>
      <c r="P30" s="118"/>
      <c r="Q30" s="118"/>
      <c r="R30" s="95"/>
      <c r="S30" s="195"/>
      <c r="T30" s="108"/>
      <c r="U30" s="163"/>
      <c r="V30" s="193"/>
      <c r="W30" s="166" t="s">
        <v>19</v>
      </c>
      <c r="X30" s="141"/>
      <c r="Y30" s="141"/>
      <c r="Z30" s="141">
        <v>10.64</v>
      </c>
      <c r="AA30" s="108">
        <f t="shared" ref="AA30:AA31" si="33">H30</f>
        <v>0</v>
      </c>
      <c r="AB30" s="141">
        <f>Z30</f>
        <v>10.64</v>
      </c>
      <c r="AC30" s="141">
        <f>Z30</f>
        <v>10.64</v>
      </c>
      <c r="AD30" s="193"/>
      <c r="AE30" s="92"/>
      <c r="AF30" s="194"/>
    </row>
    <row r="31" spans="1:32" s="11" customFormat="1" ht="13.8">
      <c r="A31" s="29"/>
      <c r="B31" s="161"/>
      <c r="C31" s="95"/>
      <c r="D31" s="95"/>
      <c r="E31" s="95"/>
      <c r="F31" s="95"/>
      <c r="G31" s="141"/>
      <c r="H31" s="118"/>
      <c r="I31" s="95"/>
      <c r="J31" s="95"/>
      <c r="K31" s="191"/>
      <c r="L31" s="95"/>
      <c r="M31" s="95"/>
      <c r="N31" s="95"/>
      <c r="O31" s="95"/>
      <c r="P31" s="118"/>
      <c r="Q31" s="118"/>
      <c r="R31" s="95"/>
      <c r="S31" s="195"/>
      <c r="T31" s="108"/>
      <c r="U31" s="163"/>
      <c r="V31" s="193"/>
      <c r="W31" s="166" t="s">
        <v>24</v>
      </c>
      <c r="X31" s="141"/>
      <c r="Y31" s="141"/>
      <c r="Z31" s="141">
        <v>3.12</v>
      </c>
      <c r="AA31" s="108">
        <f t="shared" si="33"/>
        <v>0</v>
      </c>
      <c r="AB31" s="141">
        <f>Z31</f>
        <v>3.12</v>
      </c>
      <c r="AC31" s="141">
        <f>Z31</f>
        <v>3.12</v>
      </c>
      <c r="AD31" s="193"/>
      <c r="AE31" s="92"/>
      <c r="AF31" s="194"/>
    </row>
    <row r="32" spans="1:32" s="11" customFormat="1" ht="13.8">
      <c r="A32" s="29"/>
      <c r="B32" s="167" t="s">
        <v>157</v>
      </c>
      <c r="C32" s="318" t="s">
        <v>17</v>
      </c>
      <c r="D32" s="95">
        <v>1</v>
      </c>
      <c r="E32" s="95" t="s">
        <v>57</v>
      </c>
      <c r="F32" s="95" t="s">
        <v>57</v>
      </c>
      <c r="G32" s="168">
        <v>6.84</v>
      </c>
      <c r="H32" s="118"/>
      <c r="I32" s="95">
        <f t="shared" ref="I32" si="34">(G32-H32)</f>
        <v>6.84</v>
      </c>
      <c r="J32" s="95">
        <f t="shared" ref="J32" si="35">I32*D32</f>
        <v>6.84</v>
      </c>
      <c r="K32" s="191"/>
      <c r="L32" s="95" t="s">
        <v>17</v>
      </c>
      <c r="M32" s="95">
        <v>1</v>
      </c>
      <c r="N32" s="168">
        <f>12.12-1.5</f>
        <v>10.62</v>
      </c>
      <c r="O32" s="168">
        <v>2.7</v>
      </c>
      <c r="P32" s="118"/>
      <c r="Q32" s="118"/>
      <c r="R32" s="95">
        <f t="shared" si="27"/>
        <v>28.673999999999999</v>
      </c>
      <c r="S32" s="195"/>
      <c r="T32" s="108" t="s">
        <v>21</v>
      </c>
      <c r="U32" s="163">
        <f>N32*M32</f>
        <v>10.62</v>
      </c>
      <c r="V32" s="193"/>
      <c r="W32" s="162" t="s">
        <v>17</v>
      </c>
      <c r="X32" s="108"/>
      <c r="Y32" s="108"/>
      <c r="Z32" s="108">
        <f t="shared" ref="Z32" si="36">G32</f>
        <v>6.84</v>
      </c>
      <c r="AA32" s="108">
        <f t="shared" ref="AA32" si="37">H32</f>
        <v>0</v>
      </c>
      <c r="AB32" s="108">
        <f t="shared" ref="AB32" si="38">I32</f>
        <v>6.84</v>
      </c>
      <c r="AC32" s="108">
        <f t="shared" ref="AC32" si="39">J32</f>
        <v>6.84</v>
      </c>
      <c r="AD32" s="193"/>
      <c r="AE32" s="92" t="s">
        <v>357</v>
      </c>
      <c r="AF32" s="194">
        <f t="shared" si="11"/>
        <v>10.62</v>
      </c>
    </row>
    <row r="33" spans="1:32" s="11" customFormat="1" ht="13.8">
      <c r="A33" s="29"/>
      <c r="B33" s="167" t="s">
        <v>157</v>
      </c>
      <c r="C33" s="318" t="s">
        <v>17</v>
      </c>
      <c r="D33" s="95">
        <v>1</v>
      </c>
      <c r="E33" s="95" t="s">
        <v>57</v>
      </c>
      <c r="F33" s="95" t="s">
        <v>57</v>
      </c>
      <c r="G33" s="168">
        <v>15.59</v>
      </c>
      <c r="H33" s="118"/>
      <c r="I33" s="95">
        <f t="shared" ref="I33:I39" si="40">(G33-H33)</f>
        <v>15.59</v>
      </c>
      <c r="J33" s="95">
        <f t="shared" ref="J33:J39" si="41">I33*D33</f>
        <v>15.59</v>
      </c>
      <c r="K33" s="191"/>
      <c r="L33" s="95" t="s">
        <v>17</v>
      </c>
      <c r="M33" s="95">
        <v>1</v>
      </c>
      <c r="N33" s="168">
        <v>22.3</v>
      </c>
      <c r="O33" s="168">
        <v>2.7</v>
      </c>
      <c r="P33" s="118"/>
      <c r="Q33" s="118"/>
      <c r="R33" s="95">
        <f t="shared" si="27"/>
        <v>60.210000000000008</v>
      </c>
      <c r="S33" s="195"/>
      <c r="T33" s="108" t="s">
        <v>21</v>
      </c>
      <c r="U33" s="163">
        <f>N33*M33</f>
        <v>22.3</v>
      </c>
      <c r="V33" s="193"/>
      <c r="W33" s="162" t="s">
        <v>17</v>
      </c>
      <c r="X33" s="108"/>
      <c r="Y33" s="108"/>
      <c r="Z33" s="108">
        <f t="shared" ref="Z33:Z40" si="42">G33</f>
        <v>15.59</v>
      </c>
      <c r="AA33" s="108">
        <f t="shared" ref="AA33:AA35" si="43">H33</f>
        <v>0</v>
      </c>
      <c r="AB33" s="108">
        <f t="shared" ref="AB33" si="44">I33</f>
        <v>15.59</v>
      </c>
      <c r="AC33" s="108">
        <f t="shared" ref="AC33" si="45">J33</f>
        <v>15.59</v>
      </c>
      <c r="AD33" s="193"/>
      <c r="AE33" s="92" t="s">
        <v>357</v>
      </c>
      <c r="AF33" s="194">
        <f t="shared" si="11"/>
        <v>22.3</v>
      </c>
    </row>
    <row r="34" spans="1:32" s="11" customFormat="1" ht="13.8">
      <c r="A34" s="29"/>
      <c r="B34" s="167"/>
      <c r="C34" s="95"/>
      <c r="D34" s="95"/>
      <c r="E34" s="95"/>
      <c r="F34" s="95"/>
      <c r="G34" s="141"/>
      <c r="H34" s="118"/>
      <c r="I34" s="95"/>
      <c r="J34" s="95"/>
      <c r="K34" s="191"/>
      <c r="L34" s="95"/>
      <c r="M34" s="95"/>
      <c r="N34" s="95"/>
      <c r="O34" s="95"/>
      <c r="P34" s="118"/>
      <c r="Q34" s="118"/>
      <c r="R34" s="95"/>
      <c r="S34" s="195"/>
      <c r="T34" s="108"/>
      <c r="U34" s="163"/>
      <c r="V34" s="193"/>
      <c r="W34" s="166" t="s">
        <v>19</v>
      </c>
      <c r="X34" s="141"/>
      <c r="Y34" s="141"/>
      <c r="Z34" s="141">
        <v>7.04</v>
      </c>
      <c r="AA34" s="108">
        <f t="shared" si="43"/>
        <v>0</v>
      </c>
      <c r="AB34" s="141">
        <f>Z34</f>
        <v>7.04</v>
      </c>
      <c r="AC34" s="141">
        <f>Z34</f>
        <v>7.04</v>
      </c>
      <c r="AD34" s="193"/>
      <c r="AE34" s="92"/>
      <c r="AF34" s="194"/>
    </row>
    <row r="35" spans="1:32" s="11" customFormat="1" ht="13.8">
      <c r="A35" s="29"/>
      <c r="B35" s="167"/>
      <c r="C35" s="95"/>
      <c r="D35" s="95"/>
      <c r="E35" s="95"/>
      <c r="F35" s="95"/>
      <c r="G35" s="141"/>
      <c r="H35" s="118"/>
      <c r="I35" s="95"/>
      <c r="J35" s="95"/>
      <c r="K35" s="191"/>
      <c r="L35" s="95"/>
      <c r="M35" s="95"/>
      <c r="N35" s="95"/>
      <c r="O35" s="95"/>
      <c r="P35" s="118"/>
      <c r="Q35" s="118"/>
      <c r="R35" s="95"/>
      <c r="S35" s="195"/>
      <c r="T35" s="108"/>
      <c r="U35" s="163"/>
      <c r="V35" s="193"/>
      <c r="W35" s="166" t="s">
        <v>24</v>
      </c>
      <c r="X35" s="141"/>
      <c r="Y35" s="141"/>
      <c r="Z35" s="141">
        <v>1.56</v>
      </c>
      <c r="AA35" s="108">
        <f t="shared" si="43"/>
        <v>0</v>
      </c>
      <c r="AB35" s="141">
        <f>Z35</f>
        <v>1.56</v>
      </c>
      <c r="AC35" s="141">
        <f>Z35</f>
        <v>1.56</v>
      </c>
      <c r="AD35" s="193"/>
      <c r="AE35" s="92"/>
      <c r="AF35" s="194"/>
    </row>
    <row r="36" spans="1:32" s="11" customFormat="1" ht="13.8">
      <c r="A36" s="29"/>
      <c r="B36" s="167" t="s">
        <v>480</v>
      </c>
      <c r="C36" s="95" t="s">
        <v>17</v>
      </c>
      <c r="D36" s="95">
        <v>1</v>
      </c>
      <c r="E36" s="95" t="s">
        <v>57</v>
      </c>
      <c r="F36" s="95" t="s">
        <v>57</v>
      </c>
      <c r="G36" s="168">
        <v>4.13</v>
      </c>
      <c r="H36" s="118"/>
      <c r="I36" s="95">
        <f t="shared" si="40"/>
        <v>4.13</v>
      </c>
      <c r="J36" s="95">
        <f t="shared" si="41"/>
        <v>4.13</v>
      </c>
      <c r="K36" s="191"/>
      <c r="L36" s="95" t="s">
        <v>17</v>
      </c>
      <c r="M36" s="95">
        <v>1</v>
      </c>
      <c r="N36" s="168">
        <v>8.51</v>
      </c>
      <c r="O36" s="168">
        <v>2.7</v>
      </c>
      <c r="P36" s="118"/>
      <c r="Q36" s="118"/>
      <c r="R36" s="95">
        <f t="shared" si="27"/>
        <v>22.977</v>
      </c>
      <c r="S36" s="195"/>
      <c r="T36" s="108" t="s">
        <v>357</v>
      </c>
      <c r="U36" s="163">
        <f t="shared" ref="U36:U40" si="46">N36*M36</f>
        <v>8.51</v>
      </c>
      <c r="V36" s="193"/>
      <c r="W36" s="162" t="s">
        <v>17</v>
      </c>
      <c r="X36" s="108"/>
      <c r="Y36" s="108"/>
      <c r="Z36" s="108">
        <f t="shared" si="42"/>
        <v>4.13</v>
      </c>
      <c r="AA36" s="108">
        <f t="shared" ref="AA36:AA41" si="47">H36</f>
        <v>0</v>
      </c>
      <c r="AB36" s="108">
        <f t="shared" ref="AB36:AB39" si="48">I36</f>
        <v>4.13</v>
      </c>
      <c r="AC36" s="108">
        <f t="shared" ref="AC36:AC39" si="49">J36</f>
        <v>4.13</v>
      </c>
      <c r="AD36" s="193"/>
      <c r="AE36" s="92" t="s">
        <v>357</v>
      </c>
      <c r="AF36" s="194">
        <f t="shared" si="11"/>
        <v>8.51</v>
      </c>
    </row>
    <row r="37" spans="1:32" s="11" customFormat="1" ht="13.8">
      <c r="A37" s="29"/>
      <c r="B37" s="167" t="s">
        <v>481</v>
      </c>
      <c r="C37" s="95" t="s">
        <v>17</v>
      </c>
      <c r="D37" s="95">
        <v>1</v>
      </c>
      <c r="E37" s="95" t="s">
        <v>57</v>
      </c>
      <c r="F37" s="95" t="s">
        <v>57</v>
      </c>
      <c r="G37" s="168">
        <v>5.0999999999999996</v>
      </c>
      <c r="H37" s="118"/>
      <c r="I37" s="95">
        <f t="shared" si="40"/>
        <v>5.0999999999999996</v>
      </c>
      <c r="J37" s="95">
        <f t="shared" si="41"/>
        <v>5.0999999999999996</v>
      </c>
      <c r="K37" s="191"/>
      <c r="L37" s="95" t="s">
        <v>17</v>
      </c>
      <c r="M37" s="95">
        <v>1</v>
      </c>
      <c r="N37" s="168">
        <v>9.1999999999999993</v>
      </c>
      <c r="O37" s="168">
        <v>2.7</v>
      </c>
      <c r="P37" s="118"/>
      <c r="Q37" s="118"/>
      <c r="R37" s="95">
        <f t="shared" si="27"/>
        <v>24.84</v>
      </c>
      <c r="S37" s="195"/>
      <c r="T37" s="108" t="s">
        <v>357</v>
      </c>
      <c r="U37" s="163">
        <f t="shared" si="46"/>
        <v>9.1999999999999993</v>
      </c>
      <c r="V37" s="193"/>
      <c r="W37" s="162" t="s">
        <v>17</v>
      </c>
      <c r="X37" s="108"/>
      <c r="Y37" s="108"/>
      <c r="Z37" s="108">
        <f t="shared" si="42"/>
        <v>5.0999999999999996</v>
      </c>
      <c r="AA37" s="108">
        <f t="shared" si="47"/>
        <v>0</v>
      </c>
      <c r="AB37" s="108">
        <f t="shared" si="48"/>
        <v>5.0999999999999996</v>
      </c>
      <c r="AC37" s="108">
        <f t="shared" si="49"/>
        <v>5.0999999999999996</v>
      </c>
      <c r="AD37" s="193"/>
      <c r="AE37" s="92" t="s">
        <v>357</v>
      </c>
      <c r="AF37" s="194">
        <f t="shared" si="11"/>
        <v>9.1999999999999993</v>
      </c>
    </row>
    <row r="38" spans="1:32" s="11" customFormat="1" ht="13.8">
      <c r="A38" s="29"/>
      <c r="B38" s="167" t="s">
        <v>482</v>
      </c>
      <c r="C38" s="95" t="s">
        <v>17</v>
      </c>
      <c r="D38" s="95">
        <v>1</v>
      </c>
      <c r="E38" s="95" t="s">
        <v>57</v>
      </c>
      <c r="F38" s="95" t="s">
        <v>57</v>
      </c>
      <c r="G38" s="168">
        <v>4.7</v>
      </c>
      <c r="H38" s="118"/>
      <c r="I38" s="95">
        <f t="shared" si="40"/>
        <v>4.7</v>
      </c>
      <c r="J38" s="95">
        <f t="shared" si="41"/>
        <v>4.7</v>
      </c>
      <c r="K38" s="191"/>
      <c r="L38" s="95" t="s">
        <v>17</v>
      </c>
      <c r="M38" s="95">
        <v>1</v>
      </c>
      <c r="N38" s="168">
        <v>9</v>
      </c>
      <c r="O38" s="168">
        <v>2.7</v>
      </c>
      <c r="P38" s="118"/>
      <c r="Q38" s="118"/>
      <c r="R38" s="95">
        <f t="shared" si="27"/>
        <v>24.3</v>
      </c>
      <c r="S38" s="195"/>
      <c r="T38" s="108" t="s">
        <v>357</v>
      </c>
      <c r="U38" s="163">
        <f t="shared" si="46"/>
        <v>9</v>
      </c>
      <c r="V38" s="193"/>
      <c r="W38" s="162" t="s">
        <v>17</v>
      </c>
      <c r="X38" s="108"/>
      <c r="Y38" s="108"/>
      <c r="Z38" s="108">
        <f t="shared" si="42"/>
        <v>4.7</v>
      </c>
      <c r="AA38" s="108">
        <f t="shared" si="47"/>
        <v>0</v>
      </c>
      <c r="AB38" s="108">
        <f t="shared" si="48"/>
        <v>4.7</v>
      </c>
      <c r="AC38" s="108">
        <f t="shared" si="49"/>
        <v>4.7</v>
      </c>
      <c r="AD38" s="193"/>
      <c r="AE38" s="92" t="s">
        <v>357</v>
      </c>
      <c r="AF38" s="194">
        <f t="shared" si="11"/>
        <v>9</v>
      </c>
    </row>
    <row r="39" spans="1:32" s="11" customFormat="1" ht="13.8">
      <c r="A39" s="29"/>
      <c r="B39" s="167" t="s">
        <v>483</v>
      </c>
      <c r="C39" s="95" t="s">
        <v>20</v>
      </c>
      <c r="D39" s="95">
        <v>2</v>
      </c>
      <c r="E39" s="95" t="s">
        <v>57</v>
      </c>
      <c r="F39" s="95" t="s">
        <v>57</v>
      </c>
      <c r="G39" s="168">
        <v>2.08</v>
      </c>
      <c r="H39" s="118"/>
      <c r="I39" s="95">
        <f t="shared" si="40"/>
        <v>2.08</v>
      </c>
      <c r="J39" s="95">
        <f t="shared" si="41"/>
        <v>4.16</v>
      </c>
      <c r="K39" s="191"/>
      <c r="L39" s="95" t="s">
        <v>18</v>
      </c>
      <c r="M39" s="95">
        <v>2</v>
      </c>
      <c r="N39" s="168">
        <v>5.8</v>
      </c>
      <c r="O39" s="168">
        <v>2.7</v>
      </c>
      <c r="P39" s="118"/>
      <c r="Q39" s="118"/>
      <c r="R39" s="95">
        <f t="shared" si="27"/>
        <v>31.32</v>
      </c>
      <c r="S39" s="195"/>
      <c r="T39" s="108" t="s">
        <v>18</v>
      </c>
      <c r="U39" s="163">
        <f t="shared" si="46"/>
        <v>11.6</v>
      </c>
      <c r="V39" s="193"/>
      <c r="W39" s="162" t="s">
        <v>18</v>
      </c>
      <c r="X39" s="108"/>
      <c r="Y39" s="108"/>
      <c r="Z39" s="108">
        <f t="shared" si="42"/>
        <v>2.08</v>
      </c>
      <c r="AA39" s="108">
        <f t="shared" si="47"/>
        <v>0</v>
      </c>
      <c r="AB39" s="108">
        <f t="shared" si="48"/>
        <v>2.08</v>
      </c>
      <c r="AC39" s="108">
        <f t="shared" si="49"/>
        <v>4.16</v>
      </c>
      <c r="AD39" s="193"/>
      <c r="AE39" s="92" t="s">
        <v>357</v>
      </c>
      <c r="AF39" s="194">
        <f t="shared" si="11"/>
        <v>11.6</v>
      </c>
    </row>
    <row r="40" spans="1:32" s="11" customFormat="1" ht="13.8">
      <c r="A40" s="29"/>
      <c r="B40" s="167" t="s">
        <v>482</v>
      </c>
      <c r="C40" s="95" t="s">
        <v>17</v>
      </c>
      <c r="D40" s="95">
        <v>1</v>
      </c>
      <c r="E40" s="95" t="s">
        <v>57</v>
      </c>
      <c r="F40" s="95" t="s">
        <v>57</v>
      </c>
      <c r="G40" s="168">
        <v>3.57</v>
      </c>
      <c r="H40" s="118"/>
      <c r="I40" s="95">
        <f t="shared" ref="I40" si="50">(G40-H40)</f>
        <v>3.57</v>
      </c>
      <c r="J40" s="95">
        <f t="shared" ref="J40" si="51">I40*D40</f>
        <v>3.57</v>
      </c>
      <c r="K40" s="191"/>
      <c r="L40" s="95" t="s">
        <v>17</v>
      </c>
      <c r="M40" s="95">
        <v>1</v>
      </c>
      <c r="N40" s="168">
        <v>8.09</v>
      </c>
      <c r="O40" s="168">
        <v>2.7</v>
      </c>
      <c r="P40" s="118"/>
      <c r="Q40" s="118"/>
      <c r="R40" s="95">
        <f t="shared" si="27"/>
        <v>21.843</v>
      </c>
      <c r="S40" s="195"/>
      <c r="T40" s="108" t="s">
        <v>17</v>
      </c>
      <c r="U40" s="163">
        <f t="shared" si="46"/>
        <v>8.09</v>
      </c>
      <c r="V40" s="193"/>
      <c r="W40" s="162" t="s">
        <v>17</v>
      </c>
      <c r="X40" s="108"/>
      <c r="Y40" s="108"/>
      <c r="Z40" s="108">
        <f t="shared" si="42"/>
        <v>3.57</v>
      </c>
      <c r="AA40" s="108">
        <f t="shared" si="47"/>
        <v>0</v>
      </c>
      <c r="AB40" s="108">
        <f t="shared" ref="AB40" si="52">I40</f>
        <v>3.57</v>
      </c>
      <c r="AC40" s="108">
        <f t="shared" ref="AC40" si="53">J40</f>
        <v>3.57</v>
      </c>
      <c r="AD40" s="193"/>
      <c r="AE40" s="92" t="s">
        <v>17</v>
      </c>
      <c r="AF40" s="194">
        <f t="shared" si="11"/>
        <v>8.09</v>
      </c>
    </row>
    <row r="41" spans="1:32" s="11" customFormat="1" ht="13.8">
      <c r="A41" s="29"/>
      <c r="B41" s="167" t="s">
        <v>84</v>
      </c>
      <c r="C41" s="95" t="s">
        <v>17</v>
      </c>
      <c r="D41" s="95">
        <v>1</v>
      </c>
      <c r="E41" s="95" t="s">
        <v>57</v>
      </c>
      <c r="F41" s="95" t="s">
        <v>57</v>
      </c>
      <c r="G41" s="168">
        <v>7.73</v>
      </c>
      <c r="H41" s="118"/>
      <c r="I41" s="95">
        <f t="shared" ref="I41" si="54">(G41-H41)</f>
        <v>7.73</v>
      </c>
      <c r="J41" s="95">
        <f t="shared" ref="J41" si="55">I41*D41</f>
        <v>7.73</v>
      </c>
      <c r="K41" s="191"/>
      <c r="L41" s="95" t="s">
        <v>17</v>
      </c>
      <c r="M41" s="95">
        <v>1</v>
      </c>
      <c r="N41" s="168">
        <v>12.29</v>
      </c>
      <c r="O41" s="168">
        <v>2.7</v>
      </c>
      <c r="P41" s="118"/>
      <c r="Q41" s="118"/>
      <c r="R41" s="95">
        <f t="shared" si="27"/>
        <v>33.183</v>
      </c>
      <c r="S41" s="195"/>
      <c r="T41" s="108" t="s">
        <v>17</v>
      </c>
      <c r="U41" s="163">
        <f t="shared" ref="U41:U53" si="56">N41*M41</f>
        <v>12.29</v>
      </c>
      <c r="V41" s="193"/>
      <c r="W41" s="162" t="s">
        <v>17</v>
      </c>
      <c r="X41" s="108"/>
      <c r="Y41" s="108"/>
      <c r="Z41" s="108">
        <f t="shared" ref="Z41:Z52" si="57">G41</f>
        <v>7.73</v>
      </c>
      <c r="AA41" s="108">
        <f t="shared" si="47"/>
        <v>0</v>
      </c>
      <c r="AB41" s="108">
        <f t="shared" ref="AB41" si="58">I41</f>
        <v>7.73</v>
      </c>
      <c r="AC41" s="108">
        <f t="shared" ref="AC41" si="59">J41</f>
        <v>7.73</v>
      </c>
      <c r="AD41" s="193"/>
      <c r="AE41" s="92" t="s">
        <v>17</v>
      </c>
      <c r="AF41" s="194">
        <f t="shared" si="11"/>
        <v>12.29</v>
      </c>
    </row>
    <row r="42" spans="1:32" s="11" customFormat="1" ht="13.8">
      <c r="A42" s="29"/>
      <c r="B42" s="167" t="s">
        <v>499</v>
      </c>
      <c r="C42" s="95" t="s">
        <v>17</v>
      </c>
      <c r="D42" s="95">
        <v>1</v>
      </c>
      <c r="E42" s="95" t="s">
        <v>57</v>
      </c>
      <c r="F42" s="95" t="s">
        <v>57</v>
      </c>
      <c r="G42" s="168">
        <v>10.72</v>
      </c>
      <c r="H42" s="118"/>
      <c r="I42" s="95">
        <f t="shared" ref="I42:I52" si="60">(G42-H42)</f>
        <v>10.72</v>
      </c>
      <c r="J42" s="95">
        <f t="shared" ref="J42:J52" si="61">I42*D42</f>
        <v>10.72</v>
      </c>
      <c r="K42" s="191"/>
      <c r="L42" s="95" t="s">
        <v>17</v>
      </c>
      <c r="M42" s="95">
        <v>1</v>
      </c>
      <c r="N42" s="168">
        <v>13.4</v>
      </c>
      <c r="O42" s="168">
        <v>2.7</v>
      </c>
      <c r="P42" s="118"/>
      <c r="Q42" s="118"/>
      <c r="R42" s="95">
        <f t="shared" si="27"/>
        <v>36.180000000000007</v>
      </c>
      <c r="S42" s="195"/>
      <c r="T42" s="108" t="s">
        <v>17</v>
      </c>
      <c r="U42" s="163">
        <f t="shared" si="56"/>
        <v>13.4</v>
      </c>
      <c r="V42" s="193"/>
      <c r="W42" s="162" t="s">
        <v>17</v>
      </c>
      <c r="X42" s="108"/>
      <c r="Y42" s="108"/>
      <c r="Z42" s="108">
        <f t="shared" si="57"/>
        <v>10.72</v>
      </c>
      <c r="AA42" s="108">
        <f t="shared" ref="AA42:AA52" si="62">H42</f>
        <v>0</v>
      </c>
      <c r="AB42" s="108">
        <f t="shared" ref="AB42:AB52" si="63">I42</f>
        <v>10.72</v>
      </c>
      <c r="AC42" s="108">
        <f t="shared" ref="AC42:AC52" si="64">J42</f>
        <v>10.72</v>
      </c>
      <c r="AD42" s="193"/>
      <c r="AE42" s="92" t="s">
        <v>17</v>
      </c>
      <c r="AF42" s="194">
        <f t="shared" si="11"/>
        <v>13.4</v>
      </c>
    </row>
    <row r="43" spans="1:32" s="11" customFormat="1" ht="13.8">
      <c r="A43" s="29"/>
      <c r="B43" s="167" t="s">
        <v>500</v>
      </c>
      <c r="C43" s="95" t="s">
        <v>20</v>
      </c>
      <c r="D43" s="95">
        <v>1</v>
      </c>
      <c r="E43" s="95" t="s">
        <v>57</v>
      </c>
      <c r="F43" s="95" t="s">
        <v>57</v>
      </c>
      <c r="G43" s="168">
        <v>8.76</v>
      </c>
      <c r="H43" s="118"/>
      <c r="I43" s="95">
        <f t="shared" si="60"/>
        <v>8.76</v>
      </c>
      <c r="J43" s="95">
        <f t="shared" si="61"/>
        <v>8.76</v>
      </c>
      <c r="K43" s="191"/>
      <c r="L43" s="95" t="s">
        <v>18</v>
      </c>
      <c r="M43" s="95">
        <v>1</v>
      </c>
      <c r="N43" s="168">
        <v>12.16</v>
      </c>
      <c r="O43" s="168">
        <v>2.7</v>
      </c>
      <c r="P43" s="118"/>
      <c r="Q43" s="118"/>
      <c r="R43" s="95">
        <f t="shared" si="27"/>
        <v>32.832000000000001</v>
      </c>
      <c r="S43" s="195"/>
      <c r="T43" s="108" t="s">
        <v>18</v>
      </c>
      <c r="U43" s="163">
        <f t="shared" si="56"/>
        <v>12.16</v>
      </c>
      <c r="V43" s="193"/>
      <c r="W43" s="162" t="s">
        <v>18</v>
      </c>
      <c r="X43" s="108"/>
      <c r="Y43" s="108"/>
      <c r="Z43" s="108">
        <f t="shared" si="57"/>
        <v>8.76</v>
      </c>
      <c r="AA43" s="108">
        <f t="shared" si="62"/>
        <v>0</v>
      </c>
      <c r="AB43" s="108">
        <f t="shared" si="63"/>
        <v>8.76</v>
      </c>
      <c r="AC43" s="108">
        <f t="shared" si="64"/>
        <v>8.76</v>
      </c>
      <c r="AD43" s="193"/>
      <c r="AE43" s="92" t="s">
        <v>17</v>
      </c>
      <c r="AF43" s="194">
        <f t="shared" si="11"/>
        <v>12.16</v>
      </c>
    </row>
    <row r="44" spans="1:32" s="11" customFormat="1" ht="13.8">
      <c r="A44" s="29"/>
      <c r="B44" s="167" t="s">
        <v>501</v>
      </c>
      <c r="C44" s="95" t="s">
        <v>20</v>
      </c>
      <c r="D44" s="95">
        <v>1</v>
      </c>
      <c r="E44" s="95" t="s">
        <v>57</v>
      </c>
      <c r="F44" s="95" t="s">
        <v>57</v>
      </c>
      <c r="G44" s="168">
        <v>6.94</v>
      </c>
      <c r="H44" s="118"/>
      <c r="I44" s="95">
        <f t="shared" si="60"/>
        <v>6.94</v>
      </c>
      <c r="J44" s="95">
        <f t="shared" si="61"/>
        <v>6.94</v>
      </c>
      <c r="K44" s="191"/>
      <c r="L44" s="95" t="s">
        <v>18</v>
      </c>
      <c r="M44" s="95">
        <v>1</v>
      </c>
      <c r="N44" s="168">
        <v>13.5</v>
      </c>
      <c r="O44" s="168">
        <v>2.7</v>
      </c>
      <c r="P44" s="118"/>
      <c r="Q44" s="118"/>
      <c r="R44" s="95">
        <f t="shared" si="27"/>
        <v>36.450000000000003</v>
      </c>
      <c r="S44" s="195"/>
      <c r="T44" s="108" t="s">
        <v>18</v>
      </c>
      <c r="U44" s="163">
        <f t="shared" si="56"/>
        <v>13.5</v>
      </c>
      <c r="V44" s="193"/>
      <c r="W44" s="162" t="s">
        <v>18</v>
      </c>
      <c r="X44" s="108"/>
      <c r="Y44" s="108"/>
      <c r="Z44" s="108">
        <f t="shared" si="57"/>
        <v>6.94</v>
      </c>
      <c r="AA44" s="108">
        <f t="shared" si="62"/>
        <v>0</v>
      </c>
      <c r="AB44" s="108">
        <f t="shared" si="63"/>
        <v>6.94</v>
      </c>
      <c r="AC44" s="108">
        <f t="shared" si="64"/>
        <v>6.94</v>
      </c>
      <c r="AD44" s="193"/>
      <c r="AE44" s="92" t="s">
        <v>17</v>
      </c>
      <c r="AF44" s="194">
        <f t="shared" si="11"/>
        <v>13.5</v>
      </c>
    </row>
    <row r="45" spans="1:32" s="11" customFormat="1" ht="13.8">
      <c r="A45" s="29"/>
      <c r="B45" s="167" t="s">
        <v>502</v>
      </c>
      <c r="C45" s="95" t="s">
        <v>17</v>
      </c>
      <c r="D45" s="95">
        <v>1</v>
      </c>
      <c r="E45" s="95" t="s">
        <v>57</v>
      </c>
      <c r="F45" s="95" t="s">
        <v>57</v>
      </c>
      <c r="G45" s="168">
        <v>9.4499999999999993</v>
      </c>
      <c r="H45" s="118"/>
      <c r="I45" s="95">
        <f t="shared" si="60"/>
        <v>9.4499999999999993</v>
      </c>
      <c r="J45" s="95">
        <f t="shared" si="61"/>
        <v>9.4499999999999993</v>
      </c>
      <c r="K45" s="191"/>
      <c r="L45" s="95" t="s">
        <v>17</v>
      </c>
      <c r="M45" s="95">
        <v>1</v>
      </c>
      <c r="N45" s="168">
        <v>12.9</v>
      </c>
      <c r="O45" s="168">
        <v>2.7</v>
      </c>
      <c r="P45" s="118"/>
      <c r="Q45" s="118"/>
      <c r="R45" s="95">
        <f t="shared" si="27"/>
        <v>34.830000000000005</v>
      </c>
      <c r="S45" s="195"/>
      <c r="T45" s="108" t="s">
        <v>17</v>
      </c>
      <c r="U45" s="163">
        <f t="shared" si="56"/>
        <v>12.9</v>
      </c>
      <c r="V45" s="193"/>
      <c r="W45" s="162" t="s">
        <v>17</v>
      </c>
      <c r="X45" s="108"/>
      <c r="Y45" s="108"/>
      <c r="Z45" s="108">
        <f t="shared" si="57"/>
        <v>9.4499999999999993</v>
      </c>
      <c r="AA45" s="108">
        <f t="shared" si="62"/>
        <v>0</v>
      </c>
      <c r="AB45" s="108">
        <f t="shared" si="63"/>
        <v>9.4499999999999993</v>
      </c>
      <c r="AC45" s="108">
        <f t="shared" si="64"/>
        <v>9.4499999999999993</v>
      </c>
      <c r="AD45" s="193"/>
      <c r="AE45" s="92" t="s">
        <v>17</v>
      </c>
      <c r="AF45" s="194">
        <f t="shared" si="11"/>
        <v>12.9</v>
      </c>
    </row>
    <row r="46" spans="1:32" s="11" customFormat="1" ht="13.8">
      <c r="A46" s="29"/>
      <c r="B46" s="167" t="s">
        <v>503</v>
      </c>
      <c r="C46" s="95" t="s">
        <v>17</v>
      </c>
      <c r="D46" s="95">
        <v>1</v>
      </c>
      <c r="E46" s="95" t="s">
        <v>57</v>
      </c>
      <c r="F46" s="95" t="s">
        <v>57</v>
      </c>
      <c r="G46" s="168">
        <v>11.89</v>
      </c>
      <c r="H46" s="118"/>
      <c r="I46" s="95">
        <f t="shared" si="60"/>
        <v>11.89</v>
      </c>
      <c r="J46" s="95">
        <f t="shared" si="61"/>
        <v>11.89</v>
      </c>
      <c r="K46" s="191"/>
      <c r="L46" s="95" t="s">
        <v>17</v>
      </c>
      <c r="M46" s="95">
        <v>1</v>
      </c>
      <c r="N46" s="168">
        <v>17.09</v>
      </c>
      <c r="O46" s="168">
        <v>2.7</v>
      </c>
      <c r="P46" s="118"/>
      <c r="Q46" s="118"/>
      <c r="R46" s="95">
        <f t="shared" si="27"/>
        <v>46.143000000000001</v>
      </c>
      <c r="S46" s="195"/>
      <c r="T46" s="108" t="s">
        <v>17</v>
      </c>
      <c r="U46" s="163">
        <f t="shared" si="56"/>
        <v>17.09</v>
      </c>
      <c r="V46" s="193"/>
      <c r="W46" s="162" t="s">
        <v>17</v>
      </c>
      <c r="X46" s="108"/>
      <c r="Y46" s="108"/>
      <c r="Z46" s="108">
        <f t="shared" si="57"/>
        <v>11.89</v>
      </c>
      <c r="AA46" s="108">
        <f t="shared" si="62"/>
        <v>0</v>
      </c>
      <c r="AB46" s="108">
        <f t="shared" si="63"/>
        <v>11.89</v>
      </c>
      <c r="AC46" s="108">
        <f t="shared" si="64"/>
        <v>11.89</v>
      </c>
      <c r="AD46" s="193"/>
      <c r="AE46" s="92" t="s">
        <v>17</v>
      </c>
      <c r="AF46" s="194">
        <f t="shared" si="11"/>
        <v>17.09</v>
      </c>
    </row>
    <row r="47" spans="1:32" s="11" customFormat="1" ht="13.8">
      <c r="A47" s="29"/>
      <c r="B47" s="167" t="s">
        <v>504</v>
      </c>
      <c r="C47" s="95" t="s">
        <v>17</v>
      </c>
      <c r="D47" s="95">
        <v>1</v>
      </c>
      <c r="E47" s="95" t="s">
        <v>57</v>
      </c>
      <c r="F47" s="95" t="s">
        <v>57</v>
      </c>
      <c r="G47" s="168">
        <v>11.89</v>
      </c>
      <c r="H47" s="118"/>
      <c r="I47" s="95">
        <f t="shared" si="60"/>
        <v>11.89</v>
      </c>
      <c r="J47" s="95">
        <f t="shared" si="61"/>
        <v>11.89</v>
      </c>
      <c r="K47" s="191"/>
      <c r="L47" s="95" t="s">
        <v>17</v>
      </c>
      <c r="M47" s="95">
        <v>1</v>
      </c>
      <c r="N47" s="168">
        <v>17.09</v>
      </c>
      <c r="O47" s="168">
        <v>2.7</v>
      </c>
      <c r="P47" s="118"/>
      <c r="Q47" s="118"/>
      <c r="R47" s="95">
        <f t="shared" si="27"/>
        <v>46.143000000000001</v>
      </c>
      <c r="S47" s="195"/>
      <c r="T47" s="108" t="s">
        <v>17</v>
      </c>
      <c r="U47" s="163">
        <f t="shared" si="56"/>
        <v>17.09</v>
      </c>
      <c r="V47" s="193"/>
      <c r="W47" s="162" t="s">
        <v>17</v>
      </c>
      <c r="X47" s="108"/>
      <c r="Y47" s="108"/>
      <c r="Z47" s="108">
        <f t="shared" si="57"/>
        <v>11.89</v>
      </c>
      <c r="AA47" s="108">
        <f t="shared" si="62"/>
        <v>0</v>
      </c>
      <c r="AB47" s="108">
        <f t="shared" si="63"/>
        <v>11.89</v>
      </c>
      <c r="AC47" s="108">
        <f t="shared" si="64"/>
        <v>11.89</v>
      </c>
      <c r="AD47" s="193"/>
      <c r="AE47" s="92" t="s">
        <v>17</v>
      </c>
      <c r="AF47" s="194">
        <f t="shared" si="11"/>
        <v>17.09</v>
      </c>
    </row>
    <row r="48" spans="1:32" s="11" customFormat="1" ht="13.8">
      <c r="A48" s="29"/>
      <c r="B48" s="167" t="s">
        <v>505</v>
      </c>
      <c r="C48" s="95" t="s">
        <v>17</v>
      </c>
      <c r="D48" s="95">
        <v>1</v>
      </c>
      <c r="E48" s="95" t="s">
        <v>57</v>
      </c>
      <c r="F48" s="95" t="s">
        <v>57</v>
      </c>
      <c r="G48" s="168">
        <v>8.67</v>
      </c>
      <c r="H48" s="118"/>
      <c r="I48" s="95">
        <f t="shared" si="60"/>
        <v>8.67</v>
      </c>
      <c r="J48" s="95">
        <f t="shared" si="61"/>
        <v>8.67</v>
      </c>
      <c r="K48" s="191"/>
      <c r="L48" s="95" t="s">
        <v>17</v>
      </c>
      <c r="M48" s="95">
        <v>1</v>
      </c>
      <c r="N48" s="168">
        <v>11.9</v>
      </c>
      <c r="O48" s="168">
        <v>2.7</v>
      </c>
      <c r="P48" s="118"/>
      <c r="Q48" s="118"/>
      <c r="R48" s="95">
        <f t="shared" si="27"/>
        <v>32.130000000000003</v>
      </c>
      <c r="S48" s="195"/>
      <c r="T48" s="108" t="s">
        <v>17</v>
      </c>
      <c r="U48" s="163">
        <f t="shared" si="56"/>
        <v>11.9</v>
      </c>
      <c r="V48" s="193"/>
      <c r="W48" s="162" t="s">
        <v>17</v>
      </c>
      <c r="X48" s="108"/>
      <c r="Y48" s="108"/>
      <c r="Z48" s="108">
        <f t="shared" si="57"/>
        <v>8.67</v>
      </c>
      <c r="AA48" s="108">
        <f t="shared" si="62"/>
        <v>0</v>
      </c>
      <c r="AB48" s="108">
        <f t="shared" si="63"/>
        <v>8.67</v>
      </c>
      <c r="AC48" s="108">
        <f t="shared" si="64"/>
        <v>8.67</v>
      </c>
      <c r="AD48" s="193"/>
      <c r="AE48" s="92" t="s">
        <v>17</v>
      </c>
      <c r="AF48" s="194">
        <f t="shared" si="11"/>
        <v>11.9</v>
      </c>
    </row>
    <row r="49" spans="1:32" s="11" customFormat="1" ht="13.8">
      <c r="A49" s="29"/>
      <c r="B49" s="167" t="s">
        <v>462</v>
      </c>
      <c r="C49" s="95" t="s">
        <v>17</v>
      </c>
      <c r="D49" s="95">
        <v>1</v>
      </c>
      <c r="E49" s="95" t="s">
        <v>57</v>
      </c>
      <c r="F49" s="95" t="s">
        <v>57</v>
      </c>
      <c r="G49" s="168">
        <v>8.58</v>
      </c>
      <c r="H49" s="118"/>
      <c r="I49" s="95">
        <f t="shared" si="60"/>
        <v>8.58</v>
      </c>
      <c r="J49" s="95">
        <f t="shared" si="61"/>
        <v>8.58</v>
      </c>
      <c r="K49" s="191"/>
      <c r="L49" s="95" t="s">
        <v>17</v>
      </c>
      <c r="M49" s="95">
        <v>1</v>
      </c>
      <c r="N49" s="168">
        <v>11.72</v>
      </c>
      <c r="O49" s="168">
        <v>2.7</v>
      </c>
      <c r="P49" s="118"/>
      <c r="Q49" s="118"/>
      <c r="R49" s="95">
        <f t="shared" si="27"/>
        <v>31.644000000000005</v>
      </c>
      <c r="S49" s="195"/>
      <c r="T49" s="108" t="s">
        <v>17</v>
      </c>
      <c r="U49" s="163">
        <f t="shared" si="56"/>
        <v>11.72</v>
      </c>
      <c r="V49" s="193"/>
      <c r="W49" s="162" t="s">
        <v>17</v>
      </c>
      <c r="X49" s="108"/>
      <c r="Y49" s="108"/>
      <c r="Z49" s="108">
        <f t="shared" si="57"/>
        <v>8.58</v>
      </c>
      <c r="AA49" s="108">
        <f t="shared" si="62"/>
        <v>0</v>
      </c>
      <c r="AB49" s="108">
        <f t="shared" si="63"/>
        <v>8.58</v>
      </c>
      <c r="AC49" s="108">
        <f t="shared" si="64"/>
        <v>8.58</v>
      </c>
      <c r="AD49" s="193"/>
      <c r="AE49" s="92" t="s">
        <v>17</v>
      </c>
      <c r="AF49" s="194">
        <f t="shared" si="11"/>
        <v>11.72</v>
      </c>
    </row>
    <row r="50" spans="1:32" s="11" customFormat="1" ht="13.8">
      <c r="A50" s="29"/>
      <c r="B50" s="167" t="s">
        <v>506</v>
      </c>
      <c r="C50" s="95" t="s">
        <v>17</v>
      </c>
      <c r="D50" s="95">
        <v>1</v>
      </c>
      <c r="E50" s="95" t="s">
        <v>57</v>
      </c>
      <c r="F50" s="95" t="s">
        <v>57</v>
      </c>
      <c r="G50" s="168">
        <v>7.13</v>
      </c>
      <c r="H50" s="118"/>
      <c r="I50" s="95">
        <f t="shared" si="60"/>
        <v>7.13</v>
      </c>
      <c r="J50" s="95">
        <f t="shared" si="61"/>
        <v>7.13</v>
      </c>
      <c r="K50" s="191"/>
      <c r="L50" s="95" t="s">
        <v>17</v>
      </c>
      <c r="M50" s="95">
        <v>1</v>
      </c>
      <c r="N50" s="168">
        <v>10.85</v>
      </c>
      <c r="O50" s="168">
        <v>2.7</v>
      </c>
      <c r="P50" s="118"/>
      <c r="Q50" s="118"/>
      <c r="R50" s="95">
        <f t="shared" si="27"/>
        <v>29.295000000000002</v>
      </c>
      <c r="S50" s="195"/>
      <c r="T50" s="108" t="s">
        <v>17</v>
      </c>
      <c r="U50" s="163">
        <f t="shared" si="56"/>
        <v>10.85</v>
      </c>
      <c r="V50" s="193"/>
      <c r="W50" s="162" t="s">
        <v>17</v>
      </c>
      <c r="X50" s="108"/>
      <c r="Y50" s="108"/>
      <c r="Z50" s="108">
        <f t="shared" si="57"/>
        <v>7.13</v>
      </c>
      <c r="AA50" s="108">
        <f t="shared" si="62"/>
        <v>0</v>
      </c>
      <c r="AB50" s="108">
        <f t="shared" si="63"/>
        <v>7.13</v>
      </c>
      <c r="AC50" s="108">
        <f t="shared" si="64"/>
        <v>7.13</v>
      </c>
      <c r="AD50" s="193"/>
      <c r="AE50" s="92" t="s">
        <v>17</v>
      </c>
      <c r="AF50" s="194">
        <f t="shared" si="11"/>
        <v>10.85</v>
      </c>
    </row>
    <row r="51" spans="1:32" s="11" customFormat="1" ht="13.8">
      <c r="A51" s="29"/>
      <c r="B51" s="167" t="s">
        <v>507</v>
      </c>
      <c r="C51" s="95" t="s">
        <v>17</v>
      </c>
      <c r="D51" s="95">
        <v>1</v>
      </c>
      <c r="E51" s="95" t="s">
        <v>57</v>
      </c>
      <c r="F51" s="95" t="s">
        <v>57</v>
      </c>
      <c r="G51" s="168">
        <v>59.76</v>
      </c>
      <c r="H51" s="118"/>
      <c r="I51" s="95">
        <f t="shared" si="60"/>
        <v>59.76</v>
      </c>
      <c r="J51" s="95">
        <f t="shared" si="61"/>
        <v>59.76</v>
      </c>
      <c r="K51" s="191"/>
      <c r="L51" s="95" t="s">
        <v>17</v>
      </c>
      <c r="M51" s="95">
        <v>1</v>
      </c>
      <c r="N51" s="168">
        <f>32.04-1.39</f>
        <v>30.65</v>
      </c>
      <c r="O51" s="168">
        <v>2.7</v>
      </c>
      <c r="P51" s="118"/>
      <c r="Q51" s="118"/>
      <c r="R51" s="95">
        <f t="shared" si="27"/>
        <v>82.754999999999995</v>
      </c>
      <c r="S51" s="195"/>
      <c r="T51" s="108" t="s">
        <v>17</v>
      </c>
      <c r="U51" s="163">
        <f t="shared" si="56"/>
        <v>30.65</v>
      </c>
      <c r="V51" s="193"/>
      <c r="W51" s="162" t="s">
        <v>17</v>
      </c>
      <c r="X51" s="108"/>
      <c r="Y51" s="108"/>
      <c r="Z51" s="108">
        <f t="shared" si="57"/>
        <v>59.76</v>
      </c>
      <c r="AA51" s="108">
        <f t="shared" si="62"/>
        <v>0</v>
      </c>
      <c r="AB51" s="108">
        <f t="shared" si="63"/>
        <v>59.76</v>
      </c>
      <c r="AC51" s="108">
        <f t="shared" si="64"/>
        <v>59.76</v>
      </c>
      <c r="AD51" s="193"/>
      <c r="AE51" s="92" t="s">
        <v>17</v>
      </c>
      <c r="AF51" s="194">
        <f t="shared" si="11"/>
        <v>30.65</v>
      </c>
    </row>
    <row r="52" spans="1:32" s="11" customFormat="1" ht="13.8">
      <c r="A52" s="29"/>
      <c r="B52" s="167" t="s">
        <v>480</v>
      </c>
      <c r="C52" s="95" t="s">
        <v>17</v>
      </c>
      <c r="D52" s="95">
        <v>1</v>
      </c>
      <c r="E52" s="95" t="s">
        <v>57</v>
      </c>
      <c r="F52" s="95" t="s">
        <v>57</v>
      </c>
      <c r="G52" s="168">
        <v>4.62</v>
      </c>
      <c r="H52" s="118"/>
      <c r="I52" s="95">
        <f t="shared" si="60"/>
        <v>4.62</v>
      </c>
      <c r="J52" s="95">
        <f t="shared" si="61"/>
        <v>4.62</v>
      </c>
      <c r="K52" s="191"/>
      <c r="L52" s="95" t="s">
        <v>17</v>
      </c>
      <c r="M52" s="95">
        <v>1</v>
      </c>
      <c r="N52" s="168">
        <f>10.73-2.25</f>
        <v>8.48</v>
      </c>
      <c r="O52" s="168">
        <v>2.7</v>
      </c>
      <c r="P52" s="118"/>
      <c r="Q52" s="118"/>
      <c r="R52" s="95">
        <f t="shared" si="27"/>
        <v>22.896000000000004</v>
      </c>
      <c r="S52" s="195"/>
      <c r="T52" s="108" t="s">
        <v>17</v>
      </c>
      <c r="U52" s="163">
        <f t="shared" si="56"/>
        <v>8.48</v>
      </c>
      <c r="V52" s="193"/>
      <c r="W52" s="162" t="s">
        <v>17</v>
      </c>
      <c r="X52" s="108"/>
      <c r="Y52" s="108"/>
      <c r="Z52" s="108">
        <f t="shared" si="57"/>
        <v>4.62</v>
      </c>
      <c r="AA52" s="108">
        <f t="shared" si="62"/>
        <v>0</v>
      </c>
      <c r="AB52" s="108">
        <f t="shared" si="63"/>
        <v>4.62</v>
      </c>
      <c r="AC52" s="108">
        <f t="shared" si="64"/>
        <v>4.62</v>
      </c>
      <c r="AD52" s="193"/>
      <c r="AE52" s="92" t="s">
        <v>17</v>
      </c>
      <c r="AF52" s="194">
        <f t="shared" si="11"/>
        <v>8.48</v>
      </c>
    </row>
    <row r="53" spans="1:32" s="11" customFormat="1" ht="13.8">
      <c r="A53" s="29"/>
      <c r="B53" s="167" t="s">
        <v>157</v>
      </c>
      <c r="C53" s="95" t="s">
        <v>17</v>
      </c>
      <c r="D53" s="95">
        <v>1</v>
      </c>
      <c r="E53" s="95" t="s">
        <v>57</v>
      </c>
      <c r="F53" s="95" t="s">
        <v>57</v>
      </c>
      <c r="G53" s="168">
        <v>4.8</v>
      </c>
      <c r="H53" s="118"/>
      <c r="I53" s="95">
        <f t="shared" ref="I53" si="65">(G53-H53)</f>
        <v>4.8</v>
      </c>
      <c r="J53" s="95">
        <f t="shared" ref="J53" si="66">I53*D53</f>
        <v>4.8</v>
      </c>
      <c r="K53" s="191"/>
      <c r="L53" s="95" t="s">
        <v>17</v>
      </c>
      <c r="M53" s="95">
        <v>1</v>
      </c>
      <c r="N53" s="168">
        <f>10.38-3.64</f>
        <v>6.74</v>
      </c>
      <c r="O53" s="168">
        <v>2.7</v>
      </c>
      <c r="P53" s="118"/>
      <c r="Q53" s="118"/>
      <c r="R53" s="95">
        <f t="shared" si="27"/>
        <v>18.198</v>
      </c>
      <c r="S53" s="195"/>
      <c r="T53" s="108" t="s">
        <v>17</v>
      </c>
      <c r="U53" s="163">
        <f t="shared" si="56"/>
        <v>6.74</v>
      </c>
      <c r="V53" s="193"/>
      <c r="W53" s="162" t="s">
        <v>17</v>
      </c>
      <c r="X53" s="108"/>
      <c r="Y53" s="108"/>
      <c r="Z53" s="108">
        <f t="shared" ref="Z53" si="67">G53</f>
        <v>4.8</v>
      </c>
      <c r="AA53" s="108">
        <f t="shared" ref="AA53" si="68">H53</f>
        <v>0</v>
      </c>
      <c r="AB53" s="108">
        <f t="shared" ref="AB53" si="69">I53</f>
        <v>4.8</v>
      </c>
      <c r="AC53" s="108">
        <f t="shared" ref="AC53" si="70">J53</f>
        <v>4.8</v>
      </c>
      <c r="AD53" s="193"/>
      <c r="AE53" s="92" t="s">
        <v>17</v>
      </c>
      <c r="AF53" s="194">
        <f t="shared" si="11"/>
        <v>6.74</v>
      </c>
    </row>
    <row r="54" spans="1:32" s="11" customFormat="1" ht="13.8">
      <c r="A54" s="29"/>
      <c r="B54" s="161" t="s">
        <v>152</v>
      </c>
      <c r="C54" s="95" t="s">
        <v>24</v>
      </c>
      <c r="D54" s="95">
        <v>1</v>
      </c>
      <c r="E54" s="95" t="s">
        <v>57</v>
      </c>
      <c r="F54" s="95" t="s">
        <v>57</v>
      </c>
      <c r="G54" s="95">
        <v>10.92</v>
      </c>
      <c r="H54" s="118"/>
      <c r="I54" s="95">
        <f t="shared" si="0"/>
        <v>10.92</v>
      </c>
      <c r="J54" s="95">
        <f t="shared" si="1"/>
        <v>10.92</v>
      </c>
      <c r="K54" s="191"/>
      <c r="L54" s="95" t="s">
        <v>24</v>
      </c>
      <c r="M54" s="95">
        <v>1</v>
      </c>
      <c r="N54" s="123">
        <v>13.7</v>
      </c>
      <c r="O54" s="123">
        <v>3.9</v>
      </c>
      <c r="P54" s="118"/>
      <c r="Q54" s="118"/>
      <c r="R54" s="95">
        <f t="shared" si="2"/>
        <v>53.429999999999993</v>
      </c>
      <c r="S54" s="195"/>
      <c r="T54" s="108" t="s">
        <v>356</v>
      </c>
      <c r="U54" s="163">
        <f t="shared" ref="U54:U58" si="71">N54*M54</f>
        <v>13.7</v>
      </c>
      <c r="V54" s="193"/>
      <c r="W54" s="162" t="s">
        <v>20</v>
      </c>
      <c r="X54" s="108" t="str">
        <f t="shared" si="4"/>
        <v>cad</v>
      </c>
      <c r="Y54" s="108" t="str">
        <f t="shared" si="5"/>
        <v>cad</v>
      </c>
      <c r="Z54" s="108">
        <f t="shared" si="9"/>
        <v>10.92</v>
      </c>
      <c r="AA54" s="108">
        <f t="shared" si="6"/>
        <v>0</v>
      </c>
      <c r="AB54" s="108">
        <f t="shared" si="7"/>
        <v>10.92</v>
      </c>
      <c r="AC54" s="108">
        <f t="shared" si="8"/>
        <v>10.92</v>
      </c>
      <c r="AD54" s="193"/>
      <c r="AE54" s="92"/>
      <c r="AF54" s="194"/>
    </row>
    <row r="55" spans="1:32" s="11" customFormat="1" ht="13.8">
      <c r="A55" s="29"/>
      <c r="B55" s="161" t="s">
        <v>145</v>
      </c>
      <c r="C55" s="95" t="s">
        <v>17</v>
      </c>
      <c r="D55" s="95">
        <v>1</v>
      </c>
      <c r="E55" s="95" t="s">
        <v>57</v>
      </c>
      <c r="F55" s="95" t="s">
        <v>57</v>
      </c>
      <c r="G55" s="95">
        <v>6.48</v>
      </c>
      <c r="H55" s="118"/>
      <c r="I55" s="95">
        <f t="shared" si="0"/>
        <v>6.48</v>
      </c>
      <c r="J55" s="95">
        <f t="shared" si="1"/>
        <v>6.48</v>
      </c>
      <c r="K55" s="191"/>
      <c r="L55" s="95" t="s">
        <v>17</v>
      </c>
      <c r="M55" s="95">
        <v>1</v>
      </c>
      <c r="N55" s="123">
        <v>11.64</v>
      </c>
      <c r="O55" s="123">
        <v>2.7</v>
      </c>
      <c r="P55" s="118"/>
      <c r="Q55" s="118"/>
      <c r="R55" s="95">
        <f t="shared" si="2"/>
        <v>31.428000000000004</v>
      </c>
      <c r="S55" s="195"/>
      <c r="T55" s="108" t="s">
        <v>357</v>
      </c>
      <c r="U55" s="163">
        <f t="shared" si="71"/>
        <v>11.64</v>
      </c>
      <c r="V55" s="193"/>
      <c r="W55" s="162" t="s">
        <v>17</v>
      </c>
      <c r="X55" s="108" t="str">
        <f t="shared" si="4"/>
        <v>cad</v>
      </c>
      <c r="Y55" s="108" t="str">
        <f t="shared" si="5"/>
        <v>cad</v>
      </c>
      <c r="Z55" s="108">
        <f t="shared" si="9"/>
        <v>6.48</v>
      </c>
      <c r="AA55" s="108">
        <f t="shared" si="6"/>
        <v>0</v>
      </c>
      <c r="AB55" s="108">
        <f t="shared" si="7"/>
        <v>6.48</v>
      </c>
      <c r="AC55" s="108">
        <f t="shared" si="8"/>
        <v>6.48</v>
      </c>
      <c r="AD55" s="193"/>
      <c r="AE55" s="92" t="s">
        <v>357</v>
      </c>
      <c r="AF55" s="194">
        <f>N55*M55</f>
        <v>11.64</v>
      </c>
    </row>
    <row r="56" spans="1:32" s="11" customFormat="1" ht="13.8">
      <c r="A56" s="29"/>
      <c r="B56" s="161" t="s">
        <v>152</v>
      </c>
      <c r="C56" s="95" t="s">
        <v>24</v>
      </c>
      <c r="D56" s="95">
        <v>1</v>
      </c>
      <c r="E56" s="95" t="s">
        <v>57</v>
      </c>
      <c r="F56" s="95" t="s">
        <v>57</v>
      </c>
      <c r="G56" s="123">
        <v>13.98</v>
      </c>
      <c r="H56" s="118"/>
      <c r="I56" s="95">
        <f t="shared" si="0"/>
        <v>13.98</v>
      </c>
      <c r="J56" s="95">
        <f t="shared" si="1"/>
        <v>13.98</v>
      </c>
      <c r="K56" s="191"/>
      <c r="L56" s="95" t="s">
        <v>24</v>
      </c>
      <c r="M56" s="95">
        <v>1</v>
      </c>
      <c r="N56" s="123">
        <v>17.46</v>
      </c>
      <c r="O56" s="123">
        <v>3.9</v>
      </c>
      <c r="P56" s="118"/>
      <c r="Q56" s="118"/>
      <c r="R56" s="95">
        <f t="shared" si="2"/>
        <v>68.094000000000008</v>
      </c>
      <c r="S56" s="195"/>
      <c r="T56" s="108" t="s">
        <v>356</v>
      </c>
      <c r="U56" s="163">
        <f t="shared" si="71"/>
        <v>17.46</v>
      </c>
      <c r="V56" s="193"/>
      <c r="W56" s="162" t="s">
        <v>20</v>
      </c>
      <c r="X56" s="108" t="str">
        <f t="shared" si="4"/>
        <v>cad</v>
      </c>
      <c r="Y56" s="108" t="str">
        <f t="shared" si="5"/>
        <v>cad</v>
      </c>
      <c r="Z56" s="108">
        <f t="shared" si="9"/>
        <v>13.98</v>
      </c>
      <c r="AA56" s="108">
        <f t="shared" si="6"/>
        <v>0</v>
      </c>
      <c r="AB56" s="108">
        <f t="shared" si="7"/>
        <v>13.98</v>
      </c>
      <c r="AC56" s="108">
        <f t="shared" si="8"/>
        <v>13.98</v>
      </c>
      <c r="AD56" s="193"/>
      <c r="AE56" s="92"/>
      <c r="AF56" s="194"/>
    </row>
    <row r="57" spans="1:32" s="11" customFormat="1" ht="13.8">
      <c r="A57" s="29"/>
      <c r="B57" s="161" t="s">
        <v>136</v>
      </c>
      <c r="C57" s="95" t="s">
        <v>17</v>
      </c>
      <c r="D57" s="95">
        <v>1</v>
      </c>
      <c r="E57" s="95" t="s">
        <v>57</v>
      </c>
      <c r="F57" s="95" t="s">
        <v>57</v>
      </c>
      <c r="G57" s="123">
        <v>31.64</v>
      </c>
      <c r="H57" s="118"/>
      <c r="I57" s="95">
        <f t="shared" si="0"/>
        <v>31.64</v>
      </c>
      <c r="J57" s="95">
        <f t="shared" si="1"/>
        <v>31.64</v>
      </c>
      <c r="K57" s="191"/>
      <c r="L57" s="95" t="s">
        <v>17</v>
      </c>
      <c r="M57" s="95">
        <v>1</v>
      </c>
      <c r="N57" s="123">
        <f>29.82-1.37</f>
        <v>28.45</v>
      </c>
      <c r="O57" s="123">
        <v>2.7</v>
      </c>
      <c r="P57" s="118"/>
      <c r="Q57" s="118"/>
      <c r="R57" s="95">
        <f t="shared" si="2"/>
        <v>76.814999999999998</v>
      </c>
      <c r="S57" s="195"/>
      <c r="T57" s="108" t="s">
        <v>357</v>
      </c>
      <c r="U57" s="163">
        <f t="shared" si="71"/>
        <v>28.45</v>
      </c>
      <c r="V57" s="193"/>
      <c r="W57" s="162" t="s">
        <v>17</v>
      </c>
      <c r="X57" s="108" t="str">
        <f t="shared" si="4"/>
        <v>cad</v>
      </c>
      <c r="Y57" s="108" t="str">
        <f t="shared" si="5"/>
        <v>cad</v>
      </c>
      <c r="Z57" s="108">
        <f t="shared" si="9"/>
        <v>31.64</v>
      </c>
      <c r="AA57" s="108">
        <f t="shared" si="6"/>
        <v>0</v>
      </c>
      <c r="AB57" s="108">
        <f t="shared" si="7"/>
        <v>31.64</v>
      </c>
      <c r="AC57" s="108">
        <f t="shared" si="8"/>
        <v>31.64</v>
      </c>
      <c r="AD57" s="193"/>
      <c r="AE57" s="92" t="s">
        <v>357</v>
      </c>
      <c r="AF57" s="194">
        <f>N57*M57</f>
        <v>28.45</v>
      </c>
    </row>
    <row r="58" spans="1:32" s="11" customFormat="1" ht="13.8">
      <c r="A58" s="29"/>
      <c r="B58" s="161" t="s">
        <v>59</v>
      </c>
      <c r="C58" s="95" t="s">
        <v>24</v>
      </c>
      <c r="D58" s="95">
        <v>1</v>
      </c>
      <c r="E58" s="95" t="s">
        <v>57</v>
      </c>
      <c r="F58" s="95" t="s">
        <v>57</v>
      </c>
      <c r="G58" s="123">
        <v>40.909999999999997</v>
      </c>
      <c r="H58" s="118"/>
      <c r="I58" s="95">
        <f t="shared" si="0"/>
        <v>40.909999999999997</v>
      </c>
      <c r="J58" s="95">
        <f t="shared" si="1"/>
        <v>40.909999999999997</v>
      </c>
      <c r="K58" s="191"/>
      <c r="L58" s="95" t="s">
        <v>24</v>
      </c>
      <c r="M58" s="95">
        <v>1</v>
      </c>
      <c r="N58" s="95">
        <v>26.71</v>
      </c>
      <c r="O58" s="123">
        <v>3.9</v>
      </c>
      <c r="P58" s="118"/>
      <c r="Q58" s="118"/>
      <c r="R58" s="95">
        <f t="shared" si="2"/>
        <v>104.169</v>
      </c>
      <c r="S58" s="195"/>
      <c r="T58" s="108" t="s">
        <v>356</v>
      </c>
      <c r="U58" s="163">
        <f t="shared" si="71"/>
        <v>26.71</v>
      </c>
      <c r="V58" s="193"/>
      <c r="W58" s="162" t="s">
        <v>20</v>
      </c>
      <c r="X58" s="108" t="str">
        <f t="shared" si="4"/>
        <v>cad</v>
      </c>
      <c r="Y58" s="108" t="str">
        <f t="shared" si="5"/>
        <v>cad</v>
      </c>
      <c r="Z58" s="108">
        <f t="shared" si="9"/>
        <v>40.909999999999997</v>
      </c>
      <c r="AA58" s="108">
        <f t="shared" si="6"/>
        <v>0</v>
      </c>
      <c r="AB58" s="108">
        <f t="shared" si="7"/>
        <v>40.909999999999997</v>
      </c>
      <c r="AC58" s="108">
        <f t="shared" si="8"/>
        <v>40.909999999999997</v>
      </c>
      <c r="AD58" s="193"/>
      <c r="AE58" s="92"/>
      <c r="AF58" s="194"/>
    </row>
    <row r="59" spans="1:32" s="11" customFormat="1" ht="13.8">
      <c r="A59" s="29"/>
      <c r="B59" s="161"/>
      <c r="C59" s="95" t="s">
        <v>24</v>
      </c>
      <c r="D59" s="95">
        <v>1</v>
      </c>
      <c r="E59" s="95" t="s">
        <v>57</v>
      </c>
      <c r="F59" s="95" t="s">
        <v>57</v>
      </c>
      <c r="G59" s="123">
        <v>9.7100000000000009</v>
      </c>
      <c r="H59" s="118"/>
      <c r="I59" s="95">
        <f t="shared" si="0"/>
        <v>9.7100000000000009</v>
      </c>
      <c r="J59" s="95">
        <f t="shared" si="1"/>
        <v>9.7100000000000009</v>
      </c>
      <c r="K59" s="191"/>
      <c r="L59" s="95"/>
      <c r="M59" s="95"/>
      <c r="N59" s="95"/>
      <c r="O59" s="95"/>
      <c r="P59" s="118"/>
      <c r="Q59" s="118"/>
      <c r="R59" s="95"/>
      <c r="S59" s="195"/>
      <c r="T59" s="108"/>
      <c r="U59" s="163"/>
      <c r="V59" s="193"/>
      <c r="W59" s="162"/>
      <c r="X59" s="108"/>
      <c r="Y59" s="108"/>
      <c r="Z59" s="108"/>
      <c r="AA59" s="108"/>
      <c r="AB59" s="108"/>
      <c r="AC59" s="108"/>
      <c r="AD59" s="193"/>
      <c r="AE59" s="92"/>
      <c r="AF59" s="194"/>
    </row>
    <row r="60" spans="1:32" s="11" customFormat="1" ht="13.8">
      <c r="A60" s="29"/>
      <c r="B60" s="161" t="s">
        <v>202</v>
      </c>
      <c r="C60" s="95" t="s">
        <v>21</v>
      </c>
      <c r="D60" s="95">
        <v>1</v>
      </c>
      <c r="E60" s="95" t="s">
        <v>57</v>
      </c>
      <c r="F60" s="95" t="s">
        <v>57</v>
      </c>
      <c r="G60" s="123">
        <v>11.34</v>
      </c>
      <c r="H60" s="118"/>
      <c r="I60" s="95">
        <f t="shared" si="0"/>
        <v>11.34</v>
      </c>
      <c r="J60" s="95">
        <f t="shared" si="1"/>
        <v>11.34</v>
      </c>
      <c r="K60" s="191"/>
      <c r="L60" s="95" t="s">
        <v>18</v>
      </c>
      <c r="M60" s="95">
        <v>1</v>
      </c>
      <c r="N60" s="123">
        <v>13.5</v>
      </c>
      <c r="O60" s="123">
        <v>2.7</v>
      </c>
      <c r="P60" s="118"/>
      <c r="Q60" s="118"/>
      <c r="R60" s="95">
        <f t="shared" si="2"/>
        <v>36.450000000000003</v>
      </c>
      <c r="S60" s="195"/>
      <c r="T60" s="108" t="s">
        <v>358</v>
      </c>
      <c r="U60" s="163">
        <f>N60*M60</f>
        <v>13.5</v>
      </c>
      <c r="V60" s="193"/>
      <c r="W60" s="162" t="s">
        <v>17</v>
      </c>
      <c r="X60" s="108" t="str">
        <f t="shared" ref="X60:X116" si="72">E60</f>
        <v>cad</v>
      </c>
      <c r="Y60" s="108" t="str">
        <f t="shared" ref="Y60:Y116" si="73">F60</f>
        <v>cad</v>
      </c>
      <c r="Z60" s="108">
        <f t="shared" ref="Z60:Z116" si="74">G60</f>
        <v>11.34</v>
      </c>
      <c r="AA60" s="108">
        <f t="shared" ref="AA60:AA116" si="75">H60</f>
        <v>0</v>
      </c>
      <c r="AB60" s="108">
        <f t="shared" ref="AB60:AC116" si="76">I60</f>
        <v>11.34</v>
      </c>
      <c r="AC60" s="108">
        <f t="shared" si="8"/>
        <v>11.34</v>
      </c>
      <c r="AD60" s="193"/>
      <c r="AE60" s="92" t="s">
        <v>357</v>
      </c>
      <c r="AF60" s="194">
        <f>N60*M60</f>
        <v>13.5</v>
      </c>
    </row>
    <row r="61" spans="1:32" s="11" customFormat="1" ht="13.8">
      <c r="A61" s="29"/>
      <c r="B61" s="167" t="s">
        <v>484</v>
      </c>
      <c r="C61" s="95" t="s">
        <v>17</v>
      </c>
      <c r="D61" s="95">
        <v>1</v>
      </c>
      <c r="E61" s="95" t="s">
        <v>57</v>
      </c>
      <c r="F61" s="95" t="s">
        <v>57</v>
      </c>
      <c r="G61" s="168">
        <v>11.99</v>
      </c>
      <c r="H61" s="118"/>
      <c r="I61" s="95">
        <f t="shared" ref="I61:I71" si="77">(G61-H61)</f>
        <v>11.99</v>
      </c>
      <c r="J61" s="95">
        <f t="shared" ref="J61:J71" si="78">I61*D61</f>
        <v>11.99</v>
      </c>
      <c r="K61" s="191"/>
      <c r="L61" s="95" t="s">
        <v>17</v>
      </c>
      <c r="M61" s="95">
        <v>1</v>
      </c>
      <c r="N61" s="168">
        <f>-14.73-2</f>
        <v>-16.73</v>
      </c>
      <c r="O61" s="168">
        <v>2.7</v>
      </c>
      <c r="P61" s="118"/>
      <c r="Q61" s="118"/>
      <c r="R61" s="95">
        <f t="shared" si="2"/>
        <v>-45.171000000000006</v>
      </c>
      <c r="S61" s="195"/>
      <c r="T61" s="108" t="s">
        <v>357</v>
      </c>
      <c r="U61" s="163">
        <f t="shared" ref="U61:U63" si="79">N61*M61</f>
        <v>-16.73</v>
      </c>
      <c r="V61" s="193"/>
      <c r="W61" s="162" t="s">
        <v>17</v>
      </c>
      <c r="X61" s="108"/>
      <c r="Y61" s="108"/>
      <c r="Z61" s="108">
        <f t="shared" ref="Z61:Z62" si="80">G61</f>
        <v>11.99</v>
      </c>
      <c r="AA61" s="108">
        <f t="shared" ref="AA61:AA62" si="81">H61</f>
        <v>0</v>
      </c>
      <c r="AB61" s="108">
        <f t="shared" ref="AB61:AB62" si="82">I61</f>
        <v>11.99</v>
      </c>
      <c r="AC61" s="108">
        <f t="shared" ref="AC61:AC62" si="83">J61</f>
        <v>11.99</v>
      </c>
      <c r="AD61" s="193"/>
      <c r="AE61" s="92" t="s">
        <v>357</v>
      </c>
      <c r="AF61" s="194">
        <f t="shared" ref="AF61:AF70" si="84">N61*M61</f>
        <v>-16.73</v>
      </c>
    </row>
    <row r="62" spans="1:32" s="11" customFormat="1" ht="13.8">
      <c r="A62" s="29"/>
      <c r="B62" s="167" t="s">
        <v>485</v>
      </c>
      <c r="C62" s="95" t="s">
        <v>17</v>
      </c>
      <c r="D62" s="95">
        <v>1</v>
      </c>
      <c r="E62" s="95" t="s">
        <v>57</v>
      </c>
      <c r="F62" s="95" t="s">
        <v>57</v>
      </c>
      <c r="G62" s="168">
        <v>32.35</v>
      </c>
      <c r="H62" s="118"/>
      <c r="I62" s="95">
        <f t="shared" si="77"/>
        <v>32.35</v>
      </c>
      <c r="J62" s="95">
        <f t="shared" si="78"/>
        <v>32.35</v>
      </c>
      <c r="K62" s="191"/>
      <c r="L62" s="95" t="s">
        <v>17</v>
      </c>
      <c r="M62" s="95">
        <v>1</v>
      </c>
      <c r="N62" s="168">
        <f>27.88-10.67</f>
        <v>17.21</v>
      </c>
      <c r="O62" s="168">
        <v>2.7</v>
      </c>
      <c r="P62" s="118"/>
      <c r="Q62" s="118"/>
      <c r="R62" s="95">
        <f t="shared" si="2"/>
        <v>46.467000000000006</v>
      </c>
      <c r="S62" s="195"/>
      <c r="T62" s="108" t="s">
        <v>357</v>
      </c>
      <c r="U62" s="163">
        <f t="shared" si="79"/>
        <v>17.21</v>
      </c>
      <c r="V62" s="193"/>
      <c r="W62" s="162" t="s">
        <v>17</v>
      </c>
      <c r="X62" s="108"/>
      <c r="Y62" s="108"/>
      <c r="Z62" s="108">
        <f t="shared" si="80"/>
        <v>32.35</v>
      </c>
      <c r="AA62" s="108">
        <f t="shared" si="81"/>
        <v>0</v>
      </c>
      <c r="AB62" s="108">
        <f t="shared" si="82"/>
        <v>32.35</v>
      </c>
      <c r="AC62" s="108">
        <f t="shared" si="83"/>
        <v>32.35</v>
      </c>
      <c r="AD62" s="193"/>
      <c r="AE62" s="92" t="s">
        <v>357</v>
      </c>
      <c r="AF62" s="194">
        <f t="shared" si="84"/>
        <v>17.21</v>
      </c>
    </row>
    <row r="63" spans="1:32" s="11" customFormat="1" ht="13.8">
      <c r="A63" s="29"/>
      <c r="B63" s="167" t="s">
        <v>486</v>
      </c>
      <c r="C63" s="95" t="s">
        <v>17</v>
      </c>
      <c r="D63" s="95">
        <v>1</v>
      </c>
      <c r="E63" s="95" t="s">
        <v>57</v>
      </c>
      <c r="F63" s="95" t="s">
        <v>57</v>
      </c>
      <c r="G63" s="168">
        <v>60.91</v>
      </c>
      <c r="H63" s="118"/>
      <c r="I63" s="95">
        <f t="shared" si="77"/>
        <v>60.91</v>
      </c>
      <c r="J63" s="95">
        <f t="shared" si="78"/>
        <v>60.91</v>
      </c>
      <c r="K63" s="191"/>
      <c r="L63" s="95" t="s">
        <v>17</v>
      </c>
      <c r="M63" s="95">
        <v>1</v>
      </c>
      <c r="N63" s="168">
        <f>35.36-12.67</f>
        <v>22.689999999999998</v>
      </c>
      <c r="O63" s="168">
        <v>2.7</v>
      </c>
      <c r="P63" s="118"/>
      <c r="Q63" s="118"/>
      <c r="R63" s="95">
        <f t="shared" si="2"/>
        <v>61.262999999999998</v>
      </c>
      <c r="S63" s="195"/>
      <c r="T63" s="108" t="s">
        <v>357</v>
      </c>
      <c r="U63" s="163">
        <f t="shared" si="79"/>
        <v>22.689999999999998</v>
      </c>
      <c r="V63" s="193"/>
      <c r="W63" s="162" t="s">
        <v>17</v>
      </c>
      <c r="X63" s="108"/>
      <c r="Y63" s="108"/>
      <c r="Z63" s="108">
        <f t="shared" ref="Z63:Z71" si="85">G63</f>
        <v>60.91</v>
      </c>
      <c r="AA63" s="108">
        <f t="shared" ref="AA63" si="86">H63</f>
        <v>0</v>
      </c>
      <c r="AB63" s="108">
        <f t="shared" ref="AB63:AB71" si="87">I63</f>
        <v>60.91</v>
      </c>
      <c r="AC63" s="108">
        <f t="shared" ref="AC63:AC71" si="88">J63</f>
        <v>60.91</v>
      </c>
      <c r="AD63" s="193"/>
      <c r="AE63" s="92" t="s">
        <v>357</v>
      </c>
      <c r="AF63" s="194">
        <f t="shared" si="84"/>
        <v>22.689999999999998</v>
      </c>
    </row>
    <row r="64" spans="1:32" s="11" customFormat="1" ht="13.8">
      <c r="A64" s="29"/>
      <c r="B64" s="167"/>
      <c r="C64" s="95"/>
      <c r="D64" s="95"/>
      <c r="E64" s="95"/>
      <c r="F64" s="95"/>
      <c r="G64" s="141"/>
      <c r="H64" s="118"/>
      <c r="I64" s="95"/>
      <c r="J64" s="95"/>
      <c r="K64" s="191"/>
      <c r="L64" s="95"/>
      <c r="M64" s="95"/>
      <c r="N64" s="95"/>
      <c r="O64" s="95"/>
      <c r="P64" s="118"/>
      <c r="Q64" s="118"/>
      <c r="R64" s="95"/>
      <c r="S64" s="195"/>
      <c r="T64" s="108"/>
      <c r="U64" s="163"/>
      <c r="V64" s="193"/>
      <c r="W64" s="166" t="s">
        <v>24</v>
      </c>
      <c r="X64" s="141"/>
      <c r="Y64" s="141"/>
      <c r="Z64" s="141">
        <v>25.42</v>
      </c>
      <c r="AA64" s="108"/>
      <c r="AB64" s="141">
        <f>Z64</f>
        <v>25.42</v>
      </c>
      <c r="AC64" s="141">
        <f>Z64</f>
        <v>25.42</v>
      </c>
      <c r="AD64" s="193"/>
      <c r="AE64" s="92"/>
      <c r="AF64" s="194">
        <f t="shared" si="84"/>
        <v>0</v>
      </c>
    </row>
    <row r="65" spans="1:32" s="11" customFormat="1" ht="13.8">
      <c r="A65" s="29"/>
      <c r="B65" s="167" t="s">
        <v>225</v>
      </c>
      <c r="C65" s="95" t="s">
        <v>17</v>
      </c>
      <c r="D65" s="95">
        <v>1</v>
      </c>
      <c r="E65" s="95" t="s">
        <v>57</v>
      </c>
      <c r="F65" s="95" t="s">
        <v>57</v>
      </c>
      <c r="G65" s="168">
        <v>5.94</v>
      </c>
      <c r="H65" s="118"/>
      <c r="I65" s="95">
        <f t="shared" si="77"/>
        <v>5.94</v>
      </c>
      <c r="J65" s="95">
        <f t="shared" si="78"/>
        <v>5.94</v>
      </c>
      <c r="K65" s="191"/>
      <c r="L65" s="95" t="s">
        <v>17</v>
      </c>
      <c r="M65" s="95">
        <v>1</v>
      </c>
      <c r="N65" s="168">
        <v>10.19</v>
      </c>
      <c r="O65" s="168">
        <v>2.7</v>
      </c>
      <c r="P65" s="118"/>
      <c r="Q65" s="118"/>
      <c r="R65" s="95">
        <f t="shared" si="2"/>
        <v>27.513000000000002</v>
      </c>
      <c r="S65" s="195"/>
      <c r="T65" s="108" t="s">
        <v>357</v>
      </c>
      <c r="U65" s="163">
        <f t="shared" ref="U65:U71" si="89">N65*M65</f>
        <v>10.19</v>
      </c>
      <c r="V65" s="193"/>
      <c r="W65" s="162" t="s">
        <v>17</v>
      </c>
      <c r="X65" s="108"/>
      <c r="Y65" s="108"/>
      <c r="Z65" s="108">
        <f t="shared" si="85"/>
        <v>5.94</v>
      </c>
      <c r="AA65" s="108"/>
      <c r="AB65" s="108">
        <f t="shared" si="87"/>
        <v>5.94</v>
      </c>
      <c r="AC65" s="108">
        <f t="shared" si="88"/>
        <v>5.94</v>
      </c>
      <c r="AD65" s="193"/>
      <c r="AE65" s="92" t="s">
        <v>357</v>
      </c>
      <c r="AF65" s="194">
        <f t="shared" si="84"/>
        <v>10.19</v>
      </c>
    </row>
    <row r="66" spans="1:32" s="11" customFormat="1" ht="13.8">
      <c r="A66" s="29"/>
      <c r="B66" s="167" t="s">
        <v>408</v>
      </c>
      <c r="C66" s="95" t="s">
        <v>17</v>
      </c>
      <c r="D66" s="95">
        <v>1</v>
      </c>
      <c r="E66" s="95" t="s">
        <v>57</v>
      </c>
      <c r="F66" s="95" t="s">
        <v>57</v>
      </c>
      <c r="G66" s="168">
        <v>6.57</v>
      </c>
      <c r="H66" s="118"/>
      <c r="I66" s="95">
        <f t="shared" si="77"/>
        <v>6.57</v>
      </c>
      <c r="J66" s="95">
        <f t="shared" si="78"/>
        <v>6.57</v>
      </c>
      <c r="K66" s="191"/>
      <c r="L66" s="95" t="s">
        <v>17</v>
      </c>
      <c r="M66" s="95">
        <v>1</v>
      </c>
      <c r="N66" s="168">
        <v>10.59</v>
      </c>
      <c r="O66" s="168">
        <v>2.7</v>
      </c>
      <c r="P66" s="118"/>
      <c r="Q66" s="118"/>
      <c r="R66" s="95">
        <f t="shared" si="2"/>
        <v>28.593</v>
      </c>
      <c r="S66" s="195"/>
      <c r="T66" s="108" t="s">
        <v>357</v>
      </c>
      <c r="U66" s="163">
        <f t="shared" si="89"/>
        <v>10.59</v>
      </c>
      <c r="V66" s="193"/>
      <c r="W66" s="162" t="s">
        <v>17</v>
      </c>
      <c r="X66" s="108"/>
      <c r="Y66" s="108"/>
      <c r="Z66" s="108">
        <f t="shared" si="85"/>
        <v>6.57</v>
      </c>
      <c r="AA66" s="108"/>
      <c r="AB66" s="108">
        <f t="shared" si="87"/>
        <v>6.57</v>
      </c>
      <c r="AC66" s="108">
        <f t="shared" si="88"/>
        <v>6.57</v>
      </c>
      <c r="AD66" s="193"/>
      <c r="AE66" s="92" t="s">
        <v>357</v>
      </c>
      <c r="AF66" s="194">
        <f t="shared" si="84"/>
        <v>10.59</v>
      </c>
    </row>
    <row r="67" spans="1:32" s="11" customFormat="1" ht="13.8">
      <c r="A67" s="29"/>
      <c r="B67" s="167" t="s">
        <v>492</v>
      </c>
      <c r="C67" s="95" t="s">
        <v>17</v>
      </c>
      <c r="D67" s="95">
        <v>1</v>
      </c>
      <c r="E67" s="95" t="s">
        <v>57</v>
      </c>
      <c r="F67" s="95" t="s">
        <v>57</v>
      </c>
      <c r="G67" s="168">
        <v>8.7899999999999991</v>
      </c>
      <c r="H67" s="118"/>
      <c r="I67" s="95">
        <f t="shared" si="77"/>
        <v>8.7899999999999991</v>
      </c>
      <c r="J67" s="95">
        <f t="shared" si="78"/>
        <v>8.7899999999999991</v>
      </c>
      <c r="K67" s="191"/>
      <c r="L67" s="95" t="s">
        <v>17</v>
      </c>
      <c r="M67" s="95">
        <v>1</v>
      </c>
      <c r="N67" s="168">
        <v>11.93</v>
      </c>
      <c r="O67" s="168">
        <v>2.7</v>
      </c>
      <c r="P67" s="118"/>
      <c r="Q67" s="118"/>
      <c r="R67" s="95">
        <f t="shared" si="2"/>
        <v>32.210999999999999</v>
      </c>
      <c r="S67" s="195"/>
      <c r="T67" s="108" t="s">
        <v>357</v>
      </c>
      <c r="U67" s="163">
        <f t="shared" si="89"/>
        <v>11.93</v>
      </c>
      <c r="V67" s="193"/>
      <c r="W67" s="162" t="s">
        <v>17</v>
      </c>
      <c r="X67" s="108"/>
      <c r="Y67" s="108"/>
      <c r="Z67" s="108">
        <f t="shared" si="85"/>
        <v>8.7899999999999991</v>
      </c>
      <c r="AA67" s="108"/>
      <c r="AB67" s="108">
        <f t="shared" si="87"/>
        <v>8.7899999999999991</v>
      </c>
      <c r="AC67" s="108">
        <f t="shared" si="88"/>
        <v>8.7899999999999991</v>
      </c>
      <c r="AD67" s="193"/>
      <c r="AE67" s="92" t="s">
        <v>357</v>
      </c>
      <c r="AF67" s="194">
        <f t="shared" si="84"/>
        <v>11.93</v>
      </c>
    </row>
    <row r="68" spans="1:32" s="11" customFormat="1" ht="13.8">
      <c r="A68" s="29"/>
      <c r="B68" s="167" t="s">
        <v>493</v>
      </c>
      <c r="C68" s="318" t="s">
        <v>17</v>
      </c>
      <c r="D68" s="95">
        <v>1</v>
      </c>
      <c r="E68" s="95" t="s">
        <v>57</v>
      </c>
      <c r="F68" s="95" t="s">
        <v>57</v>
      </c>
      <c r="G68" s="168">
        <v>9.3800000000000008</v>
      </c>
      <c r="H68" s="118"/>
      <c r="I68" s="95">
        <f t="shared" si="77"/>
        <v>9.3800000000000008</v>
      </c>
      <c r="J68" s="95">
        <f t="shared" si="78"/>
        <v>9.3800000000000008</v>
      </c>
      <c r="K68" s="191"/>
      <c r="L68" s="95" t="s">
        <v>19</v>
      </c>
      <c r="M68" s="95">
        <v>1</v>
      </c>
      <c r="N68" s="168">
        <v>12.67</v>
      </c>
      <c r="O68" s="168">
        <v>2.7</v>
      </c>
      <c r="P68" s="118"/>
      <c r="Q68" s="118"/>
      <c r="R68" s="95">
        <f t="shared" si="2"/>
        <v>34.209000000000003</v>
      </c>
      <c r="S68" s="195"/>
      <c r="T68" s="108" t="s">
        <v>19</v>
      </c>
      <c r="U68" s="163">
        <f t="shared" si="89"/>
        <v>12.67</v>
      </c>
      <c r="V68" s="193"/>
      <c r="W68" s="162" t="s">
        <v>17</v>
      </c>
      <c r="X68" s="108"/>
      <c r="Y68" s="108"/>
      <c r="Z68" s="108">
        <f t="shared" si="85"/>
        <v>9.3800000000000008</v>
      </c>
      <c r="AA68" s="108"/>
      <c r="AB68" s="108">
        <f t="shared" si="87"/>
        <v>9.3800000000000008</v>
      </c>
      <c r="AC68" s="108">
        <f t="shared" si="88"/>
        <v>9.3800000000000008</v>
      </c>
      <c r="AD68" s="193"/>
      <c r="AE68" s="92" t="s">
        <v>17</v>
      </c>
      <c r="AF68" s="194">
        <f t="shared" si="84"/>
        <v>12.67</v>
      </c>
    </row>
    <row r="69" spans="1:32" s="11" customFormat="1" ht="13.8">
      <c r="A69" s="29"/>
      <c r="B69" s="167" t="s">
        <v>493</v>
      </c>
      <c r="C69" s="318" t="s">
        <v>17</v>
      </c>
      <c r="D69" s="95">
        <v>1</v>
      </c>
      <c r="E69" s="95" t="s">
        <v>57</v>
      </c>
      <c r="F69" s="95" t="s">
        <v>57</v>
      </c>
      <c r="G69" s="168">
        <v>9.5399999999999991</v>
      </c>
      <c r="H69" s="118"/>
      <c r="I69" s="95">
        <f t="shared" si="77"/>
        <v>9.5399999999999991</v>
      </c>
      <c r="J69" s="95">
        <f t="shared" si="78"/>
        <v>9.5399999999999991</v>
      </c>
      <c r="K69" s="191"/>
      <c r="L69" s="95" t="s">
        <v>19</v>
      </c>
      <c r="M69" s="95">
        <v>1</v>
      </c>
      <c r="N69" s="168">
        <v>12.38</v>
      </c>
      <c r="O69" s="168">
        <v>2.7</v>
      </c>
      <c r="P69" s="118"/>
      <c r="Q69" s="118"/>
      <c r="R69" s="95">
        <f t="shared" si="2"/>
        <v>33.426000000000002</v>
      </c>
      <c r="S69" s="195"/>
      <c r="T69" s="108" t="s">
        <v>19</v>
      </c>
      <c r="U69" s="163">
        <f t="shared" si="89"/>
        <v>12.38</v>
      </c>
      <c r="V69" s="193"/>
      <c r="W69" s="162" t="s">
        <v>17</v>
      </c>
      <c r="X69" s="108"/>
      <c r="Y69" s="108"/>
      <c r="Z69" s="108">
        <f t="shared" si="85"/>
        <v>9.5399999999999991</v>
      </c>
      <c r="AA69" s="108"/>
      <c r="AB69" s="108">
        <f t="shared" si="87"/>
        <v>9.5399999999999991</v>
      </c>
      <c r="AC69" s="108">
        <f t="shared" si="88"/>
        <v>9.5399999999999991</v>
      </c>
      <c r="AD69" s="193"/>
      <c r="AE69" s="92" t="s">
        <v>17</v>
      </c>
      <c r="AF69" s="194">
        <f t="shared" si="84"/>
        <v>12.38</v>
      </c>
    </row>
    <row r="70" spans="1:32" s="11" customFormat="1" ht="13.8">
      <c r="A70" s="29"/>
      <c r="B70" s="167" t="s">
        <v>494</v>
      </c>
      <c r="C70" s="95" t="s">
        <v>17</v>
      </c>
      <c r="D70" s="95">
        <v>1</v>
      </c>
      <c r="E70" s="95" t="s">
        <v>57</v>
      </c>
      <c r="F70" s="95" t="s">
        <v>57</v>
      </c>
      <c r="G70" s="168">
        <v>19.37</v>
      </c>
      <c r="H70" s="118"/>
      <c r="I70" s="95">
        <f t="shared" si="77"/>
        <v>19.37</v>
      </c>
      <c r="J70" s="95">
        <f t="shared" si="78"/>
        <v>19.37</v>
      </c>
      <c r="K70" s="191"/>
      <c r="L70" s="95" t="s">
        <v>17</v>
      </c>
      <c r="M70" s="95">
        <v>1</v>
      </c>
      <c r="N70" s="168">
        <v>21.03</v>
      </c>
      <c r="O70" s="168">
        <v>2.7</v>
      </c>
      <c r="P70" s="118"/>
      <c r="Q70" s="118"/>
      <c r="R70" s="95">
        <f t="shared" si="2"/>
        <v>56.781000000000006</v>
      </c>
      <c r="S70" s="195"/>
      <c r="T70" s="108" t="s">
        <v>357</v>
      </c>
      <c r="U70" s="163">
        <f t="shared" si="89"/>
        <v>21.03</v>
      </c>
      <c r="V70" s="193"/>
      <c r="W70" s="162" t="s">
        <v>17</v>
      </c>
      <c r="X70" s="108"/>
      <c r="Y70" s="108"/>
      <c r="Z70" s="108">
        <f t="shared" si="85"/>
        <v>19.37</v>
      </c>
      <c r="AA70" s="108"/>
      <c r="AB70" s="108">
        <f t="shared" si="87"/>
        <v>19.37</v>
      </c>
      <c r="AC70" s="108">
        <f t="shared" si="88"/>
        <v>19.37</v>
      </c>
      <c r="AD70" s="193"/>
      <c r="AE70" s="92" t="s">
        <v>357</v>
      </c>
      <c r="AF70" s="194">
        <f t="shared" si="84"/>
        <v>21.03</v>
      </c>
    </row>
    <row r="71" spans="1:32" s="11" customFormat="1" ht="13.8">
      <c r="A71" s="29"/>
      <c r="B71" s="167" t="s">
        <v>495</v>
      </c>
      <c r="C71" s="318" t="s">
        <v>17</v>
      </c>
      <c r="D71" s="95">
        <v>1</v>
      </c>
      <c r="E71" s="95" t="s">
        <v>57</v>
      </c>
      <c r="F71" s="95" t="s">
        <v>57</v>
      </c>
      <c r="G71" s="168">
        <v>5.28</v>
      </c>
      <c r="H71" s="118"/>
      <c r="I71" s="95">
        <f t="shared" si="77"/>
        <v>5.28</v>
      </c>
      <c r="J71" s="95">
        <f t="shared" si="78"/>
        <v>5.28</v>
      </c>
      <c r="K71" s="191"/>
      <c r="L71" s="95" t="s">
        <v>19</v>
      </c>
      <c r="M71" s="95">
        <v>1</v>
      </c>
      <c r="N71" s="168">
        <v>9.1999999999999993</v>
      </c>
      <c r="O71" s="168">
        <v>2.7</v>
      </c>
      <c r="P71" s="118"/>
      <c r="Q71" s="118"/>
      <c r="R71" s="95">
        <f t="shared" si="2"/>
        <v>24.84</v>
      </c>
      <c r="S71" s="195"/>
      <c r="T71" s="108" t="s">
        <v>19</v>
      </c>
      <c r="U71" s="163">
        <f t="shared" si="89"/>
        <v>9.1999999999999993</v>
      </c>
      <c r="V71" s="193"/>
      <c r="W71" s="162" t="s">
        <v>17</v>
      </c>
      <c r="X71" s="108"/>
      <c r="Y71" s="108"/>
      <c r="Z71" s="108">
        <f t="shared" si="85"/>
        <v>5.28</v>
      </c>
      <c r="AA71" s="108"/>
      <c r="AB71" s="108">
        <f t="shared" si="87"/>
        <v>5.28</v>
      </c>
      <c r="AC71" s="108">
        <f t="shared" si="88"/>
        <v>5.28</v>
      </c>
      <c r="AD71" s="193"/>
      <c r="AE71" s="92"/>
      <c r="AF71" s="194"/>
    </row>
    <row r="72" spans="1:32" s="11" customFormat="1" ht="13.8">
      <c r="A72" s="29"/>
      <c r="B72" s="161" t="s">
        <v>203</v>
      </c>
      <c r="C72" s="95" t="s">
        <v>20</v>
      </c>
      <c r="D72" s="95">
        <v>1</v>
      </c>
      <c r="E72" s="95" t="s">
        <v>57</v>
      </c>
      <c r="F72" s="95" t="s">
        <v>57</v>
      </c>
      <c r="G72" s="123">
        <v>2.89</v>
      </c>
      <c r="H72" s="118"/>
      <c r="I72" s="95">
        <f t="shared" ref="I72:I114" si="90">(G72-H72)</f>
        <v>2.89</v>
      </c>
      <c r="J72" s="95">
        <f t="shared" ref="J72:J114" si="91">I72*D72</f>
        <v>2.89</v>
      </c>
      <c r="K72" s="191"/>
      <c r="L72" s="95" t="s">
        <v>18</v>
      </c>
      <c r="M72" s="95">
        <v>1</v>
      </c>
      <c r="N72" s="123">
        <v>6.83</v>
      </c>
      <c r="O72" s="123">
        <v>2.7</v>
      </c>
      <c r="P72" s="118"/>
      <c r="Q72" s="118"/>
      <c r="R72" s="95">
        <f t="shared" ref="R72:R114" si="92">(N72*O72-P72)*M72</f>
        <v>18.441000000000003</v>
      </c>
      <c r="S72" s="195"/>
      <c r="T72" s="108" t="s">
        <v>366</v>
      </c>
      <c r="U72" s="163">
        <f t="shared" ref="U72:U73" si="93">N72*M72</f>
        <v>6.83</v>
      </c>
      <c r="V72" s="193"/>
      <c r="W72" s="162" t="s">
        <v>18</v>
      </c>
      <c r="X72" s="108" t="str">
        <f t="shared" si="72"/>
        <v>cad</v>
      </c>
      <c r="Y72" s="108" t="str">
        <f t="shared" si="73"/>
        <v>cad</v>
      </c>
      <c r="Z72" s="108">
        <f t="shared" si="74"/>
        <v>2.89</v>
      </c>
      <c r="AA72" s="108">
        <f t="shared" si="75"/>
        <v>0</v>
      </c>
      <c r="AB72" s="108">
        <f t="shared" si="76"/>
        <v>2.89</v>
      </c>
      <c r="AC72" s="108">
        <f t="shared" si="8"/>
        <v>2.89</v>
      </c>
      <c r="AD72" s="193"/>
      <c r="AE72" s="92" t="s">
        <v>357</v>
      </c>
      <c r="AF72" s="194">
        <f t="shared" ref="AF72:AF76" si="94">N72*M72</f>
        <v>6.83</v>
      </c>
    </row>
    <row r="73" spans="1:32" s="11" customFormat="1" ht="13.8">
      <c r="A73" s="29"/>
      <c r="B73" s="161" t="s">
        <v>204</v>
      </c>
      <c r="C73" s="95" t="s">
        <v>20</v>
      </c>
      <c r="D73" s="95">
        <v>1</v>
      </c>
      <c r="E73" s="95" t="s">
        <v>57</v>
      </c>
      <c r="F73" s="95" t="s">
        <v>57</v>
      </c>
      <c r="G73" s="123">
        <v>3.76</v>
      </c>
      <c r="H73" s="118"/>
      <c r="I73" s="95">
        <f t="shared" si="90"/>
        <v>3.76</v>
      </c>
      <c r="J73" s="95">
        <f t="shared" si="91"/>
        <v>3.76</v>
      </c>
      <c r="K73" s="191"/>
      <c r="L73" s="95" t="s">
        <v>18</v>
      </c>
      <c r="M73" s="95">
        <v>1</v>
      </c>
      <c r="N73" s="123">
        <v>7.77</v>
      </c>
      <c r="O73" s="123">
        <v>2.7</v>
      </c>
      <c r="P73" s="118"/>
      <c r="Q73" s="118"/>
      <c r="R73" s="95">
        <f t="shared" si="92"/>
        <v>20.978999999999999</v>
      </c>
      <c r="S73" s="195"/>
      <c r="T73" s="108" t="s">
        <v>366</v>
      </c>
      <c r="U73" s="163">
        <f t="shared" si="93"/>
        <v>7.77</v>
      </c>
      <c r="V73" s="193"/>
      <c r="W73" s="162" t="s">
        <v>18</v>
      </c>
      <c r="X73" s="108" t="str">
        <f t="shared" si="72"/>
        <v>cad</v>
      </c>
      <c r="Y73" s="108" t="str">
        <f t="shared" si="73"/>
        <v>cad</v>
      </c>
      <c r="Z73" s="108">
        <f t="shared" si="74"/>
        <v>3.76</v>
      </c>
      <c r="AA73" s="108">
        <f t="shared" si="75"/>
        <v>0</v>
      </c>
      <c r="AB73" s="108">
        <f t="shared" si="76"/>
        <v>3.76</v>
      </c>
      <c r="AC73" s="108">
        <f t="shared" si="8"/>
        <v>3.76</v>
      </c>
      <c r="AD73" s="193"/>
      <c r="AE73" s="92" t="s">
        <v>357</v>
      </c>
      <c r="AF73" s="194">
        <f t="shared" si="94"/>
        <v>7.77</v>
      </c>
    </row>
    <row r="74" spans="1:32" s="11" customFormat="1" ht="13.8">
      <c r="A74" s="29"/>
      <c r="B74" s="161" t="s">
        <v>205</v>
      </c>
      <c r="C74" s="95" t="s">
        <v>20</v>
      </c>
      <c r="D74" s="95">
        <v>2</v>
      </c>
      <c r="E74" s="95" t="s">
        <v>57</v>
      </c>
      <c r="F74" s="95" t="s">
        <v>57</v>
      </c>
      <c r="G74" s="123">
        <v>3.54</v>
      </c>
      <c r="H74" s="118"/>
      <c r="I74" s="95">
        <f t="shared" si="90"/>
        <v>3.54</v>
      </c>
      <c r="J74" s="95">
        <f t="shared" si="91"/>
        <v>7.08</v>
      </c>
      <c r="K74" s="191"/>
      <c r="L74" s="95" t="s">
        <v>18</v>
      </c>
      <c r="M74" s="95">
        <v>2</v>
      </c>
      <c r="N74" s="123">
        <v>7.54</v>
      </c>
      <c r="O74" s="123">
        <v>2.7</v>
      </c>
      <c r="P74" s="118"/>
      <c r="Q74" s="118"/>
      <c r="R74" s="95">
        <f t="shared" si="92"/>
        <v>40.716000000000001</v>
      </c>
      <c r="S74" s="195"/>
      <c r="T74" s="108" t="s">
        <v>366</v>
      </c>
      <c r="U74" s="163">
        <f t="shared" ref="U74:U75" si="95">N74*M74</f>
        <v>15.08</v>
      </c>
      <c r="V74" s="193"/>
      <c r="W74" s="162" t="s">
        <v>18</v>
      </c>
      <c r="X74" s="108" t="str">
        <f t="shared" si="72"/>
        <v>cad</v>
      </c>
      <c r="Y74" s="108" t="str">
        <f t="shared" si="73"/>
        <v>cad</v>
      </c>
      <c r="Z74" s="108">
        <f t="shared" si="74"/>
        <v>3.54</v>
      </c>
      <c r="AA74" s="108">
        <f t="shared" si="75"/>
        <v>0</v>
      </c>
      <c r="AB74" s="108">
        <f t="shared" si="76"/>
        <v>3.54</v>
      </c>
      <c r="AC74" s="108">
        <f t="shared" si="8"/>
        <v>7.08</v>
      </c>
      <c r="AD74" s="193"/>
      <c r="AE74" s="92" t="s">
        <v>357</v>
      </c>
      <c r="AF74" s="194">
        <f t="shared" si="94"/>
        <v>15.08</v>
      </c>
    </row>
    <row r="75" spans="1:32" s="11" customFormat="1" ht="13.8">
      <c r="A75" s="29"/>
      <c r="B75" s="161" t="s">
        <v>206</v>
      </c>
      <c r="C75" s="95" t="s">
        <v>20</v>
      </c>
      <c r="D75" s="95">
        <v>1</v>
      </c>
      <c r="E75" s="95" t="s">
        <v>57</v>
      </c>
      <c r="F75" s="95" t="s">
        <v>57</v>
      </c>
      <c r="G75" s="123">
        <v>2.69</v>
      </c>
      <c r="H75" s="118"/>
      <c r="I75" s="95">
        <f t="shared" si="90"/>
        <v>2.69</v>
      </c>
      <c r="J75" s="95">
        <f t="shared" si="91"/>
        <v>2.69</v>
      </c>
      <c r="K75" s="191"/>
      <c r="L75" s="95" t="s">
        <v>18</v>
      </c>
      <c r="M75" s="95">
        <v>1</v>
      </c>
      <c r="N75" s="123">
        <v>6.57</v>
      </c>
      <c r="O75" s="123">
        <v>2.7</v>
      </c>
      <c r="P75" s="118"/>
      <c r="Q75" s="118"/>
      <c r="R75" s="95">
        <f t="shared" si="92"/>
        <v>17.739000000000001</v>
      </c>
      <c r="S75" s="195"/>
      <c r="T75" s="108" t="s">
        <v>366</v>
      </c>
      <c r="U75" s="163">
        <f t="shared" si="95"/>
        <v>6.57</v>
      </c>
      <c r="V75" s="193"/>
      <c r="W75" s="162" t="s">
        <v>18</v>
      </c>
      <c r="X75" s="108" t="str">
        <f t="shared" si="72"/>
        <v>cad</v>
      </c>
      <c r="Y75" s="108" t="str">
        <f t="shared" si="73"/>
        <v>cad</v>
      </c>
      <c r="Z75" s="108">
        <f t="shared" si="74"/>
        <v>2.69</v>
      </c>
      <c r="AA75" s="108">
        <f t="shared" si="75"/>
        <v>0</v>
      </c>
      <c r="AB75" s="108">
        <f t="shared" si="76"/>
        <v>2.69</v>
      </c>
      <c r="AC75" s="108">
        <f t="shared" si="8"/>
        <v>2.69</v>
      </c>
      <c r="AD75" s="193"/>
      <c r="AE75" s="92" t="s">
        <v>357</v>
      </c>
      <c r="AF75" s="194">
        <f t="shared" si="94"/>
        <v>6.57</v>
      </c>
    </row>
    <row r="76" spans="1:32" s="11" customFormat="1" ht="13.8">
      <c r="A76" s="29"/>
      <c r="B76" s="161" t="s">
        <v>207</v>
      </c>
      <c r="C76" s="95" t="s">
        <v>20</v>
      </c>
      <c r="D76" s="95">
        <v>1</v>
      </c>
      <c r="E76" s="95" t="s">
        <v>57</v>
      </c>
      <c r="F76" s="95" t="s">
        <v>57</v>
      </c>
      <c r="G76" s="123">
        <v>3.83</v>
      </c>
      <c r="H76" s="118"/>
      <c r="I76" s="95">
        <f t="shared" si="90"/>
        <v>3.83</v>
      </c>
      <c r="J76" s="95">
        <f t="shared" si="91"/>
        <v>3.83</v>
      </c>
      <c r="K76" s="191"/>
      <c r="L76" s="95" t="s">
        <v>18</v>
      </c>
      <c r="M76" s="95">
        <v>1</v>
      </c>
      <c r="N76" s="123">
        <v>7.83</v>
      </c>
      <c r="O76" s="123">
        <v>2.7</v>
      </c>
      <c r="P76" s="118"/>
      <c r="Q76" s="118"/>
      <c r="R76" s="95">
        <f t="shared" si="92"/>
        <v>21.141000000000002</v>
      </c>
      <c r="S76" s="195"/>
      <c r="T76" s="108" t="s">
        <v>18</v>
      </c>
      <c r="U76" s="163">
        <f>N76*M76</f>
        <v>7.83</v>
      </c>
      <c r="V76" s="193"/>
      <c r="W76" s="162" t="s">
        <v>18</v>
      </c>
      <c r="X76" s="108" t="str">
        <f t="shared" si="72"/>
        <v>cad</v>
      </c>
      <c r="Y76" s="108" t="str">
        <f t="shared" si="73"/>
        <v>cad</v>
      </c>
      <c r="Z76" s="108">
        <f t="shared" si="74"/>
        <v>3.83</v>
      </c>
      <c r="AA76" s="108">
        <f t="shared" si="75"/>
        <v>0</v>
      </c>
      <c r="AB76" s="108">
        <f t="shared" si="76"/>
        <v>3.83</v>
      </c>
      <c r="AC76" s="108">
        <f t="shared" si="8"/>
        <v>3.83</v>
      </c>
      <c r="AD76" s="193"/>
      <c r="AE76" s="92" t="s">
        <v>357</v>
      </c>
      <c r="AF76" s="194">
        <f t="shared" si="94"/>
        <v>7.83</v>
      </c>
    </row>
    <row r="77" spans="1:32" s="11" customFormat="1" ht="13.8">
      <c r="A77" s="28"/>
      <c r="B77" s="161" t="s">
        <v>208</v>
      </c>
      <c r="C77" s="318" t="s">
        <v>17</v>
      </c>
      <c r="D77" s="95">
        <v>1</v>
      </c>
      <c r="E77" s="95" t="s">
        <v>57</v>
      </c>
      <c r="F77" s="95" t="s">
        <v>57</v>
      </c>
      <c r="G77" s="123">
        <v>13.61</v>
      </c>
      <c r="H77" s="118"/>
      <c r="I77" s="95">
        <f t="shared" si="90"/>
        <v>13.61</v>
      </c>
      <c r="J77" s="95">
        <f t="shared" si="91"/>
        <v>13.61</v>
      </c>
      <c r="K77" s="191"/>
      <c r="L77" s="95" t="s">
        <v>19</v>
      </c>
      <c r="M77" s="95">
        <v>1</v>
      </c>
      <c r="N77" s="123">
        <v>15.24</v>
      </c>
      <c r="O77" s="123">
        <v>2.7</v>
      </c>
      <c r="P77" s="118"/>
      <c r="Q77" s="118"/>
      <c r="R77" s="95">
        <f t="shared" si="92"/>
        <v>41.148000000000003</v>
      </c>
      <c r="S77" s="195"/>
      <c r="T77" s="108" t="s">
        <v>21</v>
      </c>
      <c r="U77" s="163">
        <f>N77*M77</f>
        <v>15.24</v>
      </c>
      <c r="V77" s="193"/>
      <c r="W77" s="162" t="s">
        <v>17</v>
      </c>
      <c r="X77" s="108" t="str">
        <f t="shared" si="72"/>
        <v>cad</v>
      </c>
      <c r="Y77" s="108" t="str">
        <f t="shared" si="73"/>
        <v>cad</v>
      </c>
      <c r="Z77" s="108">
        <f t="shared" si="74"/>
        <v>13.61</v>
      </c>
      <c r="AA77" s="108">
        <f t="shared" si="75"/>
        <v>0</v>
      </c>
      <c r="AB77" s="108">
        <f t="shared" si="76"/>
        <v>13.61</v>
      </c>
      <c r="AC77" s="108">
        <f t="shared" si="8"/>
        <v>13.61</v>
      </c>
      <c r="AD77" s="193"/>
      <c r="AE77" s="92" t="s">
        <v>357</v>
      </c>
      <c r="AF77" s="194">
        <f t="shared" ref="AF77:AF80" si="96">N77*M77</f>
        <v>15.24</v>
      </c>
    </row>
    <row r="78" spans="1:32" s="11" customFormat="1" ht="13.8">
      <c r="A78" s="28"/>
      <c r="B78" s="167" t="s">
        <v>208</v>
      </c>
      <c r="C78" s="318" t="s">
        <v>17</v>
      </c>
      <c r="D78" s="95">
        <v>1</v>
      </c>
      <c r="E78" s="95" t="s">
        <v>57</v>
      </c>
      <c r="F78" s="95" t="s">
        <v>57</v>
      </c>
      <c r="G78" s="168">
        <v>10.89</v>
      </c>
      <c r="H78" s="118"/>
      <c r="I78" s="95">
        <f t="shared" ref="I78" si="97">(G78-H78)</f>
        <v>10.89</v>
      </c>
      <c r="J78" s="95">
        <f t="shared" ref="J78" si="98">I78*D78</f>
        <v>10.89</v>
      </c>
      <c r="K78" s="191"/>
      <c r="L78" s="95" t="s">
        <v>19</v>
      </c>
      <c r="M78" s="95">
        <v>1</v>
      </c>
      <c r="N78" s="168">
        <v>13.2</v>
      </c>
      <c r="O78" s="168">
        <v>2.7</v>
      </c>
      <c r="P78" s="118"/>
      <c r="Q78" s="118"/>
      <c r="R78" s="95">
        <f t="shared" si="92"/>
        <v>35.64</v>
      </c>
      <c r="S78" s="195"/>
      <c r="T78" s="108" t="s">
        <v>21</v>
      </c>
      <c r="U78" s="163">
        <f>N78*M78</f>
        <v>13.2</v>
      </c>
      <c r="V78" s="193"/>
      <c r="W78" s="162" t="s">
        <v>17</v>
      </c>
      <c r="X78" s="108"/>
      <c r="Y78" s="108"/>
      <c r="Z78" s="108">
        <f t="shared" si="74"/>
        <v>10.89</v>
      </c>
      <c r="AA78" s="108">
        <f t="shared" ref="AA78:AA79" si="99">H78</f>
        <v>0</v>
      </c>
      <c r="AB78" s="108">
        <f t="shared" ref="AB78:AB79" si="100">I78</f>
        <v>10.89</v>
      </c>
      <c r="AC78" s="108">
        <f t="shared" ref="AC78:AC79" si="101">J78</f>
        <v>10.89</v>
      </c>
      <c r="AD78" s="193"/>
      <c r="AE78" s="92" t="s">
        <v>357</v>
      </c>
      <c r="AF78" s="194">
        <f t="shared" si="96"/>
        <v>13.2</v>
      </c>
    </row>
    <row r="79" spans="1:32" s="11" customFormat="1" ht="13.8">
      <c r="A79" s="28"/>
      <c r="B79" s="161" t="s">
        <v>214</v>
      </c>
      <c r="C79" s="318" t="s">
        <v>17</v>
      </c>
      <c r="D79" s="95">
        <v>1</v>
      </c>
      <c r="E79" s="95" t="s">
        <v>57</v>
      </c>
      <c r="F79" s="95" t="s">
        <v>57</v>
      </c>
      <c r="G79" s="95">
        <v>12.75</v>
      </c>
      <c r="H79" s="118"/>
      <c r="I79" s="95">
        <f t="shared" si="90"/>
        <v>12.75</v>
      </c>
      <c r="J79" s="95">
        <f t="shared" si="91"/>
        <v>12.75</v>
      </c>
      <c r="K79" s="191"/>
      <c r="L79" s="95" t="s">
        <v>19</v>
      </c>
      <c r="M79" s="95">
        <v>1</v>
      </c>
      <c r="N79" s="95">
        <v>14.4</v>
      </c>
      <c r="O79" s="123">
        <v>2.7</v>
      </c>
      <c r="P79" s="118"/>
      <c r="Q79" s="118"/>
      <c r="R79" s="95">
        <f t="shared" si="92"/>
        <v>38.880000000000003</v>
      </c>
      <c r="S79" s="195"/>
      <c r="T79" s="108" t="s">
        <v>21</v>
      </c>
      <c r="U79" s="163">
        <f t="shared" ref="U79:U80" si="102">N79*M79</f>
        <v>14.4</v>
      </c>
      <c r="V79" s="193"/>
      <c r="W79" s="162" t="s">
        <v>17</v>
      </c>
      <c r="X79" s="108"/>
      <c r="Y79" s="108"/>
      <c r="Z79" s="108">
        <f t="shared" si="74"/>
        <v>12.75</v>
      </c>
      <c r="AA79" s="108">
        <f t="shared" si="99"/>
        <v>0</v>
      </c>
      <c r="AB79" s="108">
        <f t="shared" si="100"/>
        <v>12.75</v>
      </c>
      <c r="AC79" s="108">
        <f t="shared" si="101"/>
        <v>12.75</v>
      </c>
      <c r="AD79" s="193"/>
      <c r="AE79" s="92" t="s">
        <v>357</v>
      </c>
      <c r="AF79" s="194">
        <f t="shared" si="96"/>
        <v>14.4</v>
      </c>
    </row>
    <row r="80" spans="1:32" s="11" customFormat="1" ht="13.8">
      <c r="A80" s="28"/>
      <c r="B80" s="161" t="s">
        <v>215</v>
      </c>
      <c r="C80" s="318" t="s">
        <v>17</v>
      </c>
      <c r="D80" s="95">
        <v>1</v>
      </c>
      <c r="E80" s="95" t="s">
        <v>57</v>
      </c>
      <c r="F80" s="95" t="s">
        <v>57</v>
      </c>
      <c r="G80" s="123">
        <v>12.59</v>
      </c>
      <c r="H80" s="118"/>
      <c r="I80" s="95">
        <f t="shared" si="90"/>
        <v>12.59</v>
      </c>
      <c r="J80" s="95">
        <f t="shared" si="91"/>
        <v>12.59</v>
      </c>
      <c r="K80" s="191"/>
      <c r="L80" s="95" t="s">
        <v>19</v>
      </c>
      <c r="M80" s="95">
        <v>1</v>
      </c>
      <c r="N80" s="123">
        <v>14.69</v>
      </c>
      <c r="O80" s="123">
        <v>2.7</v>
      </c>
      <c r="P80" s="118"/>
      <c r="Q80" s="118"/>
      <c r="R80" s="95">
        <f t="shared" si="92"/>
        <v>39.663000000000004</v>
      </c>
      <c r="S80" s="195"/>
      <c r="T80" s="108" t="s">
        <v>21</v>
      </c>
      <c r="U80" s="163">
        <f t="shared" si="102"/>
        <v>14.69</v>
      </c>
      <c r="V80" s="193"/>
      <c r="W80" s="162" t="s">
        <v>17</v>
      </c>
      <c r="X80" s="108"/>
      <c r="Y80" s="108"/>
      <c r="Z80" s="108">
        <f t="shared" si="74"/>
        <v>12.59</v>
      </c>
      <c r="AA80" s="108"/>
      <c r="AB80" s="108">
        <f t="shared" si="76"/>
        <v>12.59</v>
      </c>
      <c r="AC80" s="108">
        <f t="shared" si="8"/>
        <v>12.59</v>
      </c>
      <c r="AD80" s="193"/>
      <c r="AE80" s="92" t="s">
        <v>357</v>
      </c>
      <c r="AF80" s="194">
        <f t="shared" si="96"/>
        <v>14.69</v>
      </c>
    </row>
    <row r="81" spans="1:32" s="11" customFormat="1" ht="13.8">
      <c r="A81" s="28"/>
      <c r="B81" s="161" t="s">
        <v>209</v>
      </c>
      <c r="C81" s="318" t="s">
        <v>17</v>
      </c>
      <c r="D81" s="95">
        <v>1</v>
      </c>
      <c r="E81" s="95" t="s">
        <v>57</v>
      </c>
      <c r="F81" s="95" t="s">
        <v>57</v>
      </c>
      <c r="G81" s="123">
        <v>10.78</v>
      </c>
      <c r="H81" s="118"/>
      <c r="I81" s="95">
        <f t="shared" si="90"/>
        <v>10.78</v>
      </c>
      <c r="J81" s="95">
        <f t="shared" si="91"/>
        <v>10.78</v>
      </c>
      <c r="K81" s="191"/>
      <c r="L81" s="95" t="s">
        <v>19</v>
      </c>
      <c r="M81" s="95">
        <v>1</v>
      </c>
      <c r="N81" s="123">
        <v>13.2</v>
      </c>
      <c r="O81" s="123">
        <v>2.7</v>
      </c>
      <c r="P81" s="118"/>
      <c r="Q81" s="118"/>
      <c r="R81" s="95">
        <f t="shared" si="92"/>
        <v>35.64</v>
      </c>
      <c r="S81" s="195"/>
      <c r="T81" s="108" t="s">
        <v>21</v>
      </c>
      <c r="U81" s="163">
        <f>N81*M81</f>
        <v>13.2</v>
      </c>
      <c r="V81" s="193"/>
      <c r="W81" s="162" t="s">
        <v>17</v>
      </c>
      <c r="X81" s="108" t="str">
        <f t="shared" si="72"/>
        <v>cad</v>
      </c>
      <c r="Y81" s="108" t="str">
        <f t="shared" si="73"/>
        <v>cad</v>
      </c>
      <c r="Z81" s="108">
        <f t="shared" si="74"/>
        <v>10.78</v>
      </c>
      <c r="AA81" s="108">
        <f t="shared" si="75"/>
        <v>0</v>
      </c>
      <c r="AB81" s="108">
        <f t="shared" si="76"/>
        <v>10.78</v>
      </c>
      <c r="AC81" s="108">
        <f t="shared" si="8"/>
        <v>10.78</v>
      </c>
      <c r="AD81" s="193"/>
      <c r="AE81" s="92" t="s">
        <v>357</v>
      </c>
      <c r="AF81" s="194">
        <f t="shared" ref="AF81:AF89" si="103">N81*M81</f>
        <v>13.2</v>
      </c>
    </row>
    <row r="82" spans="1:32" s="11" customFormat="1" ht="13.8">
      <c r="A82" s="28"/>
      <c r="B82" s="161" t="s">
        <v>210</v>
      </c>
      <c r="C82" s="318" t="s">
        <v>17</v>
      </c>
      <c r="D82" s="95">
        <v>1</v>
      </c>
      <c r="E82" s="95" t="s">
        <v>57</v>
      </c>
      <c r="F82" s="95" t="s">
        <v>57</v>
      </c>
      <c r="G82" s="123">
        <v>9.58</v>
      </c>
      <c r="H82" s="118"/>
      <c r="I82" s="95">
        <f t="shared" si="90"/>
        <v>9.58</v>
      </c>
      <c r="J82" s="95">
        <f t="shared" si="91"/>
        <v>9.58</v>
      </c>
      <c r="K82" s="191"/>
      <c r="L82" s="95" t="s">
        <v>19</v>
      </c>
      <c r="M82" s="95">
        <v>1</v>
      </c>
      <c r="N82" s="123">
        <v>12.99</v>
      </c>
      <c r="O82" s="123">
        <v>2.7</v>
      </c>
      <c r="P82" s="118"/>
      <c r="Q82" s="118"/>
      <c r="R82" s="95">
        <f t="shared" si="92"/>
        <v>35.073</v>
      </c>
      <c r="S82" s="195"/>
      <c r="T82" s="108" t="s">
        <v>21</v>
      </c>
      <c r="U82" s="163">
        <f>N82*M82</f>
        <v>12.99</v>
      </c>
      <c r="V82" s="193"/>
      <c r="W82" s="162" t="s">
        <v>17</v>
      </c>
      <c r="X82" s="108" t="str">
        <f t="shared" si="72"/>
        <v>cad</v>
      </c>
      <c r="Y82" s="108" t="str">
        <f t="shared" si="73"/>
        <v>cad</v>
      </c>
      <c r="Z82" s="108">
        <f t="shared" si="74"/>
        <v>9.58</v>
      </c>
      <c r="AA82" s="108">
        <f t="shared" si="75"/>
        <v>0</v>
      </c>
      <c r="AB82" s="108">
        <f t="shared" si="76"/>
        <v>9.58</v>
      </c>
      <c r="AC82" s="108">
        <f t="shared" si="8"/>
        <v>9.58</v>
      </c>
      <c r="AD82" s="193"/>
      <c r="AE82" s="92" t="s">
        <v>357</v>
      </c>
      <c r="AF82" s="194">
        <f t="shared" si="103"/>
        <v>12.99</v>
      </c>
    </row>
    <row r="83" spans="1:32" s="11" customFormat="1" ht="13.8">
      <c r="A83" s="28"/>
      <c r="B83" s="161" t="s">
        <v>211</v>
      </c>
      <c r="C83" s="318" t="s">
        <v>17</v>
      </c>
      <c r="D83" s="95">
        <v>1</v>
      </c>
      <c r="E83" s="95" t="s">
        <v>57</v>
      </c>
      <c r="F83" s="95" t="s">
        <v>57</v>
      </c>
      <c r="G83" s="123">
        <v>11.38</v>
      </c>
      <c r="H83" s="118"/>
      <c r="I83" s="95">
        <f t="shared" si="90"/>
        <v>11.38</v>
      </c>
      <c r="J83" s="95">
        <f t="shared" si="91"/>
        <v>11.38</v>
      </c>
      <c r="K83" s="191"/>
      <c r="L83" s="95" t="s">
        <v>19</v>
      </c>
      <c r="M83" s="95">
        <v>1</v>
      </c>
      <c r="N83" s="123">
        <v>13.89</v>
      </c>
      <c r="O83" s="123">
        <v>2.7</v>
      </c>
      <c r="P83" s="118"/>
      <c r="Q83" s="118"/>
      <c r="R83" s="95">
        <f t="shared" si="92"/>
        <v>37.503000000000007</v>
      </c>
      <c r="S83" s="195"/>
      <c r="T83" s="108" t="s">
        <v>21</v>
      </c>
      <c r="U83" s="105">
        <f>N83*M83</f>
        <v>13.89</v>
      </c>
      <c r="V83" s="193"/>
      <c r="W83" s="95" t="s">
        <v>17</v>
      </c>
      <c r="X83" s="95" t="str">
        <f t="shared" si="72"/>
        <v>cad</v>
      </c>
      <c r="Y83" s="95" t="str">
        <f t="shared" si="73"/>
        <v>cad</v>
      </c>
      <c r="Z83" s="95">
        <f t="shared" si="74"/>
        <v>11.38</v>
      </c>
      <c r="AA83" s="95">
        <f t="shared" si="75"/>
        <v>0</v>
      </c>
      <c r="AB83" s="95">
        <f t="shared" si="76"/>
        <v>11.38</v>
      </c>
      <c r="AC83" s="95">
        <f t="shared" si="8"/>
        <v>11.38</v>
      </c>
      <c r="AD83" s="193"/>
      <c r="AE83" s="118" t="s">
        <v>357</v>
      </c>
      <c r="AF83" s="194">
        <f t="shared" si="103"/>
        <v>13.89</v>
      </c>
    </row>
    <row r="84" spans="1:32" s="11" customFormat="1" ht="13.8">
      <c r="A84" s="28"/>
      <c r="B84" s="167" t="s">
        <v>487</v>
      </c>
      <c r="C84" s="318" t="s">
        <v>17</v>
      </c>
      <c r="D84" s="95">
        <v>1</v>
      </c>
      <c r="E84" s="95" t="s">
        <v>57</v>
      </c>
      <c r="F84" s="95" t="s">
        <v>57</v>
      </c>
      <c r="G84" s="168">
        <v>9.24</v>
      </c>
      <c r="H84" s="118"/>
      <c r="I84" s="95">
        <f t="shared" ref="I84" si="104">(G84-H84)</f>
        <v>9.24</v>
      </c>
      <c r="J84" s="95">
        <f t="shared" ref="J84" si="105">I84*D84</f>
        <v>9.24</v>
      </c>
      <c r="K84" s="191"/>
      <c r="L84" s="95" t="s">
        <v>19</v>
      </c>
      <c r="M84" s="95">
        <v>1</v>
      </c>
      <c r="N84" s="168">
        <v>12.2</v>
      </c>
      <c r="O84" s="168">
        <v>2.7</v>
      </c>
      <c r="P84" s="118"/>
      <c r="Q84" s="118"/>
      <c r="R84" s="95">
        <f t="shared" si="92"/>
        <v>32.94</v>
      </c>
      <c r="S84" s="195"/>
      <c r="T84" s="108" t="s">
        <v>21</v>
      </c>
      <c r="U84" s="105">
        <f>N84*M84</f>
        <v>12.2</v>
      </c>
      <c r="V84" s="193"/>
      <c r="W84" s="95" t="s">
        <v>17</v>
      </c>
      <c r="X84" s="95"/>
      <c r="Y84" s="95"/>
      <c r="Z84" s="95">
        <f t="shared" si="74"/>
        <v>9.24</v>
      </c>
      <c r="AA84" s="95">
        <f t="shared" ref="AA84" si="106">H84</f>
        <v>0</v>
      </c>
      <c r="AB84" s="95">
        <f t="shared" ref="AB84" si="107">I84</f>
        <v>9.24</v>
      </c>
      <c r="AC84" s="95">
        <f t="shared" ref="AC84" si="108">J84</f>
        <v>9.24</v>
      </c>
      <c r="AD84" s="193"/>
      <c r="AE84" s="118" t="s">
        <v>357</v>
      </c>
      <c r="AF84" s="194">
        <f t="shared" si="103"/>
        <v>12.2</v>
      </c>
    </row>
    <row r="85" spans="1:32" s="11" customFormat="1" ht="13.8">
      <c r="A85" s="28"/>
      <c r="B85" s="161" t="s">
        <v>322</v>
      </c>
      <c r="C85" s="95" t="s">
        <v>20</v>
      </c>
      <c r="D85" s="95">
        <v>1</v>
      </c>
      <c r="E85" s="95" t="s">
        <v>57</v>
      </c>
      <c r="F85" s="95" t="s">
        <v>57</v>
      </c>
      <c r="G85" s="123">
        <v>2.57</v>
      </c>
      <c r="H85" s="118"/>
      <c r="I85" s="95">
        <f t="shared" si="90"/>
        <v>2.57</v>
      </c>
      <c r="J85" s="95">
        <f t="shared" si="91"/>
        <v>2.57</v>
      </c>
      <c r="K85" s="191"/>
      <c r="L85" s="95" t="s">
        <v>18</v>
      </c>
      <c r="M85" s="95">
        <v>1</v>
      </c>
      <c r="N85" s="123">
        <v>6.6</v>
      </c>
      <c r="O85" s="123">
        <v>2.7</v>
      </c>
      <c r="P85" s="118"/>
      <c r="Q85" s="118"/>
      <c r="R85" s="95">
        <f t="shared" si="92"/>
        <v>17.82</v>
      </c>
      <c r="S85" s="195"/>
      <c r="T85" s="108" t="s">
        <v>18</v>
      </c>
      <c r="U85" s="163">
        <f t="shared" ref="U85:U88" si="109">N85*M85</f>
        <v>6.6</v>
      </c>
      <c r="V85" s="193"/>
      <c r="W85" s="162" t="s">
        <v>18</v>
      </c>
      <c r="X85" s="108" t="str">
        <f t="shared" si="72"/>
        <v>cad</v>
      </c>
      <c r="Y85" s="108" t="str">
        <f t="shared" si="73"/>
        <v>cad</v>
      </c>
      <c r="Z85" s="108">
        <f t="shared" si="74"/>
        <v>2.57</v>
      </c>
      <c r="AA85" s="108">
        <f t="shared" si="75"/>
        <v>0</v>
      </c>
      <c r="AB85" s="108">
        <f t="shared" si="76"/>
        <v>2.57</v>
      </c>
      <c r="AC85" s="108">
        <f t="shared" si="8"/>
        <v>2.57</v>
      </c>
      <c r="AD85" s="193"/>
      <c r="AE85" s="92" t="s">
        <v>357</v>
      </c>
      <c r="AF85" s="194">
        <f t="shared" si="103"/>
        <v>6.6</v>
      </c>
    </row>
    <row r="86" spans="1:32" s="11" customFormat="1" ht="13.8">
      <c r="A86" s="28"/>
      <c r="B86" s="161" t="s">
        <v>321</v>
      </c>
      <c r="C86" s="95" t="s">
        <v>20</v>
      </c>
      <c r="D86" s="95">
        <v>1</v>
      </c>
      <c r="E86" s="95" t="s">
        <v>57</v>
      </c>
      <c r="F86" s="95" t="s">
        <v>57</v>
      </c>
      <c r="G86" s="95">
        <v>2.4700000000000002</v>
      </c>
      <c r="H86" s="118"/>
      <c r="I86" s="95">
        <f t="shared" si="90"/>
        <v>2.4700000000000002</v>
      </c>
      <c r="J86" s="95">
        <f t="shared" si="91"/>
        <v>2.4700000000000002</v>
      </c>
      <c r="K86" s="191"/>
      <c r="L86" s="95" t="s">
        <v>18</v>
      </c>
      <c r="M86" s="95">
        <v>1</v>
      </c>
      <c r="N86" s="123">
        <v>6.3</v>
      </c>
      <c r="O86" s="123">
        <v>2.7</v>
      </c>
      <c r="P86" s="118"/>
      <c r="Q86" s="118"/>
      <c r="R86" s="95">
        <f t="shared" si="92"/>
        <v>17.010000000000002</v>
      </c>
      <c r="S86" s="195"/>
      <c r="T86" s="108" t="s">
        <v>18</v>
      </c>
      <c r="U86" s="163">
        <f t="shared" si="109"/>
        <v>6.3</v>
      </c>
      <c r="V86" s="193"/>
      <c r="W86" s="162" t="s">
        <v>18</v>
      </c>
      <c r="X86" s="108" t="str">
        <f t="shared" si="72"/>
        <v>cad</v>
      </c>
      <c r="Y86" s="108" t="str">
        <f t="shared" si="73"/>
        <v>cad</v>
      </c>
      <c r="Z86" s="108">
        <f t="shared" si="74"/>
        <v>2.4700000000000002</v>
      </c>
      <c r="AA86" s="108">
        <f t="shared" si="75"/>
        <v>0</v>
      </c>
      <c r="AB86" s="108">
        <f t="shared" si="76"/>
        <v>2.4700000000000002</v>
      </c>
      <c r="AC86" s="108">
        <f t="shared" si="8"/>
        <v>2.4700000000000002</v>
      </c>
      <c r="AD86" s="193"/>
      <c r="AE86" s="92" t="s">
        <v>357</v>
      </c>
      <c r="AF86" s="194">
        <f t="shared" si="103"/>
        <v>6.3</v>
      </c>
    </row>
    <row r="87" spans="1:32" s="11" customFormat="1" ht="13.8">
      <c r="A87" s="28"/>
      <c r="B87" s="167" t="s">
        <v>496</v>
      </c>
      <c r="C87" s="95" t="s">
        <v>20</v>
      </c>
      <c r="D87" s="95">
        <v>1</v>
      </c>
      <c r="E87" s="95" t="s">
        <v>57</v>
      </c>
      <c r="F87" s="95" t="s">
        <v>57</v>
      </c>
      <c r="G87" s="168">
        <v>2.34</v>
      </c>
      <c r="H87" s="118"/>
      <c r="I87" s="95">
        <f t="shared" ref="I87:I88" si="110">(G87-H87)</f>
        <v>2.34</v>
      </c>
      <c r="J87" s="95">
        <f t="shared" ref="J87:J88" si="111">I87*D87</f>
        <v>2.34</v>
      </c>
      <c r="K87" s="191"/>
      <c r="L87" s="95" t="s">
        <v>18</v>
      </c>
      <c r="M87" s="95">
        <v>1</v>
      </c>
      <c r="N87" s="168">
        <v>6.2</v>
      </c>
      <c r="O87" s="168">
        <v>2.7</v>
      </c>
      <c r="P87" s="118"/>
      <c r="Q87" s="118"/>
      <c r="R87" s="95">
        <f t="shared" si="92"/>
        <v>16.740000000000002</v>
      </c>
      <c r="S87" s="195"/>
      <c r="T87" s="108" t="s">
        <v>18</v>
      </c>
      <c r="U87" s="163">
        <f t="shared" si="109"/>
        <v>6.2</v>
      </c>
      <c r="V87" s="193"/>
      <c r="W87" s="162" t="s">
        <v>18</v>
      </c>
      <c r="X87" s="108"/>
      <c r="Y87" s="108"/>
      <c r="Z87" s="108">
        <f t="shared" si="74"/>
        <v>2.34</v>
      </c>
      <c r="AA87" s="108">
        <f t="shared" ref="AA87:AA88" si="112">H87</f>
        <v>0</v>
      </c>
      <c r="AB87" s="108">
        <f t="shared" ref="AB87:AB88" si="113">I87</f>
        <v>2.34</v>
      </c>
      <c r="AC87" s="108">
        <f t="shared" ref="AC87:AC88" si="114">J87</f>
        <v>2.34</v>
      </c>
      <c r="AD87" s="193"/>
      <c r="AE87" s="92" t="s">
        <v>357</v>
      </c>
      <c r="AF87" s="194">
        <f t="shared" si="103"/>
        <v>6.2</v>
      </c>
    </row>
    <row r="88" spans="1:32" s="11" customFormat="1" ht="13.8">
      <c r="A88" s="28"/>
      <c r="B88" s="167" t="s">
        <v>497</v>
      </c>
      <c r="C88" s="95" t="s">
        <v>20</v>
      </c>
      <c r="D88" s="95">
        <v>1</v>
      </c>
      <c r="E88" s="95" t="s">
        <v>57</v>
      </c>
      <c r="F88" s="95" t="s">
        <v>57</v>
      </c>
      <c r="G88" s="168">
        <v>2.34</v>
      </c>
      <c r="H88" s="118"/>
      <c r="I88" s="95">
        <f t="shared" si="110"/>
        <v>2.34</v>
      </c>
      <c r="J88" s="95">
        <f t="shared" si="111"/>
        <v>2.34</v>
      </c>
      <c r="K88" s="191"/>
      <c r="L88" s="95" t="s">
        <v>18</v>
      </c>
      <c r="M88" s="95">
        <v>1</v>
      </c>
      <c r="N88" s="168">
        <v>6.2</v>
      </c>
      <c r="O88" s="168">
        <v>2.7</v>
      </c>
      <c r="P88" s="118"/>
      <c r="Q88" s="118"/>
      <c r="R88" s="95">
        <f t="shared" si="92"/>
        <v>16.740000000000002</v>
      </c>
      <c r="S88" s="195"/>
      <c r="T88" s="108" t="s">
        <v>18</v>
      </c>
      <c r="U88" s="163">
        <f t="shared" si="109"/>
        <v>6.2</v>
      </c>
      <c r="V88" s="193"/>
      <c r="W88" s="162" t="s">
        <v>18</v>
      </c>
      <c r="X88" s="108"/>
      <c r="Y88" s="108"/>
      <c r="Z88" s="108">
        <f t="shared" si="74"/>
        <v>2.34</v>
      </c>
      <c r="AA88" s="108">
        <f t="shared" si="112"/>
        <v>0</v>
      </c>
      <c r="AB88" s="108">
        <f t="shared" si="113"/>
        <v>2.34</v>
      </c>
      <c r="AC88" s="108">
        <f t="shared" si="114"/>
        <v>2.34</v>
      </c>
      <c r="AD88" s="193"/>
      <c r="AE88" s="92" t="s">
        <v>357</v>
      </c>
      <c r="AF88" s="194">
        <f t="shared" si="103"/>
        <v>6.2</v>
      </c>
    </row>
    <row r="89" spans="1:32" s="11" customFormat="1" ht="13.8">
      <c r="A89" s="28"/>
      <c r="B89" s="167" t="s">
        <v>498</v>
      </c>
      <c r="C89" s="95" t="s">
        <v>20</v>
      </c>
      <c r="D89" s="95">
        <v>1</v>
      </c>
      <c r="E89" s="95" t="s">
        <v>57</v>
      </c>
      <c r="F89" s="95" t="s">
        <v>57</v>
      </c>
      <c r="G89" s="168">
        <v>2.4</v>
      </c>
      <c r="H89" s="118"/>
      <c r="I89" s="95">
        <f t="shared" ref="I89" si="115">(G89-H89)</f>
        <v>2.4</v>
      </c>
      <c r="J89" s="95">
        <f t="shared" ref="J89" si="116">I89*D89</f>
        <v>2.4</v>
      </c>
      <c r="K89" s="191"/>
      <c r="L89" s="95" t="s">
        <v>18</v>
      </c>
      <c r="M89" s="95">
        <v>1</v>
      </c>
      <c r="N89" s="168">
        <v>6.4</v>
      </c>
      <c r="O89" s="168">
        <v>2.7</v>
      </c>
      <c r="P89" s="118"/>
      <c r="Q89" s="118"/>
      <c r="R89" s="95">
        <f t="shared" si="92"/>
        <v>17.28</v>
      </c>
      <c r="S89" s="195"/>
      <c r="T89" s="108" t="s">
        <v>18</v>
      </c>
      <c r="U89" s="163">
        <f t="shared" ref="U89" si="117">N89*M89</f>
        <v>6.4</v>
      </c>
      <c r="V89" s="193"/>
      <c r="W89" s="162" t="s">
        <v>18</v>
      </c>
      <c r="X89" s="108"/>
      <c r="Y89" s="108"/>
      <c r="Z89" s="108">
        <f t="shared" ref="Z89" si="118">G89</f>
        <v>2.4</v>
      </c>
      <c r="AA89" s="108">
        <f t="shared" ref="AA89" si="119">H89</f>
        <v>0</v>
      </c>
      <c r="AB89" s="108">
        <f t="shared" ref="AB89" si="120">I89</f>
        <v>2.4</v>
      </c>
      <c r="AC89" s="108">
        <f t="shared" ref="AC89" si="121">J89</f>
        <v>2.4</v>
      </c>
      <c r="AD89" s="193"/>
      <c r="AE89" s="92" t="s">
        <v>357</v>
      </c>
      <c r="AF89" s="194">
        <f t="shared" si="103"/>
        <v>6.4</v>
      </c>
    </row>
    <row r="90" spans="1:32" s="11" customFormat="1" ht="13.8">
      <c r="A90" s="28"/>
      <c r="B90" s="167" t="s">
        <v>157</v>
      </c>
      <c r="C90" s="318" t="s">
        <v>17</v>
      </c>
      <c r="D90" s="95">
        <v>1</v>
      </c>
      <c r="E90" s="95" t="s">
        <v>57</v>
      </c>
      <c r="F90" s="95" t="s">
        <v>57</v>
      </c>
      <c r="G90" s="168">
        <v>68.12</v>
      </c>
      <c r="H90" s="118"/>
      <c r="I90" s="95">
        <f t="shared" ref="I90" si="122">(G90-H90)</f>
        <v>68.12</v>
      </c>
      <c r="J90" s="95">
        <f t="shared" ref="J90" si="123">I90*D90</f>
        <v>68.12</v>
      </c>
      <c r="K90" s="191"/>
      <c r="L90" s="95" t="s">
        <v>17</v>
      </c>
      <c r="M90" s="95">
        <v>1</v>
      </c>
      <c r="N90" s="168">
        <f>69.34-2.25</f>
        <v>67.09</v>
      </c>
      <c r="O90" s="168">
        <v>2.7</v>
      </c>
      <c r="P90" s="118"/>
      <c r="Q90" s="118"/>
      <c r="R90" s="95">
        <f t="shared" si="92"/>
        <v>181.14300000000003</v>
      </c>
      <c r="S90" s="195"/>
      <c r="T90" s="108" t="s">
        <v>21</v>
      </c>
      <c r="U90" s="163">
        <f t="shared" ref="U90:U100" si="124">N90*M90</f>
        <v>67.09</v>
      </c>
      <c r="V90" s="193"/>
      <c r="W90" s="162" t="s">
        <v>17</v>
      </c>
      <c r="X90" s="108"/>
      <c r="Y90" s="108"/>
      <c r="Z90" s="108">
        <f t="shared" si="74"/>
        <v>68.12</v>
      </c>
      <c r="AA90" s="108">
        <f t="shared" ref="AA90:AA94" si="125">H90</f>
        <v>0</v>
      </c>
      <c r="AB90" s="108">
        <f t="shared" ref="AB90:AB92" si="126">I90</f>
        <v>68.12</v>
      </c>
      <c r="AC90" s="108">
        <f t="shared" ref="AC90:AC92" si="127">J90</f>
        <v>68.12</v>
      </c>
      <c r="AD90" s="193"/>
      <c r="AE90" s="92" t="s">
        <v>357</v>
      </c>
      <c r="AF90" s="194">
        <f>N90*M90</f>
        <v>67.09</v>
      </c>
    </row>
    <row r="91" spans="1:32" s="11" customFormat="1" ht="13.8">
      <c r="A91" s="28"/>
      <c r="B91" s="167"/>
      <c r="C91" s="95"/>
      <c r="D91" s="95"/>
      <c r="E91" s="95"/>
      <c r="F91" s="95"/>
      <c r="G91" s="141"/>
      <c r="H91" s="118"/>
      <c r="I91" s="95"/>
      <c r="J91" s="95"/>
      <c r="K91" s="191"/>
      <c r="L91" s="95"/>
      <c r="M91" s="95"/>
      <c r="N91" s="95"/>
      <c r="O91" s="95"/>
      <c r="P91" s="118"/>
      <c r="Q91" s="118"/>
      <c r="R91" s="95"/>
      <c r="S91" s="195"/>
      <c r="T91" s="108"/>
      <c r="U91" s="163"/>
      <c r="V91" s="193"/>
      <c r="W91" s="166" t="s">
        <v>19</v>
      </c>
      <c r="X91" s="141"/>
      <c r="Y91" s="141"/>
      <c r="Z91" s="141">
        <v>21.1</v>
      </c>
      <c r="AA91" s="108">
        <f t="shared" si="125"/>
        <v>0</v>
      </c>
      <c r="AB91" s="141">
        <f>Z91</f>
        <v>21.1</v>
      </c>
      <c r="AC91" s="141">
        <f>Z91</f>
        <v>21.1</v>
      </c>
      <c r="AD91" s="193"/>
      <c r="AE91" s="92"/>
      <c r="AF91" s="194"/>
    </row>
    <row r="92" spans="1:32" s="11" customFormat="1" ht="13.8">
      <c r="A92" s="28"/>
      <c r="B92" s="167" t="s">
        <v>157</v>
      </c>
      <c r="C92" s="318" t="s">
        <v>17</v>
      </c>
      <c r="D92" s="95">
        <v>1</v>
      </c>
      <c r="E92" s="95" t="s">
        <v>57</v>
      </c>
      <c r="F92" s="95" t="s">
        <v>57</v>
      </c>
      <c r="G92" s="168">
        <v>23.93</v>
      </c>
      <c r="H92" s="118"/>
      <c r="I92" s="95">
        <f t="shared" ref="I92:I97" si="128">(G92-H92)</f>
        <v>23.93</v>
      </c>
      <c r="J92" s="95">
        <f t="shared" ref="J92:J97" si="129">I92*D92</f>
        <v>23.93</v>
      </c>
      <c r="K92" s="191"/>
      <c r="L92" s="95" t="s">
        <v>17</v>
      </c>
      <c r="M92" s="95">
        <v>1</v>
      </c>
      <c r="N92" s="168">
        <v>28.12</v>
      </c>
      <c r="O92" s="168">
        <v>2.7</v>
      </c>
      <c r="P92" s="118"/>
      <c r="Q92" s="118"/>
      <c r="R92" s="95">
        <f t="shared" si="92"/>
        <v>75.924000000000007</v>
      </c>
      <c r="S92" s="195"/>
      <c r="T92" s="108" t="s">
        <v>21</v>
      </c>
      <c r="U92" s="163">
        <f t="shared" si="124"/>
        <v>28.12</v>
      </c>
      <c r="V92" s="193"/>
      <c r="W92" s="162" t="s">
        <v>17</v>
      </c>
      <c r="X92" s="108" t="str">
        <f t="shared" ref="X92" si="130">E92</f>
        <v>cad</v>
      </c>
      <c r="Y92" s="108" t="str">
        <f t="shared" ref="Y92" si="131">F92</f>
        <v>cad</v>
      </c>
      <c r="Z92" s="108">
        <f t="shared" ref="Z92" si="132">G92</f>
        <v>23.93</v>
      </c>
      <c r="AA92" s="108">
        <f t="shared" si="125"/>
        <v>0</v>
      </c>
      <c r="AB92" s="108">
        <f t="shared" si="126"/>
        <v>23.93</v>
      </c>
      <c r="AC92" s="108">
        <f t="shared" si="127"/>
        <v>23.93</v>
      </c>
      <c r="AD92" s="193"/>
      <c r="AE92" s="92" t="s">
        <v>17</v>
      </c>
      <c r="AF92" s="194">
        <f>N92*M92</f>
        <v>28.12</v>
      </c>
    </row>
    <row r="93" spans="1:32" s="11" customFormat="1" ht="13.8">
      <c r="A93" s="28"/>
      <c r="B93" s="167"/>
      <c r="C93" s="95"/>
      <c r="D93" s="95"/>
      <c r="E93" s="95"/>
      <c r="F93" s="95"/>
      <c r="G93" s="141"/>
      <c r="H93" s="118"/>
      <c r="I93" s="95"/>
      <c r="J93" s="95"/>
      <c r="K93" s="191"/>
      <c r="L93" s="95"/>
      <c r="M93" s="95"/>
      <c r="N93" s="168"/>
      <c r="O93" s="168"/>
      <c r="P93" s="118"/>
      <c r="Q93" s="118"/>
      <c r="R93" s="95"/>
      <c r="S93" s="195"/>
      <c r="T93" s="108"/>
      <c r="U93" s="163"/>
      <c r="V93" s="193"/>
      <c r="W93" s="166" t="s">
        <v>19</v>
      </c>
      <c r="X93" s="141"/>
      <c r="Y93" s="141"/>
      <c r="Z93" s="141">
        <v>7.81</v>
      </c>
      <c r="AA93" s="108">
        <f t="shared" si="125"/>
        <v>0</v>
      </c>
      <c r="AB93" s="141">
        <f t="shared" ref="AB93:AB94" si="133">Z93</f>
        <v>7.81</v>
      </c>
      <c r="AC93" s="141">
        <f t="shared" ref="AC93:AC94" si="134">Z93</f>
        <v>7.81</v>
      </c>
      <c r="AD93" s="193"/>
      <c r="AE93" s="92"/>
      <c r="AF93" s="194"/>
    </row>
    <row r="94" spans="1:32" s="11" customFormat="1" ht="13.8">
      <c r="A94" s="28"/>
      <c r="B94" s="167"/>
      <c r="C94" s="95"/>
      <c r="D94" s="95"/>
      <c r="E94" s="95"/>
      <c r="F94" s="95"/>
      <c r="G94" s="141"/>
      <c r="H94" s="118"/>
      <c r="I94" s="95"/>
      <c r="J94" s="95"/>
      <c r="K94" s="191"/>
      <c r="L94" s="95"/>
      <c r="M94" s="95"/>
      <c r="N94" s="168"/>
      <c r="O94" s="168"/>
      <c r="P94" s="118"/>
      <c r="Q94" s="118"/>
      <c r="R94" s="95"/>
      <c r="S94" s="195"/>
      <c r="T94" s="108"/>
      <c r="U94" s="163"/>
      <c r="V94" s="193"/>
      <c r="W94" s="166" t="s">
        <v>24</v>
      </c>
      <c r="X94" s="141"/>
      <c r="Y94" s="141"/>
      <c r="Z94" s="141">
        <v>3.13</v>
      </c>
      <c r="AA94" s="108">
        <f t="shared" si="125"/>
        <v>0</v>
      </c>
      <c r="AB94" s="141">
        <f t="shared" si="133"/>
        <v>3.13</v>
      </c>
      <c r="AC94" s="141">
        <f t="shared" si="134"/>
        <v>3.13</v>
      </c>
      <c r="AD94" s="193"/>
      <c r="AE94" s="92"/>
      <c r="AF94" s="194"/>
    </row>
    <row r="95" spans="1:32" s="11" customFormat="1" ht="13.8">
      <c r="A95" s="28"/>
      <c r="B95" s="161" t="s">
        <v>157</v>
      </c>
      <c r="C95" s="318" t="s">
        <v>17</v>
      </c>
      <c r="D95" s="95">
        <v>1</v>
      </c>
      <c r="E95" s="95" t="s">
        <v>57</v>
      </c>
      <c r="F95" s="95" t="s">
        <v>57</v>
      </c>
      <c r="G95" s="123">
        <v>51.88</v>
      </c>
      <c r="H95" s="118"/>
      <c r="I95" s="95">
        <f t="shared" si="128"/>
        <v>51.88</v>
      </c>
      <c r="J95" s="95">
        <f t="shared" si="129"/>
        <v>51.88</v>
      </c>
      <c r="K95" s="191"/>
      <c r="L95" s="95" t="s">
        <v>17</v>
      </c>
      <c r="M95" s="95">
        <v>1</v>
      </c>
      <c r="N95" s="123">
        <f>53.66-2.08</f>
        <v>51.58</v>
      </c>
      <c r="O95" s="123">
        <v>2.7</v>
      </c>
      <c r="P95" s="118"/>
      <c r="Q95" s="118"/>
      <c r="R95" s="95">
        <f t="shared" si="92"/>
        <v>139.26599999999999</v>
      </c>
      <c r="S95" s="195"/>
      <c r="T95" s="108" t="s">
        <v>21</v>
      </c>
      <c r="U95" s="163">
        <f t="shared" si="124"/>
        <v>51.58</v>
      </c>
      <c r="V95" s="193"/>
      <c r="W95" s="162" t="s">
        <v>17</v>
      </c>
      <c r="X95" s="108" t="str">
        <f t="shared" si="72"/>
        <v>cad</v>
      </c>
      <c r="Y95" s="108" t="str">
        <f t="shared" si="73"/>
        <v>cad</v>
      </c>
      <c r="Z95" s="108">
        <f t="shared" si="74"/>
        <v>51.88</v>
      </c>
      <c r="AA95" s="108">
        <f t="shared" si="75"/>
        <v>0</v>
      </c>
      <c r="AB95" s="108">
        <f t="shared" si="76"/>
        <v>51.88</v>
      </c>
      <c r="AC95" s="108">
        <f t="shared" si="8"/>
        <v>51.88</v>
      </c>
      <c r="AD95" s="193"/>
      <c r="AE95" s="92" t="s">
        <v>17</v>
      </c>
      <c r="AF95" s="194">
        <f>N95*M95</f>
        <v>51.58</v>
      </c>
    </row>
    <row r="96" spans="1:32" s="11" customFormat="1" ht="13.8">
      <c r="A96" s="28"/>
      <c r="B96" s="161"/>
      <c r="C96" s="95"/>
      <c r="D96" s="95"/>
      <c r="E96" s="95"/>
      <c r="F96" s="95"/>
      <c r="G96" s="141"/>
      <c r="H96" s="118"/>
      <c r="I96" s="95"/>
      <c r="J96" s="95"/>
      <c r="K96" s="191"/>
      <c r="L96" s="95"/>
      <c r="M96" s="95"/>
      <c r="N96" s="95"/>
      <c r="O96" s="95"/>
      <c r="P96" s="118"/>
      <c r="Q96" s="118"/>
      <c r="R96" s="95"/>
      <c r="S96" s="195"/>
      <c r="T96" s="108"/>
      <c r="U96" s="163"/>
      <c r="V96" s="193"/>
      <c r="W96" s="166" t="s">
        <v>19</v>
      </c>
      <c r="X96" s="141"/>
      <c r="Y96" s="141"/>
      <c r="Z96" s="141">
        <v>26.56</v>
      </c>
      <c r="AA96" s="108">
        <f t="shared" si="75"/>
        <v>0</v>
      </c>
      <c r="AB96" s="141">
        <f t="shared" ref="AB96" si="135">Z96</f>
        <v>26.56</v>
      </c>
      <c r="AC96" s="141">
        <f t="shared" ref="AC96" si="136">Z96</f>
        <v>26.56</v>
      </c>
      <c r="AD96" s="193"/>
      <c r="AE96" s="92"/>
      <c r="AF96" s="194"/>
    </row>
    <row r="97" spans="1:32" s="11" customFormat="1" ht="13.8">
      <c r="A97" s="28"/>
      <c r="B97" s="167" t="s">
        <v>154</v>
      </c>
      <c r="C97" s="318" t="s">
        <v>17</v>
      </c>
      <c r="D97" s="95">
        <v>1</v>
      </c>
      <c r="E97" s="95" t="s">
        <v>57</v>
      </c>
      <c r="F97" s="95" t="s">
        <v>57</v>
      </c>
      <c r="G97" s="168">
        <v>14.53</v>
      </c>
      <c r="H97" s="118"/>
      <c r="I97" s="95">
        <f t="shared" si="128"/>
        <v>14.53</v>
      </c>
      <c r="J97" s="95">
        <f t="shared" si="129"/>
        <v>14.53</v>
      </c>
      <c r="K97" s="191"/>
      <c r="L97" s="95" t="s">
        <v>17</v>
      </c>
      <c r="M97" s="95">
        <v>1</v>
      </c>
      <c r="N97" s="168">
        <f>15.78-2.08</f>
        <v>13.7</v>
      </c>
      <c r="O97" s="168">
        <v>2.7</v>
      </c>
      <c r="P97" s="118"/>
      <c r="Q97" s="118"/>
      <c r="R97" s="95">
        <f t="shared" si="92"/>
        <v>36.99</v>
      </c>
      <c r="S97" s="195"/>
      <c r="T97" s="108" t="s">
        <v>21</v>
      </c>
      <c r="U97" s="163">
        <f t="shared" si="124"/>
        <v>13.7</v>
      </c>
      <c r="V97" s="193"/>
      <c r="W97" s="162" t="s">
        <v>17</v>
      </c>
      <c r="X97" s="108"/>
      <c r="Y97" s="108"/>
      <c r="Z97" s="108">
        <f t="shared" si="74"/>
        <v>14.53</v>
      </c>
      <c r="AA97" s="108">
        <f t="shared" ref="AA97:AA100" si="137">H97</f>
        <v>0</v>
      </c>
      <c r="AB97" s="108">
        <f t="shared" ref="AB97" si="138">I97</f>
        <v>14.53</v>
      </c>
      <c r="AC97" s="108">
        <f t="shared" ref="AC97" si="139">J97</f>
        <v>14.53</v>
      </c>
      <c r="AD97" s="193"/>
      <c r="AE97" s="92" t="s">
        <v>17</v>
      </c>
      <c r="AF97" s="194">
        <f>N97*M97</f>
        <v>13.7</v>
      </c>
    </row>
    <row r="98" spans="1:32" s="11" customFormat="1" ht="13.8">
      <c r="A98" s="28"/>
      <c r="B98" s="167"/>
      <c r="C98" s="95"/>
      <c r="D98" s="95"/>
      <c r="E98" s="95"/>
      <c r="F98" s="95"/>
      <c r="G98" s="141"/>
      <c r="H98" s="118"/>
      <c r="I98" s="95"/>
      <c r="J98" s="95"/>
      <c r="K98" s="191"/>
      <c r="L98" s="95"/>
      <c r="M98" s="95"/>
      <c r="N98" s="168"/>
      <c r="O98" s="168"/>
      <c r="P98" s="118"/>
      <c r="Q98" s="118"/>
      <c r="R98" s="95"/>
      <c r="S98" s="195"/>
      <c r="T98" s="108"/>
      <c r="U98" s="163"/>
      <c r="V98" s="193"/>
      <c r="W98" s="166" t="s">
        <v>24</v>
      </c>
      <c r="X98" s="141"/>
      <c r="Y98" s="141"/>
      <c r="Z98" s="141">
        <v>7.83</v>
      </c>
      <c r="AA98" s="108">
        <f t="shared" si="137"/>
        <v>0</v>
      </c>
      <c r="AB98" s="141">
        <f t="shared" ref="AB98" si="140">Z98</f>
        <v>7.83</v>
      </c>
      <c r="AC98" s="141">
        <f t="shared" ref="AC98" si="141">Z98</f>
        <v>7.83</v>
      </c>
      <c r="AD98" s="193"/>
      <c r="AE98" s="92"/>
      <c r="AF98" s="194"/>
    </row>
    <row r="99" spans="1:32" s="11" customFormat="1" ht="13.8">
      <c r="A99" s="28"/>
      <c r="B99" s="167" t="s">
        <v>154</v>
      </c>
      <c r="C99" s="318" t="s">
        <v>17</v>
      </c>
      <c r="D99" s="95">
        <v>1</v>
      </c>
      <c r="E99" s="95" t="s">
        <v>57</v>
      </c>
      <c r="F99" s="95" t="s">
        <v>57</v>
      </c>
      <c r="G99" s="168">
        <v>2.34</v>
      </c>
      <c r="H99" s="118"/>
      <c r="I99" s="95">
        <f t="shared" ref="I99" si="142">(G99-H99)</f>
        <v>2.34</v>
      </c>
      <c r="J99" s="95">
        <f t="shared" ref="J99" si="143">I99*D99</f>
        <v>2.34</v>
      </c>
      <c r="K99" s="191"/>
      <c r="L99" s="95" t="s">
        <v>17</v>
      </c>
      <c r="M99" s="95">
        <v>1</v>
      </c>
      <c r="N99" s="168">
        <f>6.28-1.95</f>
        <v>4.33</v>
      </c>
      <c r="O99" s="168">
        <v>2.7</v>
      </c>
      <c r="P99" s="118"/>
      <c r="Q99" s="118"/>
      <c r="R99" s="95">
        <f t="shared" si="92"/>
        <v>11.691000000000001</v>
      </c>
      <c r="S99" s="195"/>
      <c r="T99" s="108" t="s">
        <v>21</v>
      </c>
      <c r="U99" s="163">
        <f t="shared" si="124"/>
        <v>4.33</v>
      </c>
      <c r="V99" s="193"/>
      <c r="W99" s="162" t="s">
        <v>17</v>
      </c>
      <c r="X99" s="108"/>
      <c r="Y99" s="108"/>
      <c r="Z99" s="108">
        <f t="shared" si="74"/>
        <v>2.34</v>
      </c>
      <c r="AA99" s="108">
        <f t="shared" si="137"/>
        <v>0</v>
      </c>
      <c r="AB99" s="108">
        <f t="shared" ref="AB99" si="144">I99</f>
        <v>2.34</v>
      </c>
      <c r="AC99" s="108">
        <f t="shared" ref="AC99" si="145">J99</f>
        <v>2.34</v>
      </c>
      <c r="AD99" s="193"/>
      <c r="AE99" s="92" t="s">
        <v>357</v>
      </c>
      <c r="AF99" s="194">
        <f t="shared" ref="AF99:AF101" si="146">N99*M99</f>
        <v>4.33</v>
      </c>
    </row>
    <row r="100" spans="1:32" s="11" customFormat="1" ht="13.8">
      <c r="A100" s="28"/>
      <c r="B100" s="167" t="s">
        <v>154</v>
      </c>
      <c r="C100" s="95" t="s">
        <v>17</v>
      </c>
      <c r="D100" s="95">
        <v>1</v>
      </c>
      <c r="E100" s="95" t="s">
        <v>57</v>
      </c>
      <c r="F100" s="95" t="s">
        <v>57</v>
      </c>
      <c r="G100" s="168">
        <v>4.12</v>
      </c>
      <c r="H100" s="118"/>
      <c r="I100" s="95">
        <f t="shared" ref="I100" si="147">(G100-H100)</f>
        <v>4.12</v>
      </c>
      <c r="J100" s="95">
        <f t="shared" ref="J100" si="148">I100*D100</f>
        <v>4.12</v>
      </c>
      <c r="K100" s="191"/>
      <c r="L100" s="95" t="s">
        <v>17</v>
      </c>
      <c r="M100" s="95">
        <v>1</v>
      </c>
      <c r="N100" s="168">
        <f>8.41-2.65</f>
        <v>5.76</v>
      </c>
      <c r="O100" s="168">
        <v>2.7</v>
      </c>
      <c r="P100" s="118"/>
      <c r="Q100" s="118"/>
      <c r="R100" s="95">
        <f t="shared" si="92"/>
        <v>15.552</v>
      </c>
      <c r="S100" s="195"/>
      <c r="T100" s="108" t="s">
        <v>17</v>
      </c>
      <c r="U100" s="163">
        <f t="shared" si="124"/>
        <v>5.76</v>
      </c>
      <c r="V100" s="193"/>
      <c r="W100" s="162" t="s">
        <v>17</v>
      </c>
      <c r="X100" s="108"/>
      <c r="Y100" s="108"/>
      <c r="Z100" s="108">
        <f t="shared" si="74"/>
        <v>4.12</v>
      </c>
      <c r="AA100" s="108">
        <f t="shared" si="137"/>
        <v>0</v>
      </c>
      <c r="AB100" s="108">
        <f t="shared" ref="AB100" si="149">I100</f>
        <v>4.12</v>
      </c>
      <c r="AC100" s="108">
        <f t="shared" ref="AC100" si="150">J100</f>
        <v>4.12</v>
      </c>
      <c r="AD100" s="193"/>
      <c r="AE100" s="92" t="s">
        <v>17</v>
      </c>
      <c r="AF100" s="194">
        <f t="shared" si="146"/>
        <v>5.76</v>
      </c>
    </row>
    <row r="101" spans="1:32" s="11" customFormat="1" ht="13.8">
      <c r="A101" s="28"/>
      <c r="B101" s="167" t="s">
        <v>490</v>
      </c>
      <c r="C101" s="95" t="s">
        <v>17</v>
      </c>
      <c r="D101" s="95">
        <v>1</v>
      </c>
      <c r="E101" s="95" t="s">
        <v>57</v>
      </c>
      <c r="F101" s="95" t="s">
        <v>57</v>
      </c>
      <c r="G101" s="168">
        <v>38.54</v>
      </c>
      <c r="H101" s="118"/>
      <c r="I101" s="95">
        <f t="shared" ref="I101:I104" si="151">(G101-H101)</f>
        <v>38.54</v>
      </c>
      <c r="J101" s="95">
        <f t="shared" ref="J101:J104" si="152">I101*D101</f>
        <v>38.54</v>
      </c>
      <c r="K101" s="191"/>
      <c r="L101" s="95" t="s">
        <v>17</v>
      </c>
      <c r="M101" s="95">
        <v>1</v>
      </c>
      <c r="N101" s="168">
        <f>24.9-8.45</f>
        <v>16.45</v>
      </c>
      <c r="O101" s="168">
        <v>2.7</v>
      </c>
      <c r="P101" s="118"/>
      <c r="Q101" s="118"/>
      <c r="R101" s="95">
        <f t="shared" si="92"/>
        <v>44.414999999999999</v>
      </c>
      <c r="S101" s="195"/>
      <c r="T101" s="108" t="s">
        <v>17</v>
      </c>
      <c r="U101" s="163">
        <f t="shared" ref="U101:U104" si="153">N101*M101</f>
        <v>16.45</v>
      </c>
      <c r="V101" s="193"/>
      <c r="W101" s="162" t="s">
        <v>17</v>
      </c>
      <c r="X101" s="108"/>
      <c r="Y101" s="108"/>
      <c r="Z101" s="108">
        <f t="shared" si="74"/>
        <v>38.54</v>
      </c>
      <c r="AA101" s="108">
        <f t="shared" ref="AA101" si="154">H101</f>
        <v>0</v>
      </c>
      <c r="AB101" s="108">
        <f t="shared" ref="AB101" si="155">I101</f>
        <v>38.54</v>
      </c>
      <c r="AC101" s="108">
        <f t="shared" ref="AC101" si="156">J101</f>
        <v>38.54</v>
      </c>
      <c r="AD101" s="193"/>
      <c r="AE101" s="92" t="s">
        <v>17</v>
      </c>
      <c r="AF101" s="194">
        <f t="shared" si="146"/>
        <v>16.45</v>
      </c>
    </row>
    <row r="102" spans="1:32" s="11" customFormat="1" ht="13.8">
      <c r="A102" s="28"/>
      <c r="B102" s="167"/>
      <c r="C102" s="95"/>
      <c r="D102" s="95"/>
      <c r="E102" s="95"/>
      <c r="F102" s="95"/>
      <c r="G102" s="141"/>
      <c r="H102" s="118"/>
      <c r="I102" s="95"/>
      <c r="J102" s="95"/>
      <c r="K102" s="191"/>
      <c r="L102" s="95"/>
      <c r="M102" s="95"/>
      <c r="N102" s="95"/>
      <c r="O102" s="95"/>
      <c r="P102" s="118"/>
      <c r="Q102" s="118"/>
      <c r="R102" s="95"/>
      <c r="S102" s="195"/>
      <c r="T102" s="108"/>
      <c r="U102" s="163"/>
      <c r="V102" s="193"/>
      <c r="W102" s="166" t="s">
        <v>24</v>
      </c>
      <c r="X102" s="141"/>
      <c r="Y102" s="141"/>
      <c r="Z102" s="141">
        <v>24.66</v>
      </c>
      <c r="AA102" s="108"/>
      <c r="AB102" s="141">
        <f t="shared" ref="AB102" si="157">Z102</f>
        <v>24.66</v>
      </c>
      <c r="AC102" s="141">
        <f t="shared" ref="AC102" si="158">Z102</f>
        <v>24.66</v>
      </c>
      <c r="AD102" s="193"/>
      <c r="AE102" s="92"/>
      <c r="AF102" s="194"/>
    </row>
    <row r="103" spans="1:32" s="11" customFormat="1" ht="13.8">
      <c r="A103" s="28"/>
      <c r="B103" s="167" t="s">
        <v>491</v>
      </c>
      <c r="C103" s="95" t="s">
        <v>17</v>
      </c>
      <c r="D103" s="95">
        <v>1</v>
      </c>
      <c r="E103" s="95" t="s">
        <v>57</v>
      </c>
      <c r="F103" s="95" t="s">
        <v>57</v>
      </c>
      <c r="G103" s="168">
        <v>17.059999999999999</v>
      </c>
      <c r="H103" s="118"/>
      <c r="I103" s="95">
        <f t="shared" si="151"/>
        <v>17.059999999999999</v>
      </c>
      <c r="J103" s="95">
        <f t="shared" si="152"/>
        <v>17.059999999999999</v>
      </c>
      <c r="K103" s="191"/>
      <c r="L103" s="95" t="s">
        <v>17</v>
      </c>
      <c r="M103" s="95">
        <v>1</v>
      </c>
      <c r="N103" s="168">
        <f>16.71-8.39</f>
        <v>8.32</v>
      </c>
      <c r="O103" s="168">
        <v>2.7</v>
      </c>
      <c r="P103" s="118"/>
      <c r="Q103" s="118"/>
      <c r="R103" s="95">
        <f t="shared" si="92"/>
        <v>22.464000000000002</v>
      </c>
      <c r="S103" s="195"/>
      <c r="T103" s="108" t="s">
        <v>17</v>
      </c>
      <c r="U103" s="163">
        <f t="shared" si="153"/>
        <v>8.32</v>
      </c>
      <c r="V103" s="193"/>
      <c r="W103" s="162" t="s">
        <v>17</v>
      </c>
      <c r="X103" s="108"/>
      <c r="Y103" s="108"/>
      <c r="Z103" s="108">
        <f t="shared" si="74"/>
        <v>17.059999999999999</v>
      </c>
      <c r="AA103" s="108">
        <f t="shared" ref="AA103:AA104" si="159">H103</f>
        <v>0</v>
      </c>
      <c r="AB103" s="108">
        <f t="shared" ref="AB103:AB104" si="160">I103</f>
        <v>17.059999999999999</v>
      </c>
      <c r="AC103" s="108">
        <f t="shared" ref="AC103:AC104" si="161">J103</f>
        <v>17.059999999999999</v>
      </c>
      <c r="AD103" s="193"/>
      <c r="AE103" s="92" t="s">
        <v>17</v>
      </c>
      <c r="AF103" s="194">
        <f t="shared" ref="AF103:AF104" si="162">N103*M103</f>
        <v>8.32</v>
      </c>
    </row>
    <row r="104" spans="1:32" s="11" customFormat="1" ht="13.8">
      <c r="A104" s="28"/>
      <c r="B104" s="167" t="s">
        <v>157</v>
      </c>
      <c r="C104" s="95" t="s">
        <v>17</v>
      </c>
      <c r="D104" s="95">
        <v>1</v>
      </c>
      <c r="E104" s="95" t="s">
        <v>57</v>
      </c>
      <c r="F104" s="95" t="s">
        <v>57</v>
      </c>
      <c r="G104" s="168">
        <v>7.41</v>
      </c>
      <c r="H104" s="118"/>
      <c r="I104" s="95">
        <f t="shared" si="151"/>
        <v>7.41</v>
      </c>
      <c r="J104" s="95">
        <f t="shared" si="152"/>
        <v>7.41</v>
      </c>
      <c r="K104" s="191"/>
      <c r="L104" s="95" t="s">
        <v>17</v>
      </c>
      <c r="M104" s="95">
        <v>1</v>
      </c>
      <c r="N104" s="168">
        <f>12.87-4.31</f>
        <v>8.5599999999999987</v>
      </c>
      <c r="O104" s="168">
        <v>2.7</v>
      </c>
      <c r="P104" s="118"/>
      <c r="Q104" s="118"/>
      <c r="R104" s="95">
        <f t="shared" si="92"/>
        <v>23.111999999999998</v>
      </c>
      <c r="S104" s="195"/>
      <c r="T104" s="108" t="s">
        <v>17</v>
      </c>
      <c r="U104" s="163">
        <f t="shared" si="153"/>
        <v>8.5599999999999987</v>
      </c>
      <c r="V104" s="193"/>
      <c r="W104" s="162" t="s">
        <v>17</v>
      </c>
      <c r="X104" s="108"/>
      <c r="Y104" s="108"/>
      <c r="Z104" s="108">
        <f t="shared" si="74"/>
        <v>7.41</v>
      </c>
      <c r="AA104" s="108">
        <f t="shared" si="159"/>
        <v>0</v>
      </c>
      <c r="AB104" s="108">
        <f t="shared" si="160"/>
        <v>7.41</v>
      </c>
      <c r="AC104" s="108">
        <f t="shared" si="161"/>
        <v>7.41</v>
      </c>
      <c r="AD104" s="193"/>
      <c r="AE104" s="92" t="s">
        <v>17</v>
      </c>
      <c r="AF104" s="194">
        <f t="shared" si="162"/>
        <v>8.5599999999999987</v>
      </c>
    </row>
    <row r="105" spans="1:32" s="11" customFormat="1" ht="13.8">
      <c r="A105" s="28"/>
      <c r="B105" s="167"/>
      <c r="C105" s="95"/>
      <c r="D105" s="95"/>
      <c r="E105" s="95"/>
      <c r="F105" s="95"/>
      <c r="G105" s="168"/>
      <c r="H105" s="118"/>
      <c r="I105" s="95"/>
      <c r="J105" s="95"/>
      <c r="K105" s="191"/>
      <c r="L105" s="95"/>
      <c r="M105" s="95"/>
      <c r="N105" s="168"/>
      <c r="O105" s="168"/>
      <c r="P105" s="118"/>
      <c r="Q105" s="118"/>
      <c r="R105" s="95"/>
      <c r="S105" s="195"/>
      <c r="T105" s="108"/>
      <c r="U105" s="163"/>
      <c r="V105" s="193"/>
      <c r="W105" s="162"/>
      <c r="X105" s="108"/>
      <c r="Y105" s="108"/>
      <c r="Z105" s="108"/>
      <c r="AA105" s="108"/>
      <c r="AB105" s="108"/>
      <c r="AC105" s="108"/>
      <c r="AD105" s="193"/>
      <c r="AE105" s="92"/>
      <c r="AF105" s="194"/>
    </row>
    <row r="106" spans="1:32" s="11" customFormat="1" ht="13.8">
      <c r="A106" s="28"/>
      <c r="B106" s="161" t="s">
        <v>212</v>
      </c>
      <c r="C106" s="95" t="s">
        <v>20</v>
      </c>
      <c r="D106" s="95">
        <v>1</v>
      </c>
      <c r="E106" s="95" t="s">
        <v>57</v>
      </c>
      <c r="F106" s="95" t="s">
        <v>57</v>
      </c>
      <c r="G106" s="123">
        <v>5.56</v>
      </c>
      <c r="H106" s="118"/>
      <c r="I106" s="95">
        <f t="shared" si="90"/>
        <v>5.56</v>
      </c>
      <c r="J106" s="95">
        <f t="shared" si="91"/>
        <v>5.56</v>
      </c>
      <c r="K106" s="191"/>
      <c r="L106" s="95" t="s">
        <v>18</v>
      </c>
      <c r="M106" s="95">
        <v>1</v>
      </c>
      <c r="N106" s="123">
        <v>9.59</v>
      </c>
      <c r="O106" s="123">
        <v>2.7</v>
      </c>
      <c r="P106" s="118"/>
      <c r="Q106" s="118"/>
      <c r="R106" s="95">
        <f t="shared" si="92"/>
        <v>25.893000000000001</v>
      </c>
      <c r="S106" s="195"/>
      <c r="T106" s="108" t="s">
        <v>18</v>
      </c>
      <c r="U106" s="163">
        <f t="shared" ref="U106:U107" si="163">N106*M106</f>
        <v>9.59</v>
      </c>
      <c r="V106" s="193"/>
      <c r="W106" s="162" t="s">
        <v>18</v>
      </c>
      <c r="X106" s="108" t="str">
        <f t="shared" si="72"/>
        <v>cad</v>
      </c>
      <c r="Y106" s="108" t="str">
        <f t="shared" si="73"/>
        <v>cad</v>
      </c>
      <c r="Z106" s="108">
        <f t="shared" si="74"/>
        <v>5.56</v>
      </c>
      <c r="AA106" s="108">
        <f t="shared" si="75"/>
        <v>0</v>
      </c>
      <c r="AB106" s="108">
        <f t="shared" si="76"/>
        <v>5.56</v>
      </c>
      <c r="AC106" s="108">
        <f t="shared" si="8"/>
        <v>5.56</v>
      </c>
      <c r="AD106" s="193"/>
      <c r="AE106" s="92" t="s">
        <v>357</v>
      </c>
      <c r="AF106" s="194">
        <f t="shared" ref="AF106:AF108" si="164">N106*M106</f>
        <v>9.59</v>
      </c>
    </row>
    <row r="107" spans="1:32" s="11" customFormat="1" ht="13.8">
      <c r="A107" s="28"/>
      <c r="B107" s="161" t="s">
        <v>213</v>
      </c>
      <c r="C107" s="95" t="s">
        <v>20</v>
      </c>
      <c r="D107" s="95">
        <v>1</v>
      </c>
      <c r="E107" s="95" t="s">
        <v>57</v>
      </c>
      <c r="F107" s="95" t="s">
        <v>57</v>
      </c>
      <c r="G107" s="123">
        <v>5.56</v>
      </c>
      <c r="H107" s="118"/>
      <c r="I107" s="95">
        <f t="shared" si="90"/>
        <v>5.56</v>
      </c>
      <c r="J107" s="95">
        <f t="shared" si="91"/>
        <v>5.56</v>
      </c>
      <c r="K107" s="191"/>
      <c r="L107" s="95" t="s">
        <v>18</v>
      </c>
      <c r="M107" s="95">
        <v>1</v>
      </c>
      <c r="N107" s="95">
        <v>9.6</v>
      </c>
      <c r="O107" s="123">
        <v>2.7</v>
      </c>
      <c r="P107" s="118"/>
      <c r="Q107" s="118"/>
      <c r="R107" s="95">
        <f t="shared" si="92"/>
        <v>25.92</v>
      </c>
      <c r="S107" s="195"/>
      <c r="T107" s="108" t="s">
        <v>18</v>
      </c>
      <c r="U107" s="163">
        <f t="shared" si="163"/>
        <v>9.6</v>
      </c>
      <c r="V107" s="193"/>
      <c r="W107" s="162" t="s">
        <v>18</v>
      </c>
      <c r="X107" s="108" t="str">
        <f t="shared" si="72"/>
        <v>cad</v>
      </c>
      <c r="Y107" s="108" t="str">
        <f t="shared" si="73"/>
        <v>cad</v>
      </c>
      <c r="Z107" s="108">
        <f t="shared" si="74"/>
        <v>5.56</v>
      </c>
      <c r="AA107" s="108">
        <f t="shared" si="75"/>
        <v>0</v>
      </c>
      <c r="AB107" s="108">
        <f t="shared" si="76"/>
        <v>5.56</v>
      </c>
      <c r="AC107" s="108">
        <f t="shared" si="8"/>
        <v>5.56</v>
      </c>
      <c r="AD107" s="193"/>
      <c r="AE107" s="92" t="s">
        <v>357</v>
      </c>
      <c r="AF107" s="194">
        <f t="shared" si="164"/>
        <v>9.6</v>
      </c>
    </row>
    <row r="108" spans="1:32" s="11" customFormat="1" ht="13.8">
      <c r="A108" s="28"/>
      <c r="B108" s="167" t="s">
        <v>489</v>
      </c>
      <c r="C108" s="318" t="s">
        <v>17</v>
      </c>
      <c r="D108" s="95">
        <v>1</v>
      </c>
      <c r="E108" s="95" t="s">
        <v>57</v>
      </c>
      <c r="F108" s="95" t="s">
        <v>57</v>
      </c>
      <c r="G108" s="168">
        <v>35.21</v>
      </c>
      <c r="H108" s="118"/>
      <c r="I108" s="95">
        <f t="shared" ref="I108" si="165">(G108-H108)</f>
        <v>35.21</v>
      </c>
      <c r="J108" s="95">
        <f t="shared" ref="J108" si="166">I108*D108</f>
        <v>35.21</v>
      </c>
      <c r="K108" s="191"/>
      <c r="L108" s="95" t="s">
        <v>17</v>
      </c>
      <c r="M108" s="95">
        <v>1</v>
      </c>
      <c r="N108" s="168">
        <f>36.11-6.75</f>
        <v>29.36</v>
      </c>
      <c r="O108" s="168">
        <v>2.7</v>
      </c>
      <c r="P108" s="118"/>
      <c r="Q108" s="118"/>
      <c r="R108" s="95">
        <f t="shared" si="92"/>
        <v>79.272000000000006</v>
      </c>
      <c r="S108" s="195"/>
      <c r="T108" s="108" t="s">
        <v>21</v>
      </c>
      <c r="U108" s="163">
        <f>N108*M108</f>
        <v>29.36</v>
      </c>
      <c r="V108" s="193"/>
      <c r="W108" s="162" t="s">
        <v>17</v>
      </c>
      <c r="X108" s="108"/>
      <c r="Y108" s="108"/>
      <c r="Z108" s="108">
        <f t="shared" si="74"/>
        <v>35.21</v>
      </c>
      <c r="AA108" s="108">
        <f t="shared" si="75"/>
        <v>0</v>
      </c>
      <c r="AB108" s="108">
        <f t="shared" ref="AB108" si="167">I108</f>
        <v>35.21</v>
      </c>
      <c r="AC108" s="108">
        <f t="shared" ref="AC108" si="168">J108</f>
        <v>35.21</v>
      </c>
      <c r="AD108" s="193"/>
      <c r="AE108" s="92" t="s">
        <v>17</v>
      </c>
      <c r="AF108" s="194">
        <f t="shared" si="164"/>
        <v>29.36</v>
      </c>
    </row>
    <row r="109" spans="1:32" s="11" customFormat="1" ht="13.8">
      <c r="A109" s="28"/>
      <c r="B109" s="167"/>
      <c r="C109" s="95"/>
      <c r="D109" s="95"/>
      <c r="E109" s="95"/>
      <c r="F109" s="95"/>
      <c r="G109" s="141"/>
      <c r="H109" s="118"/>
      <c r="I109" s="95"/>
      <c r="J109" s="95"/>
      <c r="K109" s="191"/>
      <c r="L109" s="95"/>
      <c r="M109" s="95"/>
      <c r="N109" s="95"/>
      <c r="O109" s="95"/>
      <c r="P109" s="118"/>
      <c r="Q109" s="118"/>
      <c r="R109" s="95"/>
      <c r="S109" s="195"/>
      <c r="T109" s="108"/>
      <c r="U109" s="163"/>
      <c r="V109" s="193"/>
      <c r="W109" s="166" t="s">
        <v>19</v>
      </c>
      <c r="X109" s="141"/>
      <c r="Y109" s="141"/>
      <c r="Z109" s="141">
        <v>14.06</v>
      </c>
      <c r="AA109" s="108">
        <f t="shared" si="75"/>
        <v>0</v>
      </c>
      <c r="AB109" s="141">
        <f t="shared" ref="AB109:AB110" si="169">Z109</f>
        <v>14.06</v>
      </c>
      <c r="AC109" s="141">
        <f t="shared" ref="AC109:AC110" si="170">Z109</f>
        <v>14.06</v>
      </c>
      <c r="AD109" s="193"/>
      <c r="AE109" s="92"/>
      <c r="AF109" s="194"/>
    </row>
    <row r="110" spans="1:32" s="11" customFormat="1" ht="13.8">
      <c r="A110" s="28"/>
      <c r="B110" s="167"/>
      <c r="C110" s="95"/>
      <c r="D110" s="95"/>
      <c r="E110" s="95"/>
      <c r="F110" s="95"/>
      <c r="G110" s="141"/>
      <c r="H110" s="118"/>
      <c r="I110" s="95"/>
      <c r="J110" s="95"/>
      <c r="K110" s="191"/>
      <c r="L110" s="95"/>
      <c r="M110" s="95"/>
      <c r="N110" s="95"/>
      <c r="O110" s="95"/>
      <c r="P110" s="118"/>
      <c r="Q110" s="118"/>
      <c r="R110" s="95"/>
      <c r="S110" s="195"/>
      <c r="T110" s="108"/>
      <c r="U110" s="163"/>
      <c r="V110" s="193"/>
      <c r="W110" s="166" t="s">
        <v>24</v>
      </c>
      <c r="X110" s="141"/>
      <c r="Y110" s="141"/>
      <c r="Z110" s="141">
        <v>1.56</v>
      </c>
      <c r="AA110" s="108">
        <f t="shared" si="75"/>
        <v>0</v>
      </c>
      <c r="AB110" s="141">
        <f t="shared" si="169"/>
        <v>1.56</v>
      </c>
      <c r="AC110" s="141">
        <f t="shared" si="170"/>
        <v>1.56</v>
      </c>
      <c r="AD110" s="193"/>
      <c r="AE110" s="92"/>
      <c r="AF110" s="194"/>
    </row>
    <row r="111" spans="1:32" s="11" customFormat="1" ht="13.8">
      <c r="A111" s="28"/>
      <c r="B111" s="161" t="s">
        <v>214</v>
      </c>
      <c r="C111" s="318" t="s">
        <v>17</v>
      </c>
      <c r="D111" s="95">
        <v>1</v>
      </c>
      <c r="E111" s="95" t="s">
        <v>57</v>
      </c>
      <c r="F111" s="95" t="s">
        <v>57</v>
      </c>
      <c r="G111" s="123">
        <v>12.59</v>
      </c>
      <c r="H111" s="118"/>
      <c r="I111" s="95">
        <f t="shared" si="90"/>
        <v>12.59</v>
      </c>
      <c r="J111" s="95">
        <f t="shared" si="91"/>
        <v>12.59</v>
      </c>
      <c r="K111" s="191"/>
      <c r="L111" s="95" t="s">
        <v>19</v>
      </c>
      <c r="M111" s="95">
        <v>1</v>
      </c>
      <c r="N111" s="123">
        <v>14.69</v>
      </c>
      <c r="O111" s="123">
        <v>2.7</v>
      </c>
      <c r="P111" s="118"/>
      <c r="Q111" s="118"/>
      <c r="R111" s="95">
        <f t="shared" si="92"/>
        <v>39.663000000000004</v>
      </c>
      <c r="S111" s="195"/>
      <c r="T111" s="108" t="s">
        <v>21</v>
      </c>
      <c r="U111" s="163">
        <f t="shared" ref="U111:U113" si="171">N111*M111</f>
        <v>14.69</v>
      </c>
      <c r="V111" s="193"/>
      <c r="W111" s="162" t="s">
        <v>17</v>
      </c>
      <c r="X111" s="108" t="str">
        <f t="shared" si="72"/>
        <v>cad</v>
      </c>
      <c r="Y111" s="108" t="str">
        <f t="shared" si="73"/>
        <v>cad</v>
      </c>
      <c r="Z111" s="108">
        <f t="shared" si="74"/>
        <v>12.59</v>
      </c>
      <c r="AA111" s="108">
        <f t="shared" si="75"/>
        <v>0</v>
      </c>
      <c r="AB111" s="108">
        <f t="shared" si="76"/>
        <v>12.59</v>
      </c>
      <c r="AC111" s="108">
        <f t="shared" si="8"/>
        <v>12.59</v>
      </c>
      <c r="AD111" s="193"/>
      <c r="AE111" s="92" t="s">
        <v>357</v>
      </c>
      <c r="AF111" s="194">
        <f t="shared" ref="AF111:AF112" si="172">N111*M111</f>
        <v>14.69</v>
      </c>
    </row>
    <row r="112" spans="1:32" s="11" customFormat="1" ht="13.8">
      <c r="A112" s="28"/>
      <c r="B112" s="161" t="s">
        <v>215</v>
      </c>
      <c r="C112" s="318" t="s">
        <v>17</v>
      </c>
      <c r="D112" s="95">
        <v>1</v>
      </c>
      <c r="E112" s="95" t="s">
        <v>57</v>
      </c>
      <c r="F112" s="95" t="s">
        <v>57</v>
      </c>
      <c r="G112" s="95">
        <v>12.75</v>
      </c>
      <c r="H112" s="118"/>
      <c r="I112" s="95">
        <f t="shared" si="90"/>
        <v>12.75</v>
      </c>
      <c r="J112" s="95">
        <f t="shared" si="91"/>
        <v>12.75</v>
      </c>
      <c r="K112" s="191"/>
      <c r="L112" s="95" t="s">
        <v>19</v>
      </c>
      <c r="M112" s="95">
        <v>1</v>
      </c>
      <c r="N112" s="95">
        <v>14.4</v>
      </c>
      <c r="O112" s="123">
        <v>2.7</v>
      </c>
      <c r="P112" s="118"/>
      <c r="Q112" s="118"/>
      <c r="R112" s="95">
        <f t="shared" si="92"/>
        <v>38.880000000000003</v>
      </c>
      <c r="S112" s="195"/>
      <c r="T112" s="108" t="s">
        <v>21</v>
      </c>
      <c r="U112" s="163">
        <f t="shared" si="171"/>
        <v>14.4</v>
      </c>
      <c r="V112" s="193"/>
      <c r="W112" s="162" t="s">
        <v>17</v>
      </c>
      <c r="X112" s="108" t="str">
        <f t="shared" si="72"/>
        <v>cad</v>
      </c>
      <c r="Y112" s="108" t="str">
        <f t="shared" si="73"/>
        <v>cad</v>
      </c>
      <c r="Z112" s="108">
        <f t="shared" si="74"/>
        <v>12.75</v>
      </c>
      <c r="AA112" s="108">
        <f t="shared" si="75"/>
        <v>0</v>
      </c>
      <c r="AB112" s="108">
        <f t="shared" si="76"/>
        <v>12.75</v>
      </c>
      <c r="AC112" s="108">
        <f t="shared" si="8"/>
        <v>12.75</v>
      </c>
      <c r="AD112" s="193"/>
      <c r="AE112" s="92" t="s">
        <v>357</v>
      </c>
      <c r="AF112" s="194">
        <f t="shared" si="172"/>
        <v>14.4</v>
      </c>
    </row>
    <row r="113" spans="1:35" s="11" customFormat="1" ht="13.8">
      <c r="A113" s="29"/>
      <c r="B113" s="161" t="s">
        <v>488</v>
      </c>
      <c r="C113" s="95" t="s">
        <v>20</v>
      </c>
      <c r="D113" s="95">
        <v>4</v>
      </c>
      <c r="E113" s="95" t="s">
        <v>57</v>
      </c>
      <c r="F113" s="95" t="s">
        <v>57</v>
      </c>
      <c r="G113" s="123">
        <v>2.67</v>
      </c>
      <c r="H113" s="118"/>
      <c r="I113" s="95">
        <f t="shared" si="90"/>
        <v>2.67</v>
      </c>
      <c r="J113" s="95">
        <f t="shared" si="91"/>
        <v>10.68</v>
      </c>
      <c r="K113" s="191"/>
      <c r="L113" s="95" t="s">
        <v>18</v>
      </c>
      <c r="M113" s="95">
        <v>2</v>
      </c>
      <c r="N113" s="123">
        <v>6.57</v>
      </c>
      <c r="O113" s="123">
        <v>2.7</v>
      </c>
      <c r="P113" s="118"/>
      <c r="Q113" s="118"/>
      <c r="R113" s="95">
        <f t="shared" si="92"/>
        <v>35.478000000000002</v>
      </c>
      <c r="S113" s="195"/>
      <c r="T113" s="108" t="s">
        <v>18</v>
      </c>
      <c r="U113" s="163">
        <f t="shared" si="171"/>
        <v>13.14</v>
      </c>
      <c r="V113" s="193"/>
      <c r="W113" s="162" t="s">
        <v>18</v>
      </c>
      <c r="X113" s="108" t="str">
        <f t="shared" si="72"/>
        <v>cad</v>
      </c>
      <c r="Y113" s="108" t="str">
        <f t="shared" si="73"/>
        <v>cad</v>
      </c>
      <c r="Z113" s="108">
        <f t="shared" si="74"/>
        <v>2.67</v>
      </c>
      <c r="AA113" s="108">
        <f t="shared" si="75"/>
        <v>0</v>
      </c>
      <c r="AB113" s="108">
        <f t="shared" si="76"/>
        <v>2.67</v>
      </c>
      <c r="AC113" s="108">
        <f t="shared" si="8"/>
        <v>10.68</v>
      </c>
      <c r="AD113" s="193"/>
      <c r="AE113" s="92" t="s">
        <v>357</v>
      </c>
      <c r="AF113" s="194">
        <f t="shared" ref="AF113:AF114" si="173">N113*M113</f>
        <v>13.14</v>
      </c>
    </row>
    <row r="114" spans="1:35" s="11" customFormat="1" ht="13.8">
      <c r="A114" s="29"/>
      <c r="B114" s="161" t="s">
        <v>488</v>
      </c>
      <c r="C114" s="95" t="s">
        <v>20</v>
      </c>
      <c r="D114" s="123">
        <v>2</v>
      </c>
      <c r="E114" s="95" t="s">
        <v>57</v>
      </c>
      <c r="F114" s="95" t="s">
        <v>57</v>
      </c>
      <c r="G114" s="123">
        <v>3.51</v>
      </c>
      <c r="H114" s="118"/>
      <c r="I114" s="95">
        <f t="shared" si="90"/>
        <v>3.51</v>
      </c>
      <c r="J114" s="95">
        <f t="shared" si="91"/>
        <v>7.02</v>
      </c>
      <c r="K114" s="191"/>
      <c r="L114" s="95" t="s">
        <v>18</v>
      </c>
      <c r="M114" s="123">
        <v>2</v>
      </c>
      <c r="N114" s="123">
        <v>7.5</v>
      </c>
      <c r="O114" s="123">
        <v>2.7</v>
      </c>
      <c r="P114" s="118"/>
      <c r="Q114" s="118"/>
      <c r="R114" s="95">
        <f t="shared" si="92"/>
        <v>40.5</v>
      </c>
      <c r="S114" s="195"/>
      <c r="T114" s="108" t="s">
        <v>18</v>
      </c>
      <c r="U114" s="163">
        <f t="shared" ref="U114" si="174">N114*M114</f>
        <v>15</v>
      </c>
      <c r="V114" s="193"/>
      <c r="W114" s="162" t="s">
        <v>18</v>
      </c>
      <c r="X114" s="108" t="str">
        <f t="shared" si="72"/>
        <v>cad</v>
      </c>
      <c r="Y114" s="108" t="str">
        <f t="shared" si="73"/>
        <v>cad</v>
      </c>
      <c r="Z114" s="108">
        <f t="shared" si="74"/>
        <v>3.51</v>
      </c>
      <c r="AA114" s="108">
        <f t="shared" si="75"/>
        <v>0</v>
      </c>
      <c r="AB114" s="108">
        <f t="shared" si="76"/>
        <v>3.51</v>
      </c>
      <c r="AC114" s="108">
        <f t="shared" si="76"/>
        <v>7.02</v>
      </c>
      <c r="AD114" s="193"/>
      <c r="AE114" s="92" t="s">
        <v>357</v>
      </c>
      <c r="AF114" s="194">
        <f t="shared" si="173"/>
        <v>15</v>
      </c>
    </row>
    <row r="115" spans="1:35" s="11" customFormat="1" ht="13.8">
      <c r="A115" s="29"/>
      <c r="B115" s="161" t="s">
        <v>191</v>
      </c>
      <c r="C115" s="95" t="s">
        <v>17</v>
      </c>
      <c r="D115" s="95">
        <v>1</v>
      </c>
      <c r="E115" s="95" t="s">
        <v>57</v>
      </c>
      <c r="F115" s="95" t="s">
        <v>57</v>
      </c>
      <c r="G115" s="123">
        <v>31.65</v>
      </c>
      <c r="H115" s="118"/>
      <c r="I115" s="95">
        <f t="shared" ref="I115:I121" si="175">(G115-H115)</f>
        <v>31.65</v>
      </c>
      <c r="J115" s="95">
        <f t="shared" ref="J115:J121" si="176">I115*D115</f>
        <v>31.65</v>
      </c>
      <c r="K115" s="191"/>
      <c r="L115" s="95" t="s">
        <v>17</v>
      </c>
      <c r="M115" s="95">
        <v>1</v>
      </c>
      <c r="N115" s="123">
        <v>29.83</v>
      </c>
      <c r="O115" s="123">
        <v>2.7</v>
      </c>
      <c r="P115" s="118"/>
      <c r="Q115" s="118"/>
      <c r="R115" s="95">
        <f t="shared" ref="R115:R121" si="177">(N115*O115-P115)*M115</f>
        <v>80.540999999999997</v>
      </c>
      <c r="S115" s="195"/>
      <c r="T115" s="108" t="s">
        <v>357</v>
      </c>
      <c r="U115" s="163">
        <f>N115*M115</f>
        <v>29.83</v>
      </c>
      <c r="V115" s="193"/>
      <c r="W115" s="162" t="s">
        <v>17</v>
      </c>
      <c r="X115" s="108" t="str">
        <f t="shared" si="72"/>
        <v>cad</v>
      </c>
      <c r="Y115" s="108" t="str">
        <f t="shared" si="73"/>
        <v>cad</v>
      </c>
      <c r="Z115" s="108">
        <f t="shared" si="74"/>
        <v>31.65</v>
      </c>
      <c r="AA115" s="108">
        <f t="shared" si="75"/>
        <v>0</v>
      </c>
      <c r="AB115" s="108">
        <f t="shared" si="76"/>
        <v>31.65</v>
      </c>
      <c r="AC115" s="108">
        <f t="shared" si="76"/>
        <v>31.65</v>
      </c>
      <c r="AD115" s="193"/>
      <c r="AE115" s="92" t="s">
        <v>357</v>
      </c>
      <c r="AF115" s="194">
        <f>N115*M115</f>
        <v>29.83</v>
      </c>
    </row>
    <row r="116" spans="1:35" s="11" customFormat="1" ht="13.8">
      <c r="A116" s="29"/>
      <c r="B116" s="161" t="s">
        <v>66</v>
      </c>
      <c r="C116" s="95" t="s">
        <v>24</v>
      </c>
      <c r="D116" s="95">
        <v>1</v>
      </c>
      <c r="E116" s="95" t="s">
        <v>57</v>
      </c>
      <c r="F116" s="95" t="s">
        <v>57</v>
      </c>
      <c r="G116" s="95">
        <v>40.909999999999997</v>
      </c>
      <c r="H116" s="118"/>
      <c r="I116" s="95">
        <f t="shared" si="175"/>
        <v>40.909999999999997</v>
      </c>
      <c r="J116" s="95">
        <f t="shared" si="176"/>
        <v>40.909999999999997</v>
      </c>
      <c r="K116" s="191"/>
      <c r="L116" s="95" t="s">
        <v>24</v>
      </c>
      <c r="M116" s="95">
        <v>1</v>
      </c>
      <c r="N116" s="95">
        <v>26.71</v>
      </c>
      <c r="O116" s="123">
        <v>3.9</v>
      </c>
      <c r="P116" s="118"/>
      <c r="Q116" s="118"/>
      <c r="R116" s="95">
        <f t="shared" si="177"/>
        <v>104.169</v>
      </c>
      <c r="S116" s="195"/>
      <c r="T116" s="108" t="s">
        <v>356</v>
      </c>
      <c r="U116" s="163">
        <f>N116*M116</f>
        <v>26.71</v>
      </c>
      <c r="V116" s="193"/>
      <c r="W116" s="162" t="s">
        <v>20</v>
      </c>
      <c r="X116" s="108" t="str">
        <f t="shared" si="72"/>
        <v>cad</v>
      </c>
      <c r="Y116" s="108" t="str">
        <f t="shared" si="73"/>
        <v>cad</v>
      </c>
      <c r="Z116" s="108">
        <f t="shared" si="74"/>
        <v>40.909999999999997</v>
      </c>
      <c r="AA116" s="108">
        <f t="shared" si="75"/>
        <v>0</v>
      </c>
      <c r="AB116" s="108">
        <f t="shared" si="76"/>
        <v>40.909999999999997</v>
      </c>
      <c r="AC116" s="108">
        <f t="shared" si="76"/>
        <v>40.909999999999997</v>
      </c>
      <c r="AD116" s="193"/>
      <c r="AE116" s="92"/>
      <c r="AF116" s="194"/>
    </row>
    <row r="117" spans="1:35" s="11" customFormat="1" ht="13.8">
      <c r="A117" s="29"/>
      <c r="B117" s="161"/>
      <c r="C117" s="95" t="s">
        <v>24</v>
      </c>
      <c r="D117" s="95">
        <v>1</v>
      </c>
      <c r="E117" s="95" t="s">
        <v>57</v>
      </c>
      <c r="F117" s="95" t="s">
        <v>57</v>
      </c>
      <c r="G117" s="123">
        <v>9.7100000000000009</v>
      </c>
      <c r="H117" s="118"/>
      <c r="I117" s="95">
        <f t="shared" ref="I117" si="178">(G117-H117)</f>
        <v>9.7100000000000009</v>
      </c>
      <c r="J117" s="95">
        <f t="shared" ref="J117" si="179">I117*D117</f>
        <v>9.7100000000000009</v>
      </c>
      <c r="K117" s="191"/>
      <c r="L117" s="95"/>
      <c r="M117" s="95"/>
      <c r="N117" s="95"/>
      <c r="O117" s="95"/>
      <c r="P117" s="118"/>
      <c r="Q117" s="118"/>
      <c r="R117" s="95"/>
      <c r="S117" s="195"/>
      <c r="T117" s="108"/>
      <c r="U117" s="163"/>
      <c r="V117" s="193"/>
      <c r="W117" s="162"/>
      <c r="X117" s="108"/>
      <c r="Y117" s="108"/>
      <c r="Z117" s="108"/>
      <c r="AA117" s="108"/>
      <c r="AB117" s="108"/>
      <c r="AC117" s="108"/>
      <c r="AD117" s="193"/>
      <c r="AE117" s="92"/>
      <c r="AF117" s="194"/>
    </row>
    <row r="118" spans="1:35" s="11" customFormat="1" ht="13.8">
      <c r="A118" s="29"/>
      <c r="B118" s="167" t="s">
        <v>157</v>
      </c>
      <c r="C118" s="318" t="s">
        <v>17</v>
      </c>
      <c r="D118" s="95">
        <v>1</v>
      </c>
      <c r="E118" s="95" t="s">
        <v>57</v>
      </c>
      <c r="F118" s="95" t="s">
        <v>57</v>
      </c>
      <c r="G118" s="168">
        <v>58.99</v>
      </c>
      <c r="H118" s="118"/>
      <c r="I118" s="95">
        <f t="shared" ref="I118" si="180">(G118-H118)</f>
        <v>58.99</v>
      </c>
      <c r="J118" s="95">
        <f t="shared" ref="J118" si="181">I118*D118</f>
        <v>58.99</v>
      </c>
      <c r="K118" s="191"/>
      <c r="L118" s="95" t="s">
        <v>17</v>
      </c>
      <c r="M118" s="95">
        <v>1</v>
      </c>
      <c r="N118" s="168">
        <v>62.84</v>
      </c>
      <c r="O118" s="168">
        <v>2.7</v>
      </c>
      <c r="P118" s="118"/>
      <c r="Q118" s="118"/>
      <c r="R118" s="95">
        <f t="shared" si="177"/>
        <v>169.66800000000001</v>
      </c>
      <c r="S118" s="195"/>
      <c r="T118" s="108" t="s">
        <v>21</v>
      </c>
      <c r="U118" s="163">
        <f t="shared" ref="U118:U121" si="182">N118*M118</f>
        <v>62.84</v>
      </c>
      <c r="V118" s="193"/>
      <c r="W118" s="162" t="s">
        <v>17</v>
      </c>
      <c r="X118" s="108" t="e">
        <f>#REF!</f>
        <v>#REF!</v>
      </c>
      <c r="Y118" s="108" t="e">
        <f>#REF!</f>
        <v>#REF!</v>
      </c>
      <c r="Z118" s="108">
        <f t="shared" ref="Z118:AB123" si="183">G118</f>
        <v>58.99</v>
      </c>
      <c r="AA118" s="108">
        <f t="shared" si="183"/>
        <v>0</v>
      </c>
      <c r="AB118" s="108">
        <f t="shared" si="183"/>
        <v>58.99</v>
      </c>
      <c r="AC118" s="108">
        <f t="shared" ref="AC118:AC121" si="184">J118</f>
        <v>58.99</v>
      </c>
      <c r="AD118" s="193"/>
      <c r="AE118" s="92" t="s">
        <v>17</v>
      </c>
      <c r="AF118" s="194">
        <f>N118*M118</f>
        <v>62.84</v>
      </c>
    </row>
    <row r="119" spans="1:35" s="11" customFormat="1" ht="13.8">
      <c r="A119" s="29"/>
      <c r="B119" s="167"/>
      <c r="C119" s="95"/>
      <c r="D119" s="95"/>
      <c r="E119" s="95"/>
      <c r="F119" s="95"/>
      <c r="G119" s="141"/>
      <c r="H119" s="118"/>
      <c r="I119" s="95"/>
      <c r="J119" s="95"/>
      <c r="K119" s="191"/>
      <c r="L119" s="95"/>
      <c r="M119" s="95"/>
      <c r="N119" s="95"/>
      <c r="O119" s="95"/>
      <c r="P119" s="118"/>
      <c r="Q119" s="118"/>
      <c r="R119" s="95"/>
      <c r="S119" s="195"/>
      <c r="T119" s="108"/>
      <c r="U119" s="163"/>
      <c r="V119" s="193"/>
      <c r="W119" s="166" t="s">
        <v>19</v>
      </c>
      <c r="X119" s="141"/>
      <c r="Y119" s="141"/>
      <c r="Z119" s="141">
        <v>28.38</v>
      </c>
      <c r="AA119" s="108">
        <f t="shared" si="183"/>
        <v>0</v>
      </c>
      <c r="AB119" s="141">
        <f t="shared" ref="AB119:AB120" si="185">Z119</f>
        <v>28.38</v>
      </c>
      <c r="AC119" s="141">
        <f t="shared" ref="AC119:AC120" si="186">Z119</f>
        <v>28.38</v>
      </c>
      <c r="AD119" s="193"/>
      <c r="AE119" s="92"/>
      <c r="AF119" s="194"/>
    </row>
    <row r="120" spans="1:35" s="11" customFormat="1" ht="13.8">
      <c r="A120" s="29"/>
      <c r="B120" s="167"/>
      <c r="C120" s="95"/>
      <c r="D120" s="95"/>
      <c r="E120" s="95"/>
      <c r="F120" s="95"/>
      <c r="G120" s="141"/>
      <c r="H120" s="118"/>
      <c r="I120" s="95"/>
      <c r="J120" s="95"/>
      <c r="K120" s="191"/>
      <c r="L120" s="95"/>
      <c r="M120" s="95"/>
      <c r="N120" s="95"/>
      <c r="O120" s="95"/>
      <c r="P120" s="118"/>
      <c r="Q120" s="118"/>
      <c r="R120" s="95"/>
      <c r="S120" s="195"/>
      <c r="T120" s="108"/>
      <c r="U120" s="163"/>
      <c r="V120" s="193"/>
      <c r="W120" s="166" t="s">
        <v>24</v>
      </c>
      <c r="X120" s="141"/>
      <c r="Y120" s="141"/>
      <c r="Z120" s="141">
        <v>1.56</v>
      </c>
      <c r="AA120" s="108">
        <f t="shared" si="183"/>
        <v>0</v>
      </c>
      <c r="AB120" s="141">
        <f t="shared" si="185"/>
        <v>1.56</v>
      </c>
      <c r="AC120" s="141">
        <f t="shared" si="186"/>
        <v>1.56</v>
      </c>
      <c r="AD120" s="193"/>
      <c r="AE120" s="92"/>
      <c r="AF120" s="194"/>
    </row>
    <row r="121" spans="1:35" s="11" customFormat="1" ht="13.8">
      <c r="A121" s="29"/>
      <c r="B121" s="161" t="s">
        <v>317</v>
      </c>
      <c r="C121" s="318" t="s">
        <v>17</v>
      </c>
      <c r="D121" s="95">
        <v>1</v>
      </c>
      <c r="E121" s="95" t="s">
        <v>57</v>
      </c>
      <c r="F121" s="95" t="s">
        <v>57</v>
      </c>
      <c r="G121" s="123">
        <v>21.67</v>
      </c>
      <c r="H121" s="118"/>
      <c r="I121" s="95">
        <f t="shared" si="175"/>
        <v>21.67</v>
      </c>
      <c r="J121" s="95">
        <f t="shared" si="176"/>
        <v>21.67</v>
      </c>
      <c r="K121" s="191"/>
      <c r="L121" s="95" t="s">
        <v>17</v>
      </c>
      <c r="M121" s="95">
        <v>1</v>
      </c>
      <c r="N121" s="123">
        <f>23.76-2.25</f>
        <v>21.51</v>
      </c>
      <c r="O121" s="123">
        <v>2.7</v>
      </c>
      <c r="P121" s="118"/>
      <c r="Q121" s="118"/>
      <c r="R121" s="95">
        <f t="shared" si="177"/>
        <v>58.077000000000005</v>
      </c>
      <c r="S121" s="195"/>
      <c r="T121" s="108" t="s">
        <v>21</v>
      </c>
      <c r="U121" s="163">
        <f t="shared" si="182"/>
        <v>21.51</v>
      </c>
      <c r="V121" s="193"/>
      <c r="W121" s="162" t="s">
        <v>17</v>
      </c>
      <c r="X121" s="108" t="e">
        <f>#REF!</f>
        <v>#REF!</v>
      </c>
      <c r="Y121" s="108" t="e">
        <f>#REF!</f>
        <v>#REF!</v>
      </c>
      <c r="Z121" s="108">
        <f t="shared" si="183"/>
        <v>21.67</v>
      </c>
      <c r="AA121" s="108">
        <f t="shared" si="183"/>
        <v>0</v>
      </c>
      <c r="AB121" s="108">
        <f t="shared" si="183"/>
        <v>21.67</v>
      </c>
      <c r="AC121" s="108">
        <f t="shared" si="184"/>
        <v>21.67</v>
      </c>
      <c r="AD121" s="193"/>
      <c r="AE121" s="92" t="s">
        <v>17</v>
      </c>
      <c r="AF121" s="194">
        <f t="shared" ref="AF121" si="187">N121*M121</f>
        <v>21.51</v>
      </c>
    </row>
    <row r="122" spans="1:35" s="11" customFormat="1" ht="13.8">
      <c r="A122" s="29"/>
      <c r="B122" s="161"/>
      <c r="C122" s="95"/>
      <c r="D122" s="95"/>
      <c r="E122" s="95"/>
      <c r="F122" s="95"/>
      <c r="G122" s="141"/>
      <c r="H122" s="118"/>
      <c r="I122" s="95"/>
      <c r="J122" s="95"/>
      <c r="K122" s="191"/>
      <c r="L122" s="95"/>
      <c r="M122" s="95"/>
      <c r="N122" s="95"/>
      <c r="O122" s="95"/>
      <c r="P122" s="118"/>
      <c r="Q122" s="118"/>
      <c r="R122" s="95"/>
      <c r="S122" s="195"/>
      <c r="T122" s="108"/>
      <c r="U122" s="163"/>
      <c r="V122" s="193"/>
      <c r="W122" s="166" t="s">
        <v>19</v>
      </c>
      <c r="X122" s="141"/>
      <c r="Y122" s="141"/>
      <c r="Z122" s="141">
        <v>6.25</v>
      </c>
      <c r="AA122" s="108">
        <f t="shared" si="183"/>
        <v>0</v>
      </c>
      <c r="AB122" s="141">
        <f t="shared" ref="AB122:AB123" si="188">Z122</f>
        <v>6.25</v>
      </c>
      <c r="AC122" s="141">
        <f t="shared" ref="AC122:AC123" si="189">Z122</f>
        <v>6.25</v>
      </c>
      <c r="AD122" s="193"/>
      <c r="AE122" s="92"/>
      <c r="AF122" s="194"/>
    </row>
    <row r="123" spans="1:35" s="11" customFormat="1" ht="13.8">
      <c r="A123" s="29"/>
      <c r="B123" s="161"/>
      <c r="C123" s="95"/>
      <c r="D123" s="95"/>
      <c r="E123" s="95"/>
      <c r="F123" s="95"/>
      <c r="G123" s="141"/>
      <c r="H123" s="118"/>
      <c r="I123" s="95"/>
      <c r="J123" s="95"/>
      <c r="K123" s="191"/>
      <c r="L123" s="95"/>
      <c r="M123" s="95"/>
      <c r="N123" s="95"/>
      <c r="O123" s="95"/>
      <c r="P123" s="118"/>
      <c r="Q123" s="118"/>
      <c r="R123" s="95"/>
      <c r="S123" s="195"/>
      <c r="T123" s="108"/>
      <c r="U123" s="163"/>
      <c r="V123" s="193"/>
      <c r="W123" s="166" t="s">
        <v>24</v>
      </c>
      <c r="X123" s="141"/>
      <c r="Y123" s="141"/>
      <c r="Z123" s="141">
        <v>3.13</v>
      </c>
      <c r="AA123" s="108">
        <f t="shared" si="183"/>
        <v>0</v>
      </c>
      <c r="AB123" s="141">
        <f t="shared" si="188"/>
        <v>3.13</v>
      </c>
      <c r="AC123" s="141">
        <f t="shared" si="189"/>
        <v>3.13</v>
      </c>
      <c r="AD123" s="193"/>
      <c r="AE123" s="92"/>
      <c r="AF123" s="194"/>
    </row>
    <row r="124" spans="1:35" ht="15.75" customHeight="1">
      <c r="A124" s="30"/>
      <c r="B124" s="149"/>
      <c r="C124" s="95"/>
      <c r="D124" s="95"/>
      <c r="E124" s="95"/>
      <c r="F124" s="95"/>
      <c r="G124" s="95">
        <f>E124*F124</f>
        <v>0</v>
      </c>
      <c r="H124" s="118"/>
      <c r="I124" s="95">
        <f t="shared" ref="I124" si="190">(G124-H124)</f>
        <v>0</v>
      </c>
      <c r="J124" s="95">
        <f t="shared" ref="J124" si="191">I124*D124</f>
        <v>0</v>
      </c>
      <c r="K124" s="196"/>
      <c r="L124" s="118"/>
      <c r="M124" s="95"/>
      <c r="N124" s="95"/>
      <c r="O124" s="95"/>
      <c r="P124" s="95"/>
      <c r="Q124" s="118"/>
      <c r="R124" s="95">
        <f t="shared" ref="R124" si="192">(N124*O124-P124)*M124</f>
        <v>0</v>
      </c>
      <c r="S124" s="197"/>
      <c r="T124" s="95"/>
      <c r="U124" s="185"/>
      <c r="V124" s="196"/>
      <c r="W124" s="118"/>
      <c r="X124" s="95"/>
      <c r="Y124" s="95"/>
      <c r="Z124" s="95"/>
      <c r="AA124" s="118"/>
      <c r="AB124" s="118"/>
      <c r="AC124" s="118"/>
      <c r="AD124" s="191"/>
      <c r="AE124" s="118"/>
      <c r="AF124" s="198">
        <f t="shared" ref="AF124" si="193">N124</f>
        <v>0</v>
      </c>
    </row>
    <row r="125" spans="1:35" ht="15.75" customHeight="1">
      <c r="B125" s="188"/>
      <c r="C125" s="191"/>
      <c r="D125" s="191"/>
      <c r="E125" s="191"/>
      <c r="F125" s="191"/>
      <c r="G125" s="191"/>
      <c r="H125" s="191"/>
      <c r="I125" s="191"/>
      <c r="J125" s="190">
        <f>SUM(J12:J124)</f>
        <v>1261.8800000000001</v>
      </c>
      <c r="K125" s="191"/>
      <c r="L125" s="85"/>
      <c r="M125" s="199"/>
      <c r="N125" s="190">
        <f>SUM(N12:N124)</f>
        <v>1306.26</v>
      </c>
      <c r="O125" s="199"/>
      <c r="P125" s="199"/>
      <c r="Q125" s="191"/>
      <c r="R125" s="190">
        <f>SUM(R12:R124)</f>
        <v>3702.4050000000011</v>
      </c>
      <c r="S125" s="200"/>
      <c r="T125" s="191"/>
      <c r="U125" s="190">
        <f>SUM(U12:U124)</f>
        <v>1314.0600000000004</v>
      </c>
      <c r="V125" s="191"/>
      <c r="W125" s="191"/>
      <c r="X125" s="191"/>
      <c r="Y125" s="191"/>
      <c r="Z125" s="191"/>
      <c r="AA125" s="191"/>
      <c r="AB125" s="191"/>
      <c r="AC125" s="190">
        <f>SUM(AC12:AC124)</f>
        <v>1436.27</v>
      </c>
      <c r="AD125" s="191"/>
      <c r="AE125" s="191"/>
      <c r="AF125" s="190">
        <f>SUM(AF12:AF18,AF19:AF24,AF26:AF28,AF29,AF32:AF33,AF36:AF53,AF55,AF57,AF60,AF61:AF70,AF72:AF76,AF77:AF80,AF81:AF89,AF90:AF104,AF106:AF112,AF113:AF114,AF115,AF118,AF121)</f>
        <v>1231.9400000000005</v>
      </c>
    </row>
    <row r="126" spans="1:35" ht="15.75" customHeight="1">
      <c r="B126" s="215" t="s">
        <v>5</v>
      </c>
      <c r="C126" s="191"/>
      <c r="D126" s="191"/>
      <c r="E126" s="191"/>
      <c r="F126" s="191"/>
      <c r="G126" s="199"/>
      <c r="H126" s="191"/>
      <c r="I126" s="191"/>
      <c r="J126" s="199"/>
      <c r="K126" s="191"/>
      <c r="L126" s="85"/>
      <c r="M126" s="199"/>
      <c r="N126" s="199"/>
      <c r="O126" s="199"/>
      <c r="P126" s="199"/>
      <c r="Q126" s="191"/>
      <c r="R126" s="191"/>
      <c r="S126" s="191"/>
      <c r="T126" s="191"/>
      <c r="U126" s="216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83"/>
      <c r="AH126" s="83"/>
      <c r="AI126" s="83"/>
    </row>
    <row r="127" spans="1:35" ht="15.75" customHeight="1">
      <c r="B127" s="215"/>
      <c r="C127" s="191"/>
      <c r="D127" s="191"/>
      <c r="E127" s="191"/>
      <c r="F127" s="191"/>
      <c r="G127" s="191"/>
      <c r="H127" s="191"/>
      <c r="I127" s="191"/>
      <c r="J127" s="199"/>
      <c r="K127" s="191"/>
      <c r="L127" s="85"/>
      <c r="M127" s="199"/>
      <c r="N127" s="199"/>
      <c r="O127" s="199"/>
      <c r="P127" s="199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83"/>
      <c r="AH127" s="83"/>
      <c r="AI127" s="83"/>
    </row>
    <row r="128" spans="1:35" ht="15.75" customHeight="1">
      <c r="B128" s="215" t="s">
        <v>3</v>
      </c>
      <c r="C128" s="191"/>
      <c r="D128" s="191"/>
      <c r="E128" s="191"/>
      <c r="F128" s="191"/>
      <c r="G128" s="191"/>
      <c r="H128" s="191"/>
      <c r="I128" s="191"/>
      <c r="J128" s="199"/>
      <c r="K128" s="191"/>
      <c r="L128" s="85"/>
      <c r="M128" s="215" t="s">
        <v>2</v>
      </c>
      <c r="N128" s="191"/>
      <c r="O128" s="199"/>
      <c r="P128" s="199"/>
      <c r="Q128" s="191"/>
      <c r="R128" s="191"/>
      <c r="S128" s="191"/>
      <c r="T128" s="191"/>
      <c r="U128" s="191"/>
      <c r="V128" s="191"/>
      <c r="W128" s="215" t="s">
        <v>4</v>
      </c>
      <c r="X128" s="191"/>
      <c r="Y128" s="191"/>
      <c r="Z128" s="191"/>
      <c r="AA128" s="191"/>
      <c r="AB128" s="191"/>
      <c r="AC128" s="191"/>
      <c r="AD128" s="191"/>
      <c r="AE128" s="205" t="s">
        <v>34</v>
      </c>
      <c r="AF128" s="80"/>
      <c r="AG128" s="80"/>
      <c r="AH128" s="80"/>
      <c r="AI128" s="188"/>
    </row>
    <row r="129" spans="2:35" ht="15.75" customHeight="1">
      <c r="B129" s="95" t="s">
        <v>17</v>
      </c>
      <c r="C129" s="218">
        <f>SUMIF(C$12:C$123,B129,J$12:J$123)</f>
        <v>989.51999999999987</v>
      </c>
      <c r="D129" s="191"/>
      <c r="E129" s="199"/>
      <c r="F129" s="191"/>
      <c r="G129" s="191"/>
      <c r="H129" s="191"/>
      <c r="I129" s="191"/>
      <c r="J129" s="199"/>
      <c r="K129" s="191"/>
      <c r="L129" s="85"/>
      <c r="M129" s="149" t="s">
        <v>17</v>
      </c>
      <c r="N129" s="219">
        <f>SUMIF(L$12:L$121,M129,R$12:R$121)</f>
        <v>1948.2119999999998</v>
      </c>
      <c r="O129" s="199"/>
      <c r="P129" s="199"/>
      <c r="Q129" s="191"/>
      <c r="R129" s="191"/>
      <c r="S129" s="191"/>
      <c r="T129" s="191"/>
      <c r="U129" s="191"/>
      <c r="V129" s="191"/>
      <c r="W129" s="220" t="s">
        <v>17</v>
      </c>
      <c r="X129" s="221" t="e">
        <f>SUM(#REF!,#REF!,#REF!,#REF!,AX5:AX13,AX16,AX18,AX22,AX24:AX25,AX28:AX32,AX43:AX46,AX48:AX51,AX65,AX68:AX69,AX77:AX78,#REF!)</f>
        <v>#REF!</v>
      </c>
      <c r="Y129" s="191"/>
      <c r="Z129" s="221">
        <f>SUMIF(W$12:W$123,W129,AC$12:AC$123)</f>
        <v>995.45999999999992</v>
      </c>
      <c r="AA129" s="191"/>
      <c r="AB129" s="191"/>
      <c r="AC129" s="191"/>
      <c r="AD129" s="191"/>
      <c r="AE129" s="149" t="s">
        <v>39</v>
      </c>
      <c r="AF129" s="324" t="s">
        <v>364</v>
      </c>
      <c r="AG129" s="324"/>
      <c r="AH129" s="324"/>
      <c r="AI129" s="118" t="s">
        <v>365</v>
      </c>
    </row>
    <row r="130" spans="2:35" ht="15.75" customHeight="1">
      <c r="B130" s="95" t="s">
        <v>18</v>
      </c>
      <c r="C130" s="218">
        <f t="shared" ref="C130:C142" si="194">SUMIF(C$12:C$123,B130,J$12:J$123)</f>
        <v>0</v>
      </c>
      <c r="D130" s="191"/>
      <c r="E130" s="191"/>
      <c r="F130" s="191"/>
      <c r="G130" s="191"/>
      <c r="H130" s="191"/>
      <c r="I130" s="191"/>
      <c r="J130" s="199"/>
      <c r="K130" s="191"/>
      <c r="L130" s="85"/>
      <c r="M130" s="149" t="s">
        <v>18</v>
      </c>
      <c r="N130" s="219">
        <f t="shared" ref="N130:N148" si="195">SUMIF(L$12:L$121,M130,R$12:R$121)</f>
        <v>646.16399999999987</v>
      </c>
      <c r="O130" s="199"/>
      <c r="P130" s="199"/>
      <c r="Q130" s="191"/>
      <c r="R130" s="191"/>
      <c r="S130" s="191"/>
      <c r="T130" s="191"/>
      <c r="U130" s="191"/>
      <c r="V130" s="191"/>
      <c r="W130" s="220" t="s">
        <v>18</v>
      </c>
      <c r="X130" s="221" t="e">
        <f>SUM(#REF!,#REF!,#REF!,#REF!,#REF!,#REF!,#REF!,#REF!,#REF!,#REF!,AX3,AX4,AX37:AX41,AX52,AX53,#REF!,AX54,AX55,AX73:AX74,AX82,AX83)</f>
        <v>#REF!</v>
      </c>
      <c r="Y130" s="191"/>
      <c r="Z130" s="221">
        <f t="shared" ref="Z130:Z137" si="196">SUMIF(W$12:W$123,W130,AC$12:AC$123)</f>
        <v>134.88000000000002</v>
      </c>
      <c r="AA130" s="191"/>
      <c r="AB130" s="191"/>
      <c r="AC130" s="191"/>
      <c r="AD130" s="191"/>
      <c r="AE130" s="149" t="s">
        <v>357</v>
      </c>
      <c r="AF130" s="323" t="s">
        <v>363</v>
      </c>
      <c r="AG130" s="323"/>
      <c r="AH130" s="323"/>
      <c r="AI130" s="95">
        <f>AF125</f>
        <v>1231.9400000000005</v>
      </c>
    </row>
    <row r="131" spans="2:35" ht="15.75" customHeight="1">
      <c r="B131" s="95" t="s">
        <v>19</v>
      </c>
      <c r="C131" s="218">
        <f t="shared" si="194"/>
        <v>0</v>
      </c>
      <c r="D131" s="191"/>
      <c r="E131" s="191"/>
      <c r="F131" s="191"/>
      <c r="G131" s="191"/>
      <c r="H131" s="191"/>
      <c r="I131" s="191"/>
      <c r="J131" s="199"/>
      <c r="K131" s="191"/>
      <c r="L131" s="85"/>
      <c r="M131" s="149" t="s">
        <v>19</v>
      </c>
      <c r="N131" s="219">
        <f t="shared" si="195"/>
        <v>681.48000000000013</v>
      </c>
      <c r="O131" s="199"/>
      <c r="P131" s="199"/>
      <c r="Q131" s="191"/>
      <c r="R131" s="191"/>
      <c r="S131" s="191"/>
      <c r="T131" s="191"/>
      <c r="U131" s="191"/>
      <c r="V131" s="191"/>
      <c r="W131" s="220" t="s">
        <v>19</v>
      </c>
      <c r="X131" s="221" t="e">
        <f>SUM(#REF!,#REF!,#REF!,#REF!,#REF!,AX61,AX76,AX96,AX99)</f>
        <v>#REF!</v>
      </c>
      <c r="Y131" s="191"/>
      <c r="Z131" s="221">
        <f t="shared" si="196"/>
        <v>127.24</v>
      </c>
      <c r="AA131" s="191"/>
      <c r="AB131" s="191"/>
      <c r="AC131" s="191"/>
      <c r="AD131" s="191"/>
      <c r="AE131" s="191"/>
      <c r="AF131" s="191"/>
      <c r="AG131" s="83"/>
      <c r="AH131" s="83"/>
      <c r="AI131" s="83"/>
    </row>
    <row r="132" spans="2:35" ht="15.75" customHeight="1">
      <c r="B132" s="95" t="s">
        <v>20</v>
      </c>
      <c r="C132" s="218">
        <f t="shared" si="194"/>
        <v>127.99000000000002</v>
      </c>
      <c r="D132" s="191"/>
      <c r="E132" s="191"/>
      <c r="F132" s="191"/>
      <c r="G132" s="191"/>
      <c r="H132" s="191"/>
      <c r="I132" s="191"/>
      <c r="J132" s="199"/>
      <c r="K132" s="191"/>
      <c r="L132" s="85"/>
      <c r="M132" s="149" t="s">
        <v>20</v>
      </c>
      <c r="N132" s="219">
        <f t="shared" si="195"/>
        <v>96.687000000000012</v>
      </c>
      <c r="O132" s="199"/>
      <c r="P132" s="199"/>
      <c r="Q132" s="191"/>
      <c r="R132" s="191"/>
      <c r="S132" s="191"/>
      <c r="T132" s="191"/>
      <c r="U132" s="191"/>
      <c r="V132" s="191"/>
      <c r="W132" s="220" t="s">
        <v>20</v>
      </c>
      <c r="X132" s="221" t="e">
        <f>SUM(AX15,AX17,#REF!,AX90)</f>
        <v>#REF!</v>
      </c>
      <c r="Y132" s="191"/>
      <c r="Z132" s="221">
        <f t="shared" si="196"/>
        <v>106.72</v>
      </c>
      <c r="AA132" s="191"/>
      <c r="AB132" s="191"/>
      <c r="AC132" s="191"/>
      <c r="AD132" s="191"/>
      <c r="AE132" s="191"/>
      <c r="AF132" s="191"/>
      <c r="AG132" s="83"/>
      <c r="AH132" s="83"/>
      <c r="AI132" s="83"/>
    </row>
    <row r="133" spans="2:35" ht="15.75" customHeight="1">
      <c r="B133" s="95" t="s">
        <v>21</v>
      </c>
      <c r="C133" s="218">
        <f t="shared" si="194"/>
        <v>11.34</v>
      </c>
      <c r="D133" s="191"/>
      <c r="E133" s="191"/>
      <c r="F133" s="191"/>
      <c r="G133" s="191"/>
      <c r="H133" s="191"/>
      <c r="I133" s="191"/>
      <c r="J133" s="199"/>
      <c r="K133" s="191"/>
      <c r="L133" s="85"/>
      <c r="M133" s="149" t="s">
        <v>21</v>
      </c>
      <c r="N133" s="219">
        <f t="shared" si="195"/>
        <v>0</v>
      </c>
      <c r="O133" s="199"/>
      <c r="P133" s="199"/>
      <c r="Q133" s="191"/>
      <c r="R133" s="191"/>
      <c r="S133" s="191"/>
      <c r="T133" s="191"/>
      <c r="U133" s="191"/>
      <c r="V133" s="191"/>
      <c r="W133" s="220" t="s">
        <v>21</v>
      </c>
      <c r="X133" s="221" t="e">
        <f>SUM(#REF!,#REF!,#REF!,AX58,#REF!,#REF!,AX62,AX64,AX75,AX95,AX98)</f>
        <v>#REF!</v>
      </c>
      <c r="Y133" s="191"/>
      <c r="Z133" s="221">
        <f t="shared" si="196"/>
        <v>0</v>
      </c>
      <c r="AA133" s="191"/>
      <c r="AB133" s="191"/>
      <c r="AC133" s="191"/>
      <c r="AD133" s="191"/>
      <c r="AE133" s="191"/>
      <c r="AF133" s="191"/>
      <c r="AG133" s="83"/>
      <c r="AH133" s="83"/>
      <c r="AI133" s="83"/>
    </row>
    <row r="134" spans="2:35" ht="15.75" customHeight="1">
      <c r="B134" s="95" t="s">
        <v>22</v>
      </c>
      <c r="C134" s="218">
        <f t="shared" si="194"/>
        <v>6.89</v>
      </c>
      <c r="D134" s="191"/>
      <c r="E134" s="191"/>
      <c r="F134" s="191"/>
      <c r="G134" s="191"/>
      <c r="H134" s="191"/>
      <c r="I134" s="191"/>
      <c r="J134" s="199"/>
      <c r="K134" s="191"/>
      <c r="L134" s="85"/>
      <c r="M134" s="149" t="s">
        <v>22</v>
      </c>
      <c r="N134" s="219">
        <f t="shared" si="195"/>
        <v>0</v>
      </c>
      <c r="O134" s="199"/>
      <c r="P134" s="199"/>
      <c r="Q134" s="191"/>
      <c r="R134" s="191"/>
      <c r="S134" s="191"/>
      <c r="T134" s="191"/>
      <c r="U134" s="191"/>
      <c r="V134" s="191"/>
      <c r="W134" s="220" t="s">
        <v>22</v>
      </c>
      <c r="X134" s="221"/>
      <c r="Y134" s="191"/>
      <c r="Z134" s="221">
        <f t="shared" si="196"/>
        <v>0</v>
      </c>
      <c r="AA134" s="191"/>
      <c r="AB134" s="191"/>
      <c r="AC134" s="191"/>
      <c r="AD134" s="191"/>
      <c r="AE134" s="191"/>
      <c r="AF134" s="191"/>
      <c r="AG134" s="83"/>
      <c r="AH134" s="83"/>
      <c r="AI134" s="83"/>
    </row>
    <row r="135" spans="2:35" ht="15.75" customHeight="1">
      <c r="B135" s="95" t="s">
        <v>23</v>
      </c>
      <c r="C135" s="218">
        <f t="shared" si="194"/>
        <v>0</v>
      </c>
      <c r="D135" s="191"/>
      <c r="E135" s="191"/>
      <c r="F135" s="191"/>
      <c r="G135" s="191"/>
      <c r="H135" s="191"/>
      <c r="I135" s="191"/>
      <c r="J135" s="199"/>
      <c r="K135" s="191"/>
      <c r="L135" s="85"/>
      <c r="M135" s="149" t="s">
        <v>23</v>
      </c>
      <c r="N135" s="219">
        <f t="shared" si="195"/>
        <v>0</v>
      </c>
      <c r="O135" s="199"/>
      <c r="P135" s="199"/>
      <c r="Q135" s="191"/>
      <c r="R135" s="191"/>
      <c r="S135" s="191"/>
      <c r="T135" s="191"/>
      <c r="U135" s="191"/>
      <c r="V135" s="191"/>
      <c r="W135" s="220" t="s">
        <v>23</v>
      </c>
      <c r="X135" s="221"/>
      <c r="Y135" s="191"/>
      <c r="Z135" s="221">
        <f t="shared" si="196"/>
        <v>0</v>
      </c>
      <c r="AA135" s="191"/>
      <c r="AB135" s="191"/>
      <c r="AC135" s="191"/>
      <c r="AD135" s="191"/>
      <c r="AE135" s="191"/>
      <c r="AF135" s="191"/>
      <c r="AG135" s="83"/>
      <c r="AH135" s="83"/>
      <c r="AI135" s="83"/>
    </row>
    <row r="136" spans="2:35" ht="15.75" customHeight="1">
      <c r="B136" s="95" t="s">
        <v>24</v>
      </c>
      <c r="C136" s="218">
        <f t="shared" si="194"/>
        <v>126.14000000000001</v>
      </c>
      <c r="D136" s="191"/>
      <c r="E136" s="191"/>
      <c r="F136" s="191"/>
      <c r="G136" s="191"/>
      <c r="H136" s="191"/>
      <c r="I136" s="191"/>
      <c r="J136" s="199"/>
      <c r="K136" s="191"/>
      <c r="L136" s="85"/>
      <c r="M136" s="149" t="s">
        <v>24</v>
      </c>
      <c r="N136" s="219">
        <f t="shared" si="195"/>
        <v>329.86199999999997</v>
      </c>
      <c r="O136" s="199"/>
      <c r="P136" s="199"/>
      <c r="Q136" s="191"/>
      <c r="R136" s="191"/>
      <c r="S136" s="191"/>
      <c r="T136" s="191"/>
      <c r="U136" s="191"/>
      <c r="V136" s="191"/>
      <c r="W136" s="220" t="s">
        <v>24</v>
      </c>
      <c r="X136" s="221" t="e">
        <f>SUM(#REF!,#REF!,AX26,AX27,AX60,AX63,AX66,AX67,#REF!,AX97,AX100)</f>
        <v>#REF!</v>
      </c>
      <c r="Y136" s="191"/>
      <c r="Z136" s="221">
        <f t="shared" si="196"/>
        <v>71.97</v>
      </c>
      <c r="AA136" s="191"/>
      <c r="AB136" s="191"/>
      <c r="AC136" s="191"/>
      <c r="AD136" s="191"/>
      <c r="AE136" s="191"/>
      <c r="AF136" s="191"/>
      <c r="AG136" s="83"/>
      <c r="AH136" s="83"/>
      <c r="AI136" s="83"/>
    </row>
    <row r="137" spans="2:35" ht="15.75" customHeight="1">
      <c r="B137" s="95" t="s">
        <v>25</v>
      </c>
      <c r="C137" s="218">
        <f t="shared" si="194"/>
        <v>0</v>
      </c>
      <c r="D137" s="191"/>
      <c r="E137" s="191"/>
      <c r="F137" s="191"/>
      <c r="G137" s="191"/>
      <c r="H137" s="191"/>
      <c r="I137" s="191"/>
      <c r="J137" s="199"/>
      <c r="K137" s="191"/>
      <c r="L137" s="85"/>
      <c r="M137" s="149" t="s">
        <v>25</v>
      </c>
      <c r="N137" s="219">
        <f t="shared" si="195"/>
        <v>0</v>
      </c>
      <c r="O137" s="199"/>
      <c r="P137" s="199"/>
      <c r="Q137" s="191"/>
      <c r="R137" s="191"/>
      <c r="S137" s="191"/>
      <c r="T137" s="191"/>
      <c r="U137" s="191"/>
      <c r="V137" s="191"/>
      <c r="W137" s="220" t="s">
        <v>25</v>
      </c>
      <c r="X137" s="221"/>
      <c r="Y137" s="191"/>
      <c r="Z137" s="221">
        <f t="shared" si="196"/>
        <v>0</v>
      </c>
      <c r="AA137" s="191"/>
      <c r="AB137" s="191"/>
      <c r="AC137" s="191"/>
      <c r="AD137" s="191"/>
      <c r="AE137" s="191"/>
      <c r="AF137" s="191"/>
      <c r="AG137" s="83"/>
      <c r="AH137" s="83"/>
      <c r="AI137" s="83"/>
    </row>
    <row r="138" spans="2:35" ht="15.75" customHeight="1">
      <c r="B138" s="95" t="s">
        <v>26</v>
      </c>
      <c r="C138" s="218">
        <f t="shared" si="194"/>
        <v>0</v>
      </c>
      <c r="D138" s="191"/>
      <c r="E138" s="191"/>
      <c r="F138" s="191"/>
      <c r="G138" s="191"/>
      <c r="H138" s="191"/>
      <c r="I138" s="191"/>
      <c r="J138" s="199"/>
      <c r="K138" s="191"/>
      <c r="L138" s="85"/>
      <c r="M138" s="149" t="s">
        <v>26</v>
      </c>
      <c r="N138" s="219">
        <f t="shared" si="195"/>
        <v>0</v>
      </c>
      <c r="O138" s="199"/>
      <c r="P138" s="199"/>
      <c r="Q138" s="191"/>
      <c r="R138" s="191"/>
      <c r="S138" s="191"/>
      <c r="T138" s="191"/>
      <c r="U138" s="191"/>
      <c r="V138" s="191"/>
      <c r="W138" s="188"/>
      <c r="X138" s="190" t="e">
        <f>SUM(X129:X137)</f>
        <v>#REF!</v>
      </c>
      <c r="Y138" s="191"/>
      <c r="Z138" s="190">
        <f>SUM(Z129:Z137)</f>
        <v>1436.27</v>
      </c>
      <c r="AA138" s="191"/>
      <c r="AB138" s="191"/>
      <c r="AC138" s="191"/>
      <c r="AD138" s="191"/>
      <c r="AE138" s="191"/>
      <c r="AF138" s="191"/>
      <c r="AG138" s="83"/>
      <c r="AH138" s="83"/>
      <c r="AI138" s="83"/>
    </row>
    <row r="139" spans="2:35" ht="15.75" customHeight="1">
      <c r="B139" s="95" t="s">
        <v>27</v>
      </c>
      <c r="C139" s="218">
        <f t="shared" si="194"/>
        <v>0</v>
      </c>
      <c r="D139" s="191"/>
      <c r="E139" s="199"/>
      <c r="F139" s="191"/>
      <c r="G139" s="191"/>
      <c r="H139" s="191"/>
      <c r="I139" s="191"/>
      <c r="J139" s="199"/>
      <c r="K139" s="191"/>
      <c r="L139" s="85"/>
      <c r="M139" s="149" t="s">
        <v>27</v>
      </c>
      <c r="N139" s="219">
        <f t="shared" si="195"/>
        <v>0</v>
      </c>
      <c r="O139" s="199"/>
      <c r="P139" s="199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83"/>
      <c r="AH139" s="83"/>
      <c r="AI139" s="83"/>
    </row>
    <row r="140" spans="2:35" ht="15.75" customHeight="1">
      <c r="B140" s="95" t="s">
        <v>337</v>
      </c>
      <c r="C140" s="218">
        <f t="shared" si="194"/>
        <v>0</v>
      </c>
      <c r="D140" s="191"/>
      <c r="E140" s="191"/>
      <c r="F140" s="191"/>
      <c r="G140" s="191"/>
      <c r="H140" s="191"/>
      <c r="I140" s="191"/>
      <c r="J140" s="199"/>
      <c r="K140" s="191"/>
      <c r="L140" s="85"/>
      <c r="M140" s="149" t="s">
        <v>337</v>
      </c>
      <c r="N140" s="219">
        <f t="shared" si="195"/>
        <v>0</v>
      </c>
      <c r="O140" s="199"/>
      <c r="P140" s="199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83"/>
      <c r="AH140" s="83"/>
      <c r="AI140" s="83"/>
    </row>
    <row r="141" spans="2:35" ht="15.75" customHeight="1">
      <c r="B141" s="95" t="s">
        <v>338</v>
      </c>
      <c r="C141" s="218">
        <f t="shared" si="194"/>
        <v>0</v>
      </c>
      <c r="D141" s="191"/>
      <c r="E141" s="191"/>
      <c r="F141" s="191"/>
      <c r="G141" s="191"/>
      <c r="H141" s="191"/>
      <c r="I141" s="191"/>
      <c r="J141" s="199"/>
      <c r="K141" s="191"/>
      <c r="L141" s="85"/>
      <c r="M141" s="149" t="s">
        <v>338</v>
      </c>
      <c r="N141" s="219">
        <f t="shared" si="195"/>
        <v>0</v>
      </c>
      <c r="O141" s="199"/>
      <c r="P141" s="199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83"/>
      <c r="AH141" s="83"/>
      <c r="AI141" s="83"/>
    </row>
    <row r="142" spans="2:35" ht="15.75" customHeight="1">
      <c r="B142" s="95"/>
      <c r="C142" s="218">
        <f t="shared" si="194"/>
        <v>0</v>
      </c>
      <c r="D142" s="191"/>
      <c r="E142" s="191"/>
      <c r="F142" s="191"/>
      <c r="G142" s="191"/>
      <c r="H142" s="191"/>
      <c r="I142" s="191"/>
      <c r="J142" s="199"/>
      <c r="K142" s="191"/>
      <c r="L142" s="85"/>
      <c r="M142" s="149" t="s">
        <v>339</v>
      </c>
      <c r="N142" s="219">
        <f t="shared" si="195"/>
        <v>0</v>
      </c>
      <c r="O142" s="199"/>
      <c r="P142" s="199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83"/>
      <c r="AH142" s="83"/>
      <c r="AI142" s="83"/>
    </row>
    <row r="143" spans="2:35" ht="15.75" customHeight="1">
      <c r="B143" s="223"/>
      <c r="C143" s="224">
        <f>SUM(C129:C142)</f>
        <v>1261.8800000000001</v>
      </c>
      <c r="D143" s="199"/>
      <c r="E143" s="191"/>
      <c r="F143" s="191"/>
      <c r="G143" s="191"/>
      <c r="H143" s="191"/>
      <c r="I143" s="191"/>
      <c r="J143" s="199"/>
      <c r="K143" s="191"/>
      <c r="L143" s="85"/>
      <c r="M143" s="149" t="s">
        <v>28</v>
      </c>
      <c r="N143" s="219">
        <f t="shared" si="195"/>
        <v>0</v>
      </c>
      <c r="O143" s="199"/>
      <c r="P143" s="199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83"/>
      <c r="AH143" s="83"/>
      <c r="AI143" s="83"/>
    </row>
    <row r="144" spans="2:35" ht="15.75" customHeight="1">
      <c r="B144" s="188"/>
      <c r="C144" s="191"/>
      <c r="D144" s="191"/>
      <c r="E144" s="191"/>
      <c r="F144" s="191"/>
      <c r="G144" s="191"/>
      <c r="H144" s="191"/>
      <c r="I144" s="191"/>
      <c r="J144" s="199"/>
      <c r="K144" s="191"/>
      <c r="L144" s="85"/>
      <c r="M144" s="149" t="s">
        <v>29</v>
      </c>
      <c r="N144" s="219">
        <f t="shared" si="195"/>
        <v>0</v>
      </c>
      <c r="O144" s="199"/>
      <c r="P144" s="199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83"/>
      <c r="AH144" s="83"/>
      <c r="AI144" s="83"/>
    </row>
    <row r="145" spans="2:35" ht="15.75" customHeight="1">
      <c r="B145" s="188"/>
      <c r="C145" s="191"/>
      <c r="D145" s="191"/>
      <c r="E145" s="191"/>
      <c r="F145" s="191"/>
      <c r="G145" s="191"/>
      <c r="H145" s="191"/>
      <c r="I145" s="191"/>
      <c r="J145" s="199"/>
      <c r="K145" s="191"/>
      <c r="L145" s="85"/>
      <c r="M145" s="149" t="s">
        <v>30</v>
      </c>
      <c r="N145" s="219">
        <f t="shared" si="195"/>
        <v>0</v>
      </c>
      <c r="O145" s="199"/>
      <c r="P145" s="199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83"/>
      <c r="AH145" s="83"/>
      <c r="AI145" s="83"/>
    </row>
    <row r="146" spans="2:35" ht="15.75" customHeight="1">
      <c r="B146" s="188"/>
      <c r="C146" s="191"/>
      <c r="D146" s="191"/>
      <c r="E146" s="191"/>
      <c r="F146" s="191"/>
      <c r="G146" s="191"/>
      <c r="H146" s="191"/>
      <c r="I146" s="191"/>
      <c r="J146" s="199"/>
      <c r="K146" s="191"/>
      <c r="L146" s="85"/>
      <c r="M146" s="149" t="s">
        <v>340</v>
      </c>
      <c r="N146" s="219">
        <f t="shared" si="195"/>
        <v>0</v>
      </c>
      <c r="O146" s="199"/>
      <c r="P146" s="199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83"/>
      <c r="AH146" s="83"/>
      <c r="AI146" s="83"/>
    </row>
    <row r="147" spans="2:35" ht="15.75" customHeight="1">
      <c r="B147" s="188"/>
      <c r="C147" s="191"/>
      <c r="D147" s="191"/>
      <c r="E147" s="191"/>
      <c r="F147" s="191"/>
      <c r="G147" s="191"/>
      <c r="H147" s="191"/>
      <c r="I147" s="191"/>
      <c r="J147" s="199"/>
      <c r="K147" s="191"/>
      <c r="L147" s="85"/>
      <c r="M147" s="149" t="s">
        <v>341</v>
      </c>
      <c r="N147" s="219">
        <f t="shared" si="195"/>
        <v>0</v>
      </c>
      <c r="O147" s="199"/>
      <c r="P147" s="199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83"/>
      <c r="AH147" s="83"/>
      <c r="AI147" s="83"/>
    </row>
    <row r="148" spans="2:35" ht="15.75" customHeight="1">
      <c r="B148" s="188"/>
      <c r="C148" s="191"/>
      <c r="D148" s="191"/>
      <c r="E148" s="191"/>
      <c r="F148" s="191"/>
      <c r="G148" s="191"/>
      <c r="H148" s="191"/>
      <c r="I148" s="191"/>
      <c r="J148" s="199"/>
      <c r="K148" s="191"/>
      <c r="L148" s="85"/>
      <c r="M148" s="149" t="s">
        <v>31</v>
      </c>
      <c r="N148" s="219">
        <f t="shared" si="195"/>
        <v>0</v>
      </c>
      <c r="O148" s="199"/>
      <c r="P148" s="199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83"/>
      <c r="AH148" s="83"/>
      <c r="AI148" s="83"/>
    </row>
    <row r="149" spans="2:35" ht="15.75" customHeight="1">
      <c r="B149" s="188"/>
      <c r="C149" s="191"/>
      <c r="D149" s="191"/>
      <c r="E149" s="191"/>
      <c r="F149" s="191"/>
      <c r="G149" s="191"/>
      <c r="H149" s="191"/>
      <c r="I149" s="191"/>
      <c r="J149" s="199"/>
      <c r="K149" s="191"/>
      <c r="L149" s="85"/>
      <c r="M149" s="188"/>
      <c r="N149" s="190">
        <f>SUM(N129:N148)</f>
        <v>3702.4049999999997</v>
      </c>
      <c r="O149" s="199"/>
      <c r="P149" s="199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83"/>
      <c r="AH149" s="83"/>
      <c r="AI149" s="83"/>
    </row>
    <row r="150" spans="2:35" ht="15.75" customHeight="1">
      <c r="B150" s="205" t="s">
        <v>33</v>
      </c>
      <c r="C150" s="80"/>
      <c r="D150" s="80"/>
      <c r="E150" s="80"/>
      <c r="F150" s="188"/>
      <c r="G150" s="191"/>
      <c r="H150" s="191"/>
      <c r="I150" s="191"/>
      <c r="J150" s="199"/>
      <c r="K150" s="191"/>
      <c r="L150" s="85"/>
      <c r="M150" s="199"/>
      <c r="N150" s="199"/>
      <c r="O150" s="199"/>
      <c r="P150" s="199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83"/>
      <c r="AH150" s="83"/>
      <c r="AI150" s="83"/>
    </row>
    <row r="151" spans="2:35" ht="15.75" customHeight="1">
      <c r="B151" s="187"/>
      <c r="C151" s="80"/>
      <c r="D151" s="80"/>
      <c r="E151" s="80"/>
      <c r="F151" s="188"/>
      <c r="G151" s="191"/>
      <c r="H151" s="191"/>
      <c r="I151" s="191"/>
      <c r="J151" s="199"/>
      <c r="K151" s="191"/>
      <c r="L151" s="85"/>
      <c r="M151" s="199"/>
      <c r="N151" s="199"/>
      <c r="O151" s="199"/>
      <c r="P151" s="199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83"/>
      <c r="AH151" s="83"/>
      <c r="AI151" s="83"/>
    </row>
    <row r="152" spans="2:35" ht="60" customHeight="1">
      <c r="B152" s="91" t="s">
        <v>357</v>
      </c>
      <c r="C152" s="323" t="s">
        <v>359</v>
      </c>
      <c r="D152" s="323"/>
      <c r="E152" s="323"/>
      <c r="F152" s="213">
        <f>SUM(U36:U38,U40:U42,U45:U52,U53,U55,U57,U61:U63,U65:U67,U70,U100:U101,U103:U104,U115)</f>
        <v>373.82999999999993</v>
      </c>
      <c r="G152" s="191"/>
      <c r="H152" s="191"/>
      <c r="I152" s="191"/>
      <c r="J152" s="199"/>
      <c r="K152" s="191"/>
      <c r="L152" s="85"/>
      <c r="M152" s="199"/>
      <c r="N152" s="199"/>
      <c r="O152" s="199"/>
      <c r="P152" s="199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83"/>
      <c r="AH152" s="83"/>
      <c r="AI152" s="83"/>
    </row>
    <row r="153" spans="2:35" ht="60" customHeight="1">
      <c r="B153" s="91" t="s">
        <v>366</v>
      </c>
      <c r="C153" s="323" t="s">
        <v>360</v>
      </c>
      <c r="D153" s="323"/>
      <c r="E153" s="323"/>
      <c r="F153" s="213">
        <f>SUM(U12:U13,U19:U24,U26,U39,U43:U44,U72:U76,U85:U89,U106:U107,U113:U114)</f>
        <v>242.01999999999998</v>
      </c>
      <c r="G153" s="191"/>
      <c r="H153" s="191"/>
      <c r="I153" s="191"/>
      <c r="J153" s="199"/>
      <c r="K153" s="191"/>
      <c r="L153" s="85"/>
      <c r="M153" s="199"/>
      <c r="N153" s="199"/>
      <c r="O153" s="199"/>
      <c r="P153" s="199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83"/>
      <c r="AH153" s="83"/>
      <c r="AI153" s="83"/>
    </row>
    <row r="154" spans="2:35" ht="34.950000000000003" customHeight="1">
      <c r="B154" s="91" t="s">
        <v>358</v>
      </c>
      <c r="C154" s="323" t="s">
        <v>361</v>
      </c>
      <c r="D154" s="323"/>
      <c r="E154" s="323"/>
      <c r="F154" s="213">
        <f>SUM(U14:U18,U60,U68:U69,U71)</f>
        <v>127</v>
      </c>
      <c r="G154" s="191"/>
      <c r="H154" s="191"/>
      <c r="I154" s="191"/>
      <c r="J154" s="199"/>
      <c r="K154" s="191"/>
      <c r="L154" s="85"/>
      <c r="M154" s="199"/>
      <c r="N154" s="199"/>
      <c r="O154" s="199"/>
      <c r="P154" s="199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83"/>
      <c r="AH154" s="83"/>
      <c r="AI154" s="83"/>
    </row>
    <row r="155" spans="2:35" ht="49.95" customHeight="1">
      <c r="B155" s="91" t="s">
        <v>356</v>
      </c>
      <c r="C155" s="323" t="s">
        <v>362</v>
      </c>
      <c r="D155" s="323"/>
      <c r="E155" s="323"/>
      <c r="F155" s="213">
        <f>SUM(U54,U56,U58,U116)</f>
        <v>84.580000000000013</v>
      </c>
      <c r="G155" s="191"/>
      <c r="H155" s="191"/>
      <c r="I155" s="191"/>
      <c r="J155" s="199"/>
      <c r="K155" s="191"/>
      <c r="L155" s="85"/>
      <c r="M155" s="199"/>
      <c r="N155" s="199"/>
      <c r="O155" s="199"/>
      <c r="P155" s="199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83"/>
      <c r="AH155" s="83"/>
      <c r="AI155" s="83"/>
    </row>
    <row r="156" spans="2:35" ht="60" customHeight="1">
      <c r="B156" s="91" t="s">
        <v>530</v>
      </c>
      <c r="C156" s="323" t="s">
        <v>532</v>
      </c>
      <c r="D156" s="323"/>
      <c r="E156" s="323"/>
      <c r="F156" s="213">
        <f>SUM(U25,U29,U32,U33,U77,U78,U79,U80,U81,U82,U83,U84,U90,U92,U95,U97,U99,U108,U111,U112,U118,U121)</f>
        <v>486.62999999999988</v>
      </c>
      <c r="G156" s="191"/>
      <c r="H156" s="191"/>
      <c r="I156" s="191"/>
      <c r="J156" s="199"/>
      <c r="K156" s="191"/>
      <c r="L156" s="85"/>
      <c r="M156" s="199"/>
      <c r="N156" s="199"/>
      <c r="O156" s="199"/>
      <c r="P156" s="199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83"/>
      <c r="AH156" s="83"/>
      <c r="AI156" s="83"/>
    </row>
    <row r="157" spans="2:35" ht="15.75" customHeight="1">
      <c r="B157" s="187"/>
      <c r="C157" s="80"/>
      <c r="D157" s="80"/>
      <c r="E157" s="80"/>
      <c r="F157" s="214">
        <f>SUM(F152:F156)</f>
        <v>1314.06</v>
      </c>
      <c r="G157" s="191"/>
      <c r="H157" s="191"/>
      <c r="I157" s="191"/>
      <c r="J157" s="199"/>
      <c r="K157" s="191"/>
      <c r="L157" s="85"/>
      <c r="M157" s="199"/>
      <c r="N157" s="199"/>
      <c r="O157" s="199"/>
      <c r="P157" s="199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83"/>
      <c r="AH157" s="83"/>
      <c r="AI157" s="83"/>
    </row>
    <row r="158" spans="2:35" ht="15.75" customHeight="1">
      <c r="B158" s="188"/>
      <c r="C158" s="191"/>
      <c r="D158" s="191"/>
      <c r="E158" s="191"/>
      <c r="F158" s="191"/>
      <c r="G158" s="191"/>
      <c r="H158" s="191"/>
      <c r="I158" s="191"/>
      <c r="J158" s="199"/>
      <c r="K158" s="191"/>
      <c r="L158" s="85"/>
      <c r="M158" s="199"/>
      <c r="N158" s="199"/>
      <c r="O158" s="199"/>
      <c r="P158" s="199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83"/>
      <c r="AH158" s="83"/>
      <c r="AI158" s="83"/>
    </row>
    <row r="159" spans="2:35" ht="15.75" customHeight="1">
      <c r="B159" s="188"/>
      <c r="C159" s="191"/>
      <c r="D159" s="191"/>
      <c r="E159" s="191"/>
      <c r="F159" s="191"/>
      <c r="G159" s="191"/>
      <c r="H159" s="191"/>
      <c r="I159" s="191"/>
      <c r="J159" s="199"/>
      <c r="K159" s="191"/>
      <c r="L159" s="85"/>
      <c r="M159" s="199"/>
      <c r="N159" s="199"/>
      <c r="O159" s="199"/>
      <c r="P159" s="199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83"/>
      <c r="AH159" s="83"/>
      <c r="AI159" s="83"/>
    </row>
    <row r="160" spans="2:35" ht="15.75" customHeight="1">
      <c r="B160" s="188"/>
      <c r="C160" s="191"/>
      <c r="D160" s="191"/>
      <c r="E160" s="191"/>
      <c r="F160" s="191"/>
      <c r="G160" s="191"/>
      <c r="H160" s="191"/>
      <c r="I160" s="191"/>
      <c r="J160" s="199"/>
      <c r="K160" s="191"/>
      <c r="L160" s="85"/>
      <c r="M160" s="199"/>
      <c r="N160" s="199"/>
      <c r="O160" s="199"/>
      <c r="P160" s="199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83"/>
      <c r="AH160" s="83"/>
      <c r="AI160" s="83"/>
    </row>
    <row r="161" spans="2:35" ht="15.75" customHeight="1">
      <c r="B161" s="188"/>
      <c r="C161" s="191"/>
      <c r="D161" s="191"/>
      <c r="E161" s="191"/>
      <c r="F161" s="191"/>
      <c r="G161" s="191"/>
      <c r="H161" s="191"/>
      <c r="I161" s="191"/>
      <c r="J161" s="199"/>
      <c r="K161" s="191"/>
      <c r="L161" s="85"/>
      <c r="M161" s="199"/>
      <c r="N161" s="199"/>
      <c r="O161" s="199"/>
      <c r="P161" s="199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83"/>
      <c r="AH161" s="83"/>
      <c r="AI161" s="83"/>
    </row>
    <row r="162" spans="2:35" ht="15.75" customHeight="1">
      <c r="B162" s="188"/>
      <c r="C162" s="191"/>
      <c r="D162" s="191"/>
      <c r="E162" s="191"/>
      <c r="F162" s="191"/>
      <c r="G162" s="191"/>
      <c r="H162" s="191"/>
      <c r="I162" s="191"/>
      <c r="J162" s="199"/>
      <c r="K162" s="191"/>
      <c r="L162" s="85"/>
      <c r="M162" s="199"/>
      <c r="N162" s="199"/>
      <c r="O162" s="199"/>
      <c r="P162" s="199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83"/>
      <c r="AH162" s="83"/>
      <c r="AI162" s="83"/>
    </row>
    <row r="163" spans="2:35" ht="15.75" customHeight="1">
      <c r="B163" s="188"/>
      <c r="C163" s="191"/>
      <c r="D163" s="191"/>
      <c r="E163" s="191"/>
      <c r="F163" s="191"/>
      <c r="G163" s="191"/>
      <c r="H163" s="191"/>
      <c r="I163" s="191"/>
      <c r="J163" s="199"/>
      <c r="K163" s="191"/>
      <c r="L163" s="85"/>
      <c r="M163" s="199"/>
      <c r="N163" s="199"/>
      <c r="O163" s="199"/>
      <c r="P163" s="199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83"/>
      <c r="AH163" s="83"/>
      <c r="AI163" s="83"/>
    </row>
    <row r="164" spans="2:35" ht="15.75" customHeight="1">
      <c r="B164" s="188"/>
      <c r="C164" s="191"/>
      <c r="D164" s="191"/>
      <c r="E164" s="191"/>
      <c r="F164" s="191"/>
      <c r="G164" s="191"/>
      <c r="H164" s="191"/>
      <c r="I164" s="191"/>
      <c r="J164" s="199"/>
      <c r="K164" s="191"/>
      <c r="L164" s="85"/>
      <c r="M164" s="199"/>
      <c r="N164" s="199"/>
      <c r="O164" s="199"/>
      <c r="P164" s="199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83"/>
      <c r="AH164" s="83"/>
      <c r="AI164" s="83"/>
    </row>
    <row r="165" spans="2:35" ht="15.75" customHeight="1">
      <c r="B165" s="188"/>
      <c r="C165" s="191"/>
      <c r="D165" s="191"/>
      <c r="E165" s="191"/>
      <c r="F165" s="191"/>
      <c r="G165" s="191"/>
      <c r="H165" s="191"/>
      <c r="I165" s="191"/>
      <c r="J165" s="199"/>
      <c r="K165" s="191"/>
      <c r="L165" s="85"/>
      <c r="M165" s="199"/>
      <c r="N165" s="199"/>
      <c r="O165" s="199"/>
      <c r="P165" s="199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83"/>
      <c r="AH165" s="83"/>
      <c r="AI165" s="83"/>
    </row>
    <row r="166" spans="2:35" ht="15.75" customHeight="1">
      <c r="B166" s="188"/>
      <c r="C166" s="191"/>
      <c r="D166" s="191"/>
      <c r="E166" s="191"/>
      <c r="F166" s="191"/>
      <c r="G166" s="191"/>
      <c r="H166" s="191"/>
      <c r="I166" s="191"/>
      <c r="J166" s="199"/>
      <c r="K166" s="191"/>
      <c r="L166" s="85"/>
      <c r="M166" s="199"/>
      <c r="N166" s="199"/>
      <c r="O166" s="199"/>
      <c r="P166" s="199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83"/>
      <c r="AH166" s="83"/>
      <c r="AI166" s="83"/>
    </row>
    <row r="167" spans="2:35" ht="15.75" customHeight="1">
      <c r="B167" s="188"/>
      <c r="C167" s="191"/>
      <c r="D167" s="191"/>
      <c r="E167" s="191"/>
      <c r="F167" s="191"/>
      <c r="G167" s="191"/>
      <c r="H167" s="191"/>
      <c r="I167" s="191"/>
      <c r="J167" s="199"/>
      <c r="K167" s="191"/>
      <c r="L167" s="85"/>
      <c r="M167" s="199"/>
      <c r="N167" s="199"/>
      <c r="O167" s="199"/>
      <c r="P167" s="199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83"/>
      <c r="AH167" s="83"/>
      <c r="AI167" s="83"/>
    </row>
    <row r="168" spans="2:35" ht="15.75" customHeight="1">
      <c r="B168" s="188"/>
      <c r="C168" s="191"/>
      <c r="D168" s="199"/>
      <c r="E168" s="191"/>
      <c r="F168" s="191"/>
      <c r="G168" s="191"/>
      <c r="H168" s="191"/>
      <c r="I168" s="191"/>
      <c r="J168" s="199"/>
      <c r="K168" s="191"/>
      <c r="L168" s="85"/>
      <c r="M168" s="199"/>
      <c r="N168" s="199"/>
      <c r="O168" s="199"/>
      <c r="P168" s="199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83"/>
      <c r="AH168" s="83"/>
      <c r="AI168" s="83"/>
    </row>
    <row r="169" spans="2:35" ht="15.75" customHeight="1">
      <c r="B169" s="188"/>
      <c r="C169" s="191"/>
      <c r="D169" s="191"/>
      <c r="E169" s="191"/>
      <c r="F169" s="191"/>
      <c r="G169" s="191"/>
      <c r="H169" s="191"/>
      <c r="I169" s="191"/>
      <c r="J169" s="199"/>
      <c r="K169" s="191"/>
      <c r="L169" s="85"/>
      <c r="M169" s="199"/>
      <c r="N169" s="199"/>
      <c r="O169" s="199"/>
      <c r="P169" s="199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83"/>
      <c r="AH169" s="83"/>
      <c r="AI169" s="83"/>
    </row>
    <row r="170" spans="2:35" ht="15.75" customHeight="1">
      <c r="B170" s="188"/>
      <c r="C170" s="191"/>
      <c r="D170" s="191"/>
      <c r="E170" s="191"/>
      <c r="F170" s="191"/>
      <c r="G170" s="191"/>
      <c r="H170" s="191"/>
      <c r="I170" s="191"/>
      <c r="J170" s="199"/>
      <c r="K170" s="191"/>
      <c r="L170" s="85"/>
      <c r="M170" s="199"/>
      <c r="N170" s="199"/>
      <c r="O170" s="199"/>
      <c r="P170" s="199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83"/>
      <c r="AH170" s="83"/>
      <c r="AI170" s="83"/>
    </row>
    <row r="171" spans="2:35" ht="15.75" customHeight="1">
      <c r="B171" s="188"/>
      <c r="C171" s="191"/>
      <c r="D171" s="199"/>
      <c r="E171" s="191"/>
      <c r="F171" s="191"/>
      <c r="G171" s="191"/>
      <c r="H171" s="191"/>
      <c r="I171" s="191"/>
      <c r="J171" s="199"/>
      <c r="K171" s="191"/>
      <c r="L171" s="85"/>
      <c r="M171" s="199"/>
      <c r="N171" s="199"/>
      <c r="O171" s="199"/>
      <c r="P171" s="199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83"/>
      <c r="AH171" s="83"/>
      <c r="AI171" s="83"/>
    </row>
    <row r="172" spans="2:35" ht="15.75" customHeight="1">
      <c r="B172" s="188"/>
      <c r="C172" s="191"/>
      <c r="D172" s="191"/>
      <c r="E172" s="191"/>
      <c r="F172" s="191"/>
      <c r="G172" s="191"/>
      <c r="H172" s="191"/>
      <c r="I172" s="191"/>
      <c r="J172" s="199"/>
      <c r="K172" s="191"/>
      <c r="L172" s="85"/>
      <c r="M172" s="199"/>
      <c r="N172" s="199"/>
      <c r="O172" s="199"/>
      <c r="P172" s="199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83"/>
      <c r="AH172" s="83"/>
      <c r="AI172" s="83"/>
    </row>
    <row r="173" spans="2:35" ht="15.75" customHeight="1">
      <c r="B173" s="188"/>
      <c r="C173" s="191"/>
      <c r="D173" s="191"/>
      <c r="E173" s="191"/>
      <c r="F173" s="191"/>
      <c r="G173" s="191"/>
      <c r="H173" s="191"/>
      <c r="I173" s="191"/>
      <c r="J173" s="191"/>
      <c r="K173" s="191"/>
      <c r="L173" s="85"/>
      <c r="M173" s="191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83"/>
      <c r="AH173" s="83"/>
      <c r="AI173" s="83"/>
    </row>
    <row r="174" spans="2:35" ht="15.75" customHeight="1">
      <c r="B174" s="188"/>
      <c r="C174" s="191"/>
      <c r="D174" s="191"/>
      <c r="E174" s="191"/>
      <c r="F174" s="191"/>
      <c r="G174" s="191"/>
      <c r="H174" s="191"/>
      <c r="I174" s="191"/>
      <c r="J174" s="191"/>
      <c r="K174" s="191"/>
      <c r="L174" s="85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83"/>
      <c r="AH174" s="83"/>
      <c r="AI174" s="83"/>
    </row>
    <row r="175" spans="2:35" ht="70.05" customHeight="1">
      <c r="B175" s="188"/>
      <c r="C175" s="191"/>
      <c r="D175" s="191"/>
      <c r="E175" s="191"/>
      <c r="F175" s="191"/>
      <c r="G175" s="191"/>
      <c r="H175" s="191"/>
      <c r="I175" s="191"/>
      <c r="J175" s="191"/>
      <c r="K175" s="191"/>
      <c r="L175" s="85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83"/>
      <c r="AH175" s="83"/>
      <c r="AI175" s="83"/>
    </row>
    <row r="176" spans="2:35" ht="70.05" customHeight="1">
      <c r="B176" s="188"/>
      <c r="C176" s="191"/>
      <c r="D176" s="191"/>
      <c r="E176" s="191"/>
      <c r="F176" s="191"/>
      <c r="G176" s="191"/>
      <c r="H176" s="191"/>
      <c r="I176" s="191"/>
      <c r="J176" s="191"/>
      <c r="K176" s="191"/>
      <c r="L176" s="85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83"/>
      <c r="AH176" s="83"/>
      <c r="AI176" s="83"/>
    </row>
    <row r="177" spans="2:35" ht="33" customHeight="1">
      <c r="B177" s="188"/>
      <c r="C177" s="191"/>
      <c r="D177" s="191"/>
      <c r="E177" s="191"/>
      <c r="F177" s="191"/>
      <c r="G177" s="191"/>
      <c r="H177" s="191"/>
      <c r="I177" s="191"/>
      <c r="J177" s="191"/>
      <c r="K177" s="191"/>
      <c r="L177" s="85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83"/>
      <c r="AH177" s="83"/>
      <c r="AI177" s="83"/>
    </row>
    <row r="178" spans="2:35" ht="44.25" customHeight="1">
      <c r="B178" s="188"/>
      <c r="C178" s="191"/>
      <c r="D178" s="191"/>
      <c r="E178" s="191"/>
      <c r="F178" s="191"/>
      <c r="G178" s="191"/>
      <c r="H178" s="225"/>
      <c r="I178" s="191"/>
      <c r="J178" s="191"/>
      <c r="K178" s="191"/>
      <c r="L178" s="85"/>
      <c r="M178" s="191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83"/>
      <c r="AH178" s="83"/>
      <c r="AI178" s="83"/>
    </row>
    <row r="179" spans="2:35" ht="44.25" customHeight="1">
      <c r="B179" s="188"/>
      <c r="C179" s="191"/>
      <c r="D179" s="191"/>
      <c r="E179" s="191"/>
      <c r="F179" s="191"/>
      <c r="G179" s="191"/>
      <c r="H179" s="225"/>
      <c r="I179" s="191"/>
      <c r="J179" s="191"/>
      <c r="K179" s="191"/>
      <c r="L179" s="85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83"/>
      <c r="AH179" s="83"/>
      <c r="AI179" s="83"/>
    </row>
    <row r="180" spans="2:35" ht="15.75" customHeight="1">
      <c r="B180" s="188"/>
      <c r="C180" s="191"/>
      <c r="D180" s="191"/>
      <c r="E180" s="191"/>
      <c r="F180" s="191"/>
      <c r="G180" s="191"/>
      <c r="H180" s="191"/>
      <c r="I180" s="191"/>
      <c r="J180" s="191"/>
      <c r="K180" s="191"/>
      <c r="L180" s="85"/>
      <c r="M180" s="191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83"/>
      <c r="AH180" s="83"/>
      <c r="AI180" s="83"/>
    </row>
    <row r="181" spans="2:35" ht="15.75" customHeight="1">
      <c r="B181" s="187"/>
      <c r="C181" s="80"/>
      <c r="D181" s="80"/>
      <c r="E181" s="80"/>
      <c r="F181" s="188"/>
      <c r="G181" s="191"/>
      <c r="H181" s="191"/>
      <c r="I181" s="191"/>
      <c r="J181" s="191"/>
      <c r="K181" s="191"/>
      <c r="L181" s="85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83"/>
      <c r="AH181" s="83"/>
      <c r="AI181" s="83"/>
    </row>
    <row r="182" spans="2:35" ht="15.75" customHeight="1">
      <c r="B182" s="205"/>
      <c r="C182" s="80"/>
      <c r="D182" s="80"/>
      <c r="E182" s="80"/>
      <c r="F182" s="188"/>
      <c r="G182" s="191"/>
      <c r="H182" s="191"/>
      <c r="I182" s="191"/>
      <c r="J182" s="191"/>
      <c r="K182" s="191"/>
      <c r="L182" s="85"/>
      <c r="M182" s="191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83"/>
      <c r="AH182" s="83"/>
      <c r="AI182" s="83"/>
    </row>
    <row r="183" spans="2:35" ht="15.75" customHeight="1">
      <c r="B183" s="188"/>
      <c r="C183" s="191"/>
      <c r="D183" s="191"/>
      <c r="E183" s="191"/>
      <c r="F183" s="191"/>
      <c r="G183" s="191"/>
      <c r="H183" s="191"/>
      <c r="I183" s="191"/>
      <c r="J183" s="191"/>
      <c r="K183" s="191"/>
      <c r="L183" s="85"/>
      <c r="M183" s="191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83"/>
      <c r="AH183" s="83"/>
      <c r="AI183" s="83"/>
    </row>
    <row r="184" spans="2:35" ht="15.75" customHeight="1">
      <c r="B184" s="188"/>
      <c r="C184" s="191"/>
      <c r="D184" s="191"/>
      <c r="E184" s="191"/>
      <c r="F184" s="191"/>
      <c r="G184" s="191"/>
      <c r="H184" s="191"/>
      <c r="I184" s="191"/>
      <c r="J184" s="191"/>
      <c r="K184" s="191"/>
      <c r="L184" s="85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83"/>
      <c r="AH184" s="83"/>
      <c r="AI184" s="83"/>
    </row>
    <row r="185" spans="2:35" ht="25.05" customHeight="1">
      <c r="B185" s="188"/>
      <c r="C185" s="191"/>
      <c r="D185" s="191"/>
      <c r="E185" s="191"/>
      <c r="F185" s="191"/>
      <c r="G185" s="191"/>
      <c r="H185" s="191"/>
      <c r="I185" s="191"/>
      <c r="J185" s="191"/>
      <c r="K185" s="191"/>
      <c r="L185" s="85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83"/>
      <c r="AH185" s="83"/>
      <c r="AI185" s="83"/>
    </row>
    <row r="186" spans="2:35" ht="15.75" customHeight="1">
      <c r="B186" s="188"/>
      <c r="C186" s="191"/>
      <c r="D186" s="191"/>
      <c r="E186" s="191"/>
      <c r="F186" s="191"/>
      <c r="G186" s="191"/>
      <c r="H186" s="191"/>
      <c r="I186" s="191"/>
      <c r="J186" s="191"/>
      <c r="K186" s="191"/>
      <c r="L186" s="85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83"/>
      <c r="AH186" s="83"/>
      <c r="AI186" s="83"/>
    </row>
    <row r="187" spans="2:35" ht="15.75" customHeight="1">
      <c r="B187" s="188"/>
      <c r="C187" s="191"/>
      <c r="D187" s="191"/>
      <c r="E187" s="191"/>
      <c r="F187" s="191"/>
      <c r="G187" s="191"/>
      <c r="H187" s="191"/>
      <c r="I187" s="191"/>
      <c r="J187" s="191"/>
      <c r="K187" s="191"/>
      <c r="L187" s="85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83"/>
      <c r="AH187" s="83"/>
      <c r="AI187" s="83"/>
    </row>
    <row r="188" spans="2:35" ht="15.75" customHeight="1">
      <c r="B188" s="188"/>
      <c r="C188" s="191"/>
      <c r="D188" s="191"/>
      <c r="E188" s="191"/>
      <c r="F188" s="191"/>
      <c r="G188" s="191"/>
      <c r="H188" s="191"/>
      <c r="I188" s="191"/>
      <c r="J188" s="191"/>
      <c r="K188" s="191"/>
      <c r="L188" s="85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83"/>
      <c r="AH188" s="83"/>
      <c r="AI188" s="83"/>
    </row>
    <row r="189" spans="2:35" ht="15.75" customHeight="1">
      <c r="B189" s="188"/>
      <c r="C189" s="191"/>
      <c r="D189" s="191"/>
      <c r="E189" s="191"/>
      <c r="F189" s="191"/>
      <c r="G189" s="191"/>
      <c r="H189" s="191"/>
      <c r="I189" s="191"/>
      <c r="J189" s="191"/>
      <c r="K189" s="191"/>
      <c r="L189" s="85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83"/>
      <c r="AH189" s="83"/>
      <c r="AI189" s="83"/>
    </row>
    <row r="190" spans="2:35" ht="15.75" customHeight="1">
      <c r="B190" s="188"/>
      <c r="C190" s="191"/>
      <c r="D190" s="191"/>
      <c r="E190" s="191"/>
      <c r="F190" s="191"/>
      <c r="G190" s="191"/>
      <c r="H190" s="191"/>
      <c r="I190" s="191"/>
      <c r="J190" s="191"/>
      <c r="K190" s="191"/>
      <c r="L190" s="85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83"/>
      <c r="AH190" s="83"/>
      <c r="AI190" s="83"/>
    </row>
    <row r="191" spans="2:35" ht="15.75" customHeight="1">
      <c r="B191" s="188"/>
      <c r="C191" s="191"/>
      <c r="D191" s="191"/>
      <c r="E191" s="191"/>
      <c r="F191" s="191"/>
      <c r="G191" s="191"/>
      <c r="H191" s="191"/>
      <c r="I191" s="191"/>
      <c r="J191" s="191"/>
      <c r="K191" s="191"/>
      <c r="L191" s="85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83"/>
      <c r="AH191" s="83"/>
      <c r="AI191" s="83"/>
    </row>
    <row r="192" spans="2:35" ht="15.75" customHeight="1">
      <c r="B192" s="188"/>
      <c r="C192" s="191"/>
      <c r="D192" s="191"/>
      <c r="E192" s="191"/>
      <c r="F192" s="191"/>
      <c r="G192" s="191"/>
      <c r="H192" s="191"/>
      <c r="I192" s="191"/>
      <c r="J192" s="191"/>
      <c r="K192" s="191"/>
      <c r="L192" s="85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83"/>
      <c r="AH192" s="83"/>
      <c r="AI192" s="83"/>
    </row>
    <row r="193" spans="2:35" ht="15.75" customHeight="1">
      <c r="B193" s="188"/>
      <c r="C193" s="191"/>
      <c r="D193" s="191"/>
      <c r="E193" s="191"/>
      <c r="F193" s="191"/>
      <c r="G193" s="191"/>
      <c r="H193" s="191"/>
      <c r="I193" s="191"/>
      <c r="J193" s="191"/>
      <c r="K193" s="191"/>
      <c r="L193" s="85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83"/>
      <c r="AH193" s="83"/>
      <c r="AI193" s="83"/>
    </row>
    <row r="194" spans="2:35" ht="15.75" customHeight="1">
      <c r="B194" s="188"/>
      <c r="C194" s="191"/>
      <c r="D194" s="191"/>
      <c r="E194" s="191"/>
      <c r="F194" s="191"/>
      <c r="G194" s="191"/>
      <c r="H194" s="191"/>
      <c r="I194" s="191"/>
      <c r="J194" s="191"/>
      <c r="K194" s="191"/>
      <c r="L194" s="85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83"/>
      <c r="AH194" s="83"/>
      <c r="AI194" s="83"/>
    </row>
    <row r="195" spans="2:35" ht="15.75" customHeight="1">
      <c r="B195" s="188"/>
      <c r="C195" s="191"/>
      <c r="D195" s="191"/>
      <c r="E195" s="191"/>
      <c r="F195" s="191"/>
      <c r="G195" s="191"/>
      <c r="H195" s="191"/>
      <c r="I195" s="191"/>
      <c r="J195" s="191"/>
      <c r="K195" s="191"/>
      <c r="L195" s="85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83"/>
      <c r="AH195" s="83"/>
      <c r="AI195" s="83"/>
    </row>
    <row r="196" spans="2:35" ht="15.75" customHeight="1">
      <c r="B196" s="188"/>
      <c r="C196" s="191"/>
      <c r="D196" s="191"/>
      <c r="E196" s="191"/>
      <c r="F196" s="191"/>
      <c r="G196" s="191"/>
      <c r="H196" s="191"/>
      <c r="I196" s="191"/>
      <c r="J196" s="191"/>
      <c r="K196" s="191"/>
      <c r="L196" s="85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83"/>
      <c r="AH196" s="83"/>
      <c r="AI196" s="83"/>
    </row>
    <row r="197" spans="2:35" ht="15.75" customHeight="1"/>
    <row r="198" spans="2:35" ht="15.75" customHeight="1"/>
    <row r="199" spans="2:35" ht="15.75" customHeight="1"/>
    <row r="200" spans="2:35" ht="15.75" customHeight="1"/>
    <row r="201" spans="2:35" ht="15.75" customHeight="1"/>
    <row r="202" spans="2:35" ht="15.75" customHeight="1"/>
    <row r="203" spans="2:35" ht="15.75" customHeight="1"/>
    <row r="204" spans="2:35" ht="15.75" customHeight="1"/>
    <row r="205" spans="2:35" ht="15.75" customHeight="1"/>
    <row r="206" spans="2:35" ht="15.75" customHeight="1"/>
    <row r="207" spans="2:35" ht="15.75" customHeight="1"/>
    <row r="208" spans="2:3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</sheetData>
  <mergeCells count="7">
    <mergeCell ref="AF129:AH129"/>
    <mergeCell ref="C156:E156"/>
    <mergeCell ref="AF130:AH130"/>
    <mergeCell ref="C152:E152"/>
    <mergeCell ref="C153:E153"/>
    <mergeCell ref="C154:E154"/>
    <mergeCell ref="C155:E155"/>
  </mergeCells>
  <phoneticPr fontId="19" type="noConversion"/>
  <pageMargins left="0.51181102362204722" right="0.51181102362204722" top="1.1811023622047243" bottom="1.1811023622047243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48536"/>
  <sheetViews>
    <sheetView tabSelected="1" topLeftCell="S102" zoomScale="110" zoomScaleNormal="110" workbookViewId="0">
      <selection activeCell="AF118" sqref="AF118:AH118"/>
    </sheetView>
  </sheetViews>
  <sheetFormatPr defaultRowHeight="15" customHeight="1"/>
  <cols>
    <col min="1" max="1" width="3.09765625" style="5" customWidth="1"/>
    <col min="2" max="2" width="25.69921875" style="21" customWidth="1"/>
    <col min="3" max="3" width="6.796875" style="16" customWidth="1"/>
    <col min="4" max="4" width="6.69921875" style="16" customWidth="1"/>
    <col min="5" max="5" width="8.69921875" style="16" customWidth="1"/>
    <col min="6" max="6" width="8.796875" style="16" customWidth="1"/>
    <col min="7" max="7" width="6.5" style="16" customWidth="1"/>
    <col min="8" max="8" width="7.69921875" style="16" customWidth="1"/>
    <col min="9" max="9" width="8.3984375" style="16" customWidth="1"/>
    <col min="10" max="10" width="8.69921875" style="16" customWidth="1"/>
    <col min="11" max="11" width="2.69921875" style="16" customWidth="1"/>
    <col min="12" max="13" width="6.69921875" style="16" customWidth="1"/>
    <col min="14" max="14" width="8.69921875" style="16" customWidth="1"/>
    <col min="15" max="15" width="6.19921875" style="16" customWidth="1"/>
    <col min="16" max="16" width="7.796875" style="16" customWidth="1"/>
    <col min="17" max="17" width="8.19921875" style="16" customWidth="1"/>
    <col min="18" max="18" width="8.5" style="16" customWidth="1"/>
    <col min="19" max="19" width="2.8984375" style="16" customWidth="1"/>
    <col min="20" max="20" width="6.796875" style="16" customWidth="1"/>
    <col min="21" max="21" width="8.69921875" style="16" bestFit="1" customWidth="1"/>
    <col min="22" max="22" width="2.69921875" style="16" customWidth="1"/>
    <col min="23" max="23" width="6.69921875" style="15" customWidth="1"/>
    <col min="24" max="24" width="6.69921875" style="16" customWidth="1"/>
    <col min="25" max="25" width="7.09765625" style="16" customWidth="1"/>
    <col min="26" max="27" width="7.69921875" style="16" customWidth="1"/>
    <col min="28" max="29" width="8.69921875" style="16" customWidth="1"/>
    <col min="30" max="30" width="2.69921875" style="16" customWidth="1"/>
    <col min="31" max="31" width="6.69921875" style="16" customWidth="1"/>
    <col min="32" max="32" width="8.69921875" style="16" customWidth="1"/>
    <col min="33" max="34" width="13.3984375" customWidth="1"/>
    <col min="35" max="35" width="8" customWidth="1"/>
    <col min="36" max="1024" width="13.3984375" customWidth="1"/>
  </cols>
  <sheetData>
    <row r="1" spans="1:32" ht="15" customHeight="1">
      <c r="F1" s="28"/>
    </row>
    <row r="2" spans="1:32" ht="15" customHeight="1">
      <c r="A2" s="279" t="s">
        <v>281</v>
      </c>
      <c r="B2" s="282" t="s">
        <v>282</v>
      </c>
      <c r="C2" s="191"/>
      <c r="D2" s="191"/>
      <c r="E2" s="191"/>
      <c r="F2" s="28"/>
      <c r="I2" s="66" t="s">
        <v>423</v>
      </c>
    </row>
    <row r="3" spans="1:32" ht="15" customHeight="1">
      <c r="A3" s="279" t="s">
        <v>283</v>
      </c>
      <c r="B3" s="282" t="s">
        <v>284</v>
      </c>
      <c r="C3" s="191"/>
      <c r="D3" s="191"/>
      <c r="E3" s="191"/>
      <c r="F3" s="28"/>
      <c r="I3" s="67" t="s">
        <v>391</v>
      </c>
    </row>
    <row r="4" spans="1:32" ht="15" customHeight="1">
      <c r="A4" s="191"/>
      <c r="B4" s="283" t="s">
        <v>636</v>
      </c>
      <c r="C4" s="191"/>
      <c r="D4" s="191"/>
      <c r="E4" s="191"/>
      <c r="F4" s="28"/>
      <c r="I4" s="68" t="s">
        <v>392</v>
      </c>
    </row>
    <row r="5" spans="1:32" ht="15" customHeight="1">
      <c r="F5" s="28"/>
      <c r="I5" s="71" t="s">
        <v>526</v>
      </c>
    </row>
    <row r="7" spans="1:32" ht="13.8">
      <c r="B7" s="43"/>
      <c r="L7" s="44"/>
      <c r="M7" s="44"/>
      <c r="T7" s="44"/>
      <c r="U7" s="44"/>
      <c r="W7" s="60"/>
      <c r="AE7" s="44"/>
      <c r="AF7" s="44"/>
    </row>
    <row r="8" spans="1:32" ht="13.8">
      <c r="B8" s="276" t="s">
        <v>35</v>
      </c>
      <c r="C8" s="191"/>
      <c r="D8" s="191"/>
      <c r="E8" s="191"/>
      <c r="F8" s="191"/>
      <c r="G8" s="191"/>
      <c r="H8" s="191"/>
      <c r="I8" s="191"/>
      <c r="J8" s="191"/>
      <c r="K8" s="191"/>
      <c r="L8" s="273" t="s">
        <v>36</v>
      </c>
      <c r="M8" s="273"/>
      <c r="N8" s="191"/>
      <c r="O8" s="191"/>
      <c r="P8" s="191"/>
      <c r="Q8" s="191"/>
      <c r="R8" s="191"/>
      <c r="S8" s="191"/>
      <c r="T8" s="273" t="s">
        <v>33</v>
      </c>
      <c r="U8" s="273"/>
      <c r="V8" s="191"/>
      <c r="W8" s="275" t="s">
        <v>37</v>
      </c>
      <c r="X8" s="191"/>
      <c r="Y8" s="191"/>
      <c r="Z8" s="191"/>
      <c r="AA8" s="191"/>
      <c r="AB8" s="191"/>
      <c r="AC8" s="191"/>
      <c r="AD8" s="191"/>
      <c r="AE8" s="273" t="s">
        <v>34</v>
      </c>
      <c r="AF8" s="273"/>
    </row>
    <row r="9" spans="1:32" ht="15" customHeight="1">
      <c r="A9" s="6" t="s">
        <v>347</v>
      </c>
    </row>
    <row r="10" spans="1:32" ht="13.8">
      <c r="A10" s="6" t="s">
        <v>344</v>
      </c>
      <c r="B10" s="79" t="s">
        <v>38</v>
      </c>
      <c r="C10" s="79" t="s">
        <v>39</v>
      </c>
      <c r="D10" s="79" t="s">
        <v>40</v>
      </c>
      <c r="E10" s="79" t="s">
        <v>41</v>
      </c>
      <c r="F10" s="79" t="s">
        <v>42</v>
      </c>
      <c r="G10" s="79" t="s">
        <v>43</v>
      </c>
      <c r="H10" s="79" t="s">
        <v>44</v>
      </c>
      <c r="I10" s="79" t="s">
        <v>45</v>
      </c>
      <c r="J10" s="79" t="s">
        <v>46</v>
      </c>
      <c r="K10" s="85"/>
      <c r="L10" s="82" t="s">
        <v>39</v>
      </c>
      <c r="M10" s="82" t="s">
        <v>40</v>
      </c>
      <c r="N10" s="82" t="s">
        <v>47</v>
      </c>
      <c r="O10" s="82" t="s">
        <v>48</v>
      </c>
      <c r="P10" s="82" t="s">
        <v>44</v>
      </c>
      <c r="Q10" s="82" t="s">
        <v>49</v>
      </c>
      <c r="R10" s="82" t="s">
        <v>46</v>
      </c>
      <c r="S10" s="85"/>
      <c r="T10" s="84" t="s">
        <v>39</v>
      </c>
      <c r="U10" s="84" t="s">
        <v>47</v>
      </c>
      <c r="V10" s="85"/>
      <c r="W10" s="88" t="s">
        <v>39</v>
      </c>
      <c r="X10" s="88" t="s">
        <v>41</v>
      </c>
      <c r="Y10" s="88" t="s">
        <v>42</v>
      </c>
      <c r="Z10" s="88" t="s">
        <v>43</v>
      </c>
      <c r="AA10" s="88" t="s">
        <v>44</v>
      </c>
      <c r="AB10" s="88" t="s">
        <v>45</v>
      </c>
      <c r="AC10" s="88" t="s">
        <v>46</v>
      </c>
      <c r="AD10" s="85"/>
      <c r="AE10" s="84" t="s">
        <v>39</v>
      </c>
      <c r="AF10" s="84" t="s">
        <v>47</v>
      </c>
    </row>
    <row r="11" spans="1:32" ht="13.8">
      <c r="B11" s="79"/>
      <c r="C11" s="79" t="s">
        <v>50</v>
      </c>
      <c r="D11" s="79"/>
      <c r="E11" s="79" t="s">
        <v>51</v>
      </c>
      <c r="F11" s="79" t="s">
        <v>52</v>
      </c>
      <c r="G11" s="79" t="s">
        <v>51</v>
      </c>
      <c r="H11" s="79" t="s">
        <v>51</v>
      </c>
      <c r="I11" s="79" t="s">
        <v>51</v>
      </c>
      <c r="J11" s="79" t="s">
        <v>51</v>
      </c>
      <c r="K11" s="85"/>
      <c r="L11" s="82" t="s">
        <v>53</v>
      </c>
      <c r="M11" s="82"/>
      <c r="N11" s="82" t="s">
        <v>52</v>
      </c>
      <c r="O11" s="82" t="s">
        <v>51</v>
      </c>
      <c r="P11" s="82" t="s">
        <v>51</v>
      </c>
      <c r="Q11" s="82" t="s">
        <v>51</v>
      </c>
      <c r="R11" s="82" t="s">
        <v>51</v>
      </c>
      <c r="S11" s="85"/>
      <c r="T11" s="84"/>
      <c r="U11" s="84" t="s">
        <v>52</v>
      </c>
      <c r="V11" s="85"/>
      <c r="W11" s="88"/>
      <c r="X11" s="88" t="s">
        <v>51</v>
      </c>
      <c r="Y11" s="88" t="s">
        <v>52</v>
      </c>
      <c r="Z11" s="88" t="s">
        <v>51</v>
      </c>
      <c r="AA11" s="88" t="s">
        <v>51</v>
      </c>
      <c r="AB11" s="88" t="s">
        <v>51</v>
      </c>
      <c r="AC11" s="88" t="s">
        <v>51</v>
      </c>
      <c r="AD11" s="85"/>
      <c r="AE11" s="84"/>
      <c r="AF11" s="84" t="s">
        <v>52</v>
      </c>
    </row>
    <row r="12" spans="1:32" s="11" customFormat="1" ht="13.8">
      <c r="A12" s="5"/>
      <c r="B12" s="138" t="s">
        <v>374</v>
      </c>
      <c r="C12" s="318" t="s">
        <v>17</v>
      </c>
      <c r="D12" s="95">
        <v>1</v>
      </c>
      <c r="E12" s="95" t="s">
        <v>57</v>
      </c>
      <c r="F12" s="95" t="s">
        <v>57</v>
      </c>
      <c r="G12" s="123">
        <v>19.760000000000002</v>
      </c>
      <c r="H12" s="118"/>
      <c r="I12" s="95">
        <f t="shared" ref="I12:I79" si="0">(G12-H12)</f>
        <v>19.760000000000002</v>
      </c>
      <c r="J12" s="95">
        <f t="shared" ref="J12:J79" si="1">I12*D12</f>
        <v>19.760000000000002</v>
      </c>
      <c r="K12" s="103"/>
      <c r="L12" s="162" t="s">
        <v>19</v>
      </c>
      <c r="M12" s="108">
        <v>1</v>
      </c>
      <c r="N12" s="145">
        <f>20.99-3.29</f>
        <v>17.7</v>
      </c>
      <c r="O12" s="123">
        <v>2.7</v>
      </c>
      <c r="P12" s="92"/>
      <c r="Q12" s="92"/>
      <c r="R12" s="108">
        <f t="shared" ref="R12:R79" si="2">(N12*O12-P12)*M12</f>
        <v>47.79</v>
      </c>
      <c r="S12" s="146"/>
      <c r="T12" s="118" t="s">
        <v>21</v>
      </c>
      <c r="U12" s="163">
        <f t="shared" ref="U12:U17" si="3">N12*M12</f>
        <v>17.7</v>
      </c>
      <c r="V12" s="103"/>
      <c r="W12" s="162" t="s">
        <v>17</v>
      </c>
      <c r="X12" s="108" t="str">
        <f t="shared" ref="X12:X79" si="4">E12</f>
        <v>cad</v>
      </c>
      <c r="Y12" s="108" t="str">
        <f t="shared" ref="Y12:Y79" si="5">F12</f>
        <v>cad</v>
      </c>
      <c r="Z12" s="108">
        <f t="shared" ref="Z12:Z79" si="6">G12</f>
        <v>19.760000000000002</v>
      </c>
      <c r="AA12" s="108">
        <f t="shared" ref="AA12:AA79" si="7">H12</f>
        <v>0</v>
      </c>
      <c r="AB12" s="108">
        <f t="shared" ref="AB12:AB79" si="8">I12</f>
        <v>19.760000000000002</v>
      </c>
      <c r="AC12" s="108">
        <f t="shared" ref="AC12:AC79" si="9">J12</f>
        <v>19.760000000000002</v>
      </c>
      <c r="AD12" s="103"/>
      <c r="AE12" s="92" t="s">
        <v>357</v>
      </c>
      <c r="AF12" s="108">
        <f>N12*M12</f>
        <v>17.7</v>
      </c>
    </row>
    <row r="13" spans="1:32" s="11" customFormat="1" ht="13.8">
      <c r="A13" s="5"/>
      <c r="B13" s="138" t="s">
        <v>166</v>
      </c>
      <c r="C13" s="318" t="s">
        <v>17</v>
      </c>
      <c r="D13" s="95">
        <v>1</v>
      </c>
      <c r="E13" s="95" t="s">
        <v>57</v>
      </c>
      <c r="F13" s="95" t="s">
        <v>57</v>
      </c>
      <c r="G13" s="123">
        <v>16.98</v>
      </c>
      <c r="H13" s="118"/>
      <c r="I13" s="95">
        <f t="shared" si="0"/>
        <v>16.98</v>
      </c>
      <c r="J13" s="95">
        <f t="shared" si="1"/>
        <v>16.98</v>
      </c>
      <c r="K13" s="103"/>
      <c r="L13" s="162" t="s">
        <v>19</v>
      </c>
      <c r="M13" s="108">
        <v>1</v>
      </c>
      <c r="N13" s="145">
        <f>16.46-3.29</f>
        <v>13.170000000000002</v>
      </c>
      <c r="O13" s="123">
        <v>2.7</v>
      </c>
      <c r="P13" s="92"/>
      <c r="Q13" s="92"/>
      <c r="R13" s="108">
        <f t="shared" si="2"/>
        <v>35.559000000000005</v>
      </c>
      <c r="S13" s="146"/>
      <c r="T13" s="118" t="s">
        <v>21</v>
      </c>
      <c r="U13" s="92">
        <f t="shared" si="3"/>
        <v>13.170000000000002</v>
      </c>
      <c r="V13" s="103"/>
      <c r="W13" s="162" t="s">
        <v>17</v>
      </c>
      <c r="X13" s="108" t="str">
        <f>E13</f>
        <v>cad</v>
      </c>
      <c r="Y13" s="108" t="str">
        <f>F13</f>
        <v>cad</v>
      </c>
      <c r="Z13" s="108">
        <f t="shared" si="6"/>
        <v>16.98</v>
      </c>
      <c r="AA13" s="108">
        <f t="shared" si="7"/>
        <v>0</v>
      </c>
      <c r="AB13" s="108">
        <f t="shared" si="8"/>
        <v>16.98</v>
      </c>
      <c r="AC13" s="108">
        <f t="shared" si="9"/>
        <v>16.98</v>
      </c>
      <c r="AD13" s="103"/>
      <c r="AE13" s="92" t="s">
        <v>357</v>
      </c>
      <c r="AF13" s="108">
        <f t="shared" ref="AF13:AF14" si="10">N13*M13</f>
        <v>13.170000000000002</v>
      </c>
    </row>
    <row r="14" spans="1:32" s="11" customFormat="1" ht="13.8">
      <c r="A14" s="5"/>
      <c r="B14" s="201" t="s">
        <v>166</v>
      </c>
      <c r="C14" s="318" t="s">
        <v>17</v>
      </c>
      <c r="D14" s="95">
        <v>1</v>
      </c>
      <c r="E14" s="95" t="s">
        <v>57</v>
      </c>
      <c r="F14" s="95" t="s">
        <v>57</v>
      </c>
      <c r="G14" s="168">
        <v>13.97</v>
      </c>
      <c r="H14" s="118"/>
      <c r="I14" s="95">
        <f t="shared" ref="I14" si="11">(G14-H14)</f>
        <v>13.97</v>
      </c>
      <c r="J14" s="95">
        <f t="shared" ref="J14" si="12">I14*D14</f>
        <v>13.97</v>
      </c>
      <c r="K14" s="103"/>
      <c r="L14" s="162" t="s">
        <v>19</v>
      </c>
      <c r="M14" s="108">
        <v>1</v>
      </c>
      <c r="N14" s="169">
        <f>15.43-1.86</f>
        <v>13.57</v>
      </c>
      <c r="O14" s="168">
        <v>2.7</v>
      </c>
      <c r="P14" s="92"/>
      <c r="Q14" s="92"/>
      <c r="R14" s="108">
        <f t="shared" si="2"/>
        <v>36.639000000000003</v>
      </c>
      <c r="S14" s="146"/>
      <c r="T14" s="118" t="s">
        <v>21</v>
      </c>
      <c r="U14" s="92">
        <f t="shared" si="3"/>
        <v>13.57</v>
      </c>
      <c r="V14" s="103"/>
      <c r="W14" s="162" t="s">
        <v>17</v>
      </c>
      <c r="X14" s="108" t="str">
        <f>E14</f>
        <v>cad</v>
      </c>
      <c r="Y14" s="108" t="str">
        <f>F14</f>
        <v>cad</v>
      </c>
      <c r="Z14" s="108">
        <f t="shared" ref="Z14" si="13">G14</f>
        <v>13.97</v>
      </c>
      <c r="AA14" s="108">
        <f t="shared" ref="AA14" si="14">H14</f>
        <v>0</v>
      </c>
      <c r="AB14" s="108">
        <f t="shared" ref="AB14" si="15">I14</f>
        <v>13.97</v>
      </c>
      <c r="AC14" s="108">
        <f t="shared" ref="AC14" si="16">J14</f>
        <v>13.97</v>
      </c>
      <c r="AD14" s="103"/>
      <c r="AE14" s="92" t="s">
        <v>17</v>
      </c>
      <c r="AF14" s="108">
        <f t="shared" si="10"/>
        <v>13.57</v>
      </c>
    </row>
    <row r="15" spans="1:32" s="11" customFormat="1" ht="13.8">
      <c r="A15" s="5"/>
      <c r="B15" s="138" t="s">
        <v>508</v>
      </c>
      <c r="C15" s="318" t="s">
        <v>17</v>
      </c>
      <c r="D15" s="95">
        <v>1</v>
      </c>
      <c r="E15" s="95" t="s">
        <v>57</v>
      </c>
      <c r="F15" s="95" t="s">
        <v>57</v>
      </c>
      <c r="G15" s="123">
        <v>10.68</v>
      </c>
      <c r="H15" s="118"/>
      <c r="I15" s="95">
        <f t="shared" si="0"/>
        <v>10.68</v>
      </c>
      <c r="J15" s="95">
        <f t="shared" si="1"/>
        <v>10.68</v>
      </c>
      <c r="K15" s="103"/>
      <c r="L15" s="162" t="s">
        <v>19</v>
      </c>
      <c r="M15" s="108">
        <v>1</v>
      </c>
      <c r="N15" s="145">
        <v>13.08</v>
      </c>
      <c r="O15" s="123">
        <v>2.7</v>
      </c>
      <c r="P15" s="92"/>
      <c r="Q15" s="92"/>
      <c r="R15" s="108">
        <f t="shared" si="2"/>
        <v>35.316000000000003</v>
      </c>
      <c r="S15" s="146"/>
      <c r="T15" s="118" t="s">
        <v>21</v>
      </c>
      <c r="U15" s="92">
        <f t="shared" si="3"/>
        <v>13.08</v>
      </c>
      <c r="V15" s="103"/>
      <c r="W15" s="162" t="s">
        <v>17</v>
      </c>
      <c r="X15" s="108" t="str">
        <f t="shared" si="4"/>
        <v>cad</v>
      </c>
      <c r="Y15" s="108" t="str">
        <f t="shared" si="5"/>
        <v>cad</v>
      </c>
      <c r="Z15" s="108">
        <f t="shared" si="6"/>
        <v>10.68</v>
      </c>
      <c r="AA15" s="108">
        <f t="shared" si="7"/>
        <v>0</v>
      </c>
      <c r="AB15" s="108">
        <f t="shared" si="8"/>
        <v>10.68</v>
      </c>
      <c r="AC15" s="108">
        <f t="shared" si="9"/>
        <v>10.68</v>
      </c>
      <c r="AD15" s="103"/>
      <c r="AE15" s="92" t="s">
        <v>357</v>
      </c>
      <c r="AF15" s="108">
        <f>N15*M15</f>
        <v>13.08</v>
      </c>
    </row>
    <row r="16" spans="1:32" s="11" customFormat="1" ht="13.8">
      <c r="A16" s="32"/>
      <c r="B16" s="138" t="s">
        <v>162</v>
      </c>
      <c r="C16" s="95" t="s">
        <v>20</v>
      </c>
      <c r="D16" s="95">
        <v>1</v>
      </c>
      <c r="E16" s="95" t="s">
        <v>57</v>
      </c>
      <c r="F16" s="95" t="s">
        <v>57</v>
      </c>
      <c r="G16" s="123">
        <v>5.85</v>
      </c>
      <c r="H16" s="118"/>
      <c r="I16" s="95">
        <f t="shared" si="0"/>
        <v>5.85</v>
      </c>
      <c r="J16" s="95">
        <f t="shared" si="1"/>
        <v>5.85</v>
      </c>
      <c r="K16" s="103"/>
      <c r="L16" s="162" t="s">
        <v>18</v>
      </c>
      <c r="M16" s="108">
        <v>1</v>
      </c>
      <c r="N16" s="145">
        <v>9.8699999999999992</v>
      </c>
      <c r="O16" s="123">
        <v>2.8</v>
      </c>
      <c r="P16" s="92"/>
      <c r="Q16" s="92"/>
      <c r="R16" s="108">
        <f t="shared" si="2"/>
        <v>27.635999999999996</v>
      </c>
      <c r="S16" s="146"/>
      <c r="T16" s="108" t="s">
        <v>18</v>
      </c>
      <c r="U16" s="92">
        <f t="shared" si="3"/>
        <v>9.8699999999999992</v>
      </c>
      <c r="V16" s="103"/>
      <c r="W16" s="162" t="s">
        <v>18</v>
      </c>
      <c r="X16" s="108" t="str">
        <f t="shared" si="4"/>
        <v>cad</v>
      </c>
      <c r="Y16" s="108" t="str">
        <f t="shared" si="5"/>
        <v>cad</v>
      </c>
      <c r="Z16" s="108">
        <f t="shared" si="6"/>
        <v>5.85</v>
      </c>
      <c r="AA16" s="108">
        <f t="shared" si="7"/>
        <v>0</v>
      </c>
      <c r="AB16" s="108">
        <f t="shared" si="8"/>
        <v>5.85</v>
      </c>
      <c r="AC16" s="108">
        <f t="shared" si="9"/>
        <v>5.85</v>
      </c>
      <c r="AD16" s="103"/>
      <c r="AE16" s="92" t="s">
        <v>357</v>
      </c>
      <c r="AF16" s="108">
        <f t="shared" ref="AF16:AF20" si="17">N16*M16</f>
        <v>9.8699999999999992</v>
      </c>
    </row>
    <row r="17" spans="1:32" s="11" customFormat="1" ht="13.8">
      <c r="A17" s="32"/>
      <c r="B17" s="138" t="s">
        <v>163</v>
      </c>
      <c r="C17" s="95" t="s">
        <v>20</v>
      </c>
      <c r="D17" s="95">
        <v>1</v>
      </c>
      <c r="E17" s="95" t="s">
        <v>57</v>
      </c>
      <c r="F17" s="95" t="s">
        <v>57</v>
      </c>
      <c r="G17" s="123">
        <v>5.89</v>
      </c>
      <c r="H17" s="118"/>
      <c r="I17" s="95">
        <f t="shared" si="0"/>
        <v>5.89</v>
      </c>
      <c r="J17" s="95">
        <f t="shared" si="1"/>
        <v>5.89</v>
      </c>
      <c r="K17" s="103"/>
      <c r="L17" s="162" t="s">
        <v>18</v>
      </c>
      <c r="M17" s="108">
        <v>1</v>
      </c>
      <c r="N17" s="145">
        <v>9.89</v>
      </c>
      <c r="O17" s="123">
        <v>2.8</v>
      </c>
      <c r="P17" s="92"/>
      <c r="Q17" s="92"/>
      <c r="R17" s="108">
        <f t="shared" si="2"/>
        <v>27.692</v>
      </c>
      <c r="S17" s="146"/>
      <c r="T17" s="108" t="s">
        <v>18</v>
      </c>
      <c r="U17" s="92">
        <f t="shared" si="3"/>
        <v>9.89</v>
      </c>
      <c r="V17" s="103"/>
      <c r="W17" s="162" t="s">
        <v>18</v>
      </c>
      <c r="X17" s="108" t="str">
        <f t="shared" si="4"/>
        <v>cad</v>
      </c>
      <c r="Y17" s="108" t="str">
        <f t="shared" si="5"/>
        <v>cad</v>
      </c>
      <c r="Z17" s="108">
        <f t="shared" si="6"/>
        <v>5.89</v>
      </c>
      <c r="AA17" s="108">
        <f t="shared" si="7"/>
        <v>0</v>
      </c>
      <c r="AB17" s="108">
        <f t="shared" si="8"/>
        <v>5.89</v>
      </c>
      <c r="AC17" s="108">
        <f t="shared" si="9"/>
        <v>5.89</v>
      </c>
      <c r="AD17" s="103"/>
      <c r="AE17" s="92" t="s">
        <v>357</v>
      </c>
      <c r="AF17" s="108">
        <f t="shared" si="17"/>
        <v>9.89</v>
      </c>
    </row>
    <row r="18" spans="1:32" s="11" customFormat="1" ht="13.8">
      <c r="A18" s="32"/>
      <c r="B18" s="138" t="s">
        <v>123</v>
      </c>
      <c r="C18" s="95" t="s">
        <v>22</v>
      </c>
      <c r="D18" s="95">
        <v>1</v>
      </c>
      <c r="E18" s="95" t="s">
        <v>57</v>
      </c>
      <c r="F18" s="95" t="s">
        <v>57</v>
      </c>
      <c r="G18" s="95">
        <v>4.7</v>
      </c>
      <c r="H18" s="118"/>
      <c r="I18" s="95">
        <f t="shared" si="0"/>
        <v>4.7</v>
      </c>
      <c r="J18" s="95">
        <f t="shared" si="1"/>
        <v>4.7</v>
      </c>
      <c r="K18" s="103"/>
      <c r="L18" s="162" t="s">
        <v>20</v>
      </c>
      <c r="M18" s="108">
        <v>1</v>
      </c>
      <c r="N18" s="162">
        <v>9</v>
      </c>
      <c r="O18" s="123">
        <v>2.7</v>
      </c>
      <c r="P18" s="92"/>
      <c r="Q18" s="92"/>
      <c r="R18" s="108">
        <f t="shared" si="2"/>
        <v>24.3</v>
      </c>
      <c r="S18" s="146"/>
      <c r="T18" s="108"/>
      <c r="U18" s="108"/>
      <c r="V18" s="103"/>
      <c r="W18" s="162" t="s">
        <v>18</v>
      </c>
      <c r="X18" s="108" t="str">
        <f t="shared" si="4"/>
        <v>cad</v>
      </c>
      <c r="Y18" s="108" t="str">
        <f t="shared" si="5"/>
        <v>cad</v>
      </c>
      <c r="Z18" s="108">
        <f t="shared" si="6"/>
        <v>4.7</v>
      </c>
      <c r="AA18" s="108">
        <f t="shared" si="7"/>
        <v>0</v>
      </c>
      <c r="AB18" s="108">
        <f t="shared" si="8"/>
        <v>4.7</v>
      </c>
      <c r="AC18" s="108">
        <f t="shared" si="9"/>
        <v>4.7</v>
      </c>
      <c r="AD18" s="103"/>
      <c r="AE18" s="92" t="s">
        <v>357</v>
      </c>
      <c r="AF18" s="108">
        <f t="shared" si="17"/>
        <v>9</v>
      </c>
    </row>
    <row r="19" spans="1:32" s="11" customFormat="1" ht="13.8">
      <c r="A19" s="32"/>
      <c r="B19" s="138" t="s">
        <v>119</v>
      </c>
      <c r="C19" s="95" t="s">
        <v>22</v>
      </c>
      <c r="D19" s="95">
        <v>1</v>
      </c>
      <c r="E19" s="95" t="s">
        <v>57</v>
      </c>
      <c r="F19" s="95" t="s">
        <v>57</v>
      </c>
      <c r="G19" s="123">
        <v>5.98</v>
      </c>
      <c r="H19" s="118"/>
      <c r="I19" s="95">
        <f t="shared" si="0"/>
        <v>5.98</v>
      </c>
      <c r="J19" s="95">
        <f t="shared" si="1"/>
        <v>5.98</v>
      </c>
      <c r="K19" s="103"/>
      <c r="L19" s="162" t="s">
        <v>20</v>
      </c>
      <c r="M19" s="108">
        <v>1</v>
      </c>
      <c r="N19" s="162">
        <v>9.9</v>
      </c>
      <c r="O19" s="123">
        <v>2.7</v>
      </c>
      <c r="P19" s="92"/>
      <c r="Q19" s="92"/>
      <c r="R19" s="108">
        <f t="shared" si="2"/>
        <v>26.730000000000004</v>
      </c>
      <c r="S19" s="146"/>
      <c r="T19" s="108"/>
      <c r="U19" s="108"/>
      <c r="V19" s="103"/>
      <c r="W19" s="162" t="s">
        <v>18</v>
      </c>
      <c r="X19" s="108" t="str">
        <f t="shared" si="4"/>
        <v>cad</v>
      </c>
      <c r="Y19" s="108" t="str">
        <f t="shared" si="5"/>
        <v>cad</v>
      </c>
      <c r="Z19" s="108">
        <f t="shared" si="6"/>
        <v>5.98</v>
      </c>
      <c r="AA19" s="108">
        <f t="shared" si="7"/>
        <v>0</v>
      </c>
      <c r="AB19" s="108">
        <f t="shared" si="8"/>
        <v>5.98</v>
      </c>
      <c r="AC19" s="108">
        <f t="shared" si="9"/>
        <v>5.98</v>
      </c>
      <c r="AD19" s="103"/>
      <c r="AE19" s="92" t="s">
        <v>357</v>
      </c>
      <c r="AF19" s="108">
        <f t="shared" si="17"/>
        <v>9.9</v>
      </c>
    </row>
    <row r="20" spans="1:32" s="11" customFormat="1" ht="13.8">
      <c r="A20" s="32"/>
      <c r="B20" s="138" t="s">
        <v>375</v>
      </c>
      <c r="C20" s="95" t="s">
        <v>17</v>
      </c>
      <c r="D20" s="95">
        <v>1</v>
      </c>
      <c r="E20" s="95" t="s">
        <v>57</v>
      </c>
      <c r="F20" s="95" t="s">
        <v>57</v>
      </c>
      <c r="G20" s="123">
        <v>36.619999999999997</v>
      </c>
      <c r="H20" s="118"/>
      <c r="I20" s="95">
        <f t="shared" si="0"/>
        <v>36.619999999999997</v>
      </c>
      <c r="J20" s="95">
        <f t="shared" si="1"/>
        <v>36.619999999999997</v>
      </c>
      <c r="K20" s="103"/>
      <c r="L20" s="162" t="s">
        <v>17</v>
      </c>
      <c r="M20" s="108">
        <v>1</v>
      </c>
      <c r="N20" s="145">
        <f>40.31-1.5</f>
        <v>38.81</v>
      </c>
      <c r="O20" s="123">
        <v>2.75</v>
      </c>
      <c r="P20" s="92"/>
      <c r="Q20" s="92"/>
      <c r="R20" s="108">
        <f t="shared" si="2"/>
        <v>106.72750000000001</v>
      </c>
      <c r="S20" s="146"/>
      <c r="T20" s="108" t="s">
        <v>17</v>
      </c>
      <c r="U20" s="92">
        <f>N20*M20</f>
        <v>38.81</v>
      </c>
      <c r="V20" s="103"/>
      <c r="W20" s="162" t="s">
        <v>17</v>
      </c>
      <c r="X20" s="108" t="str">
        <f t="shared" si="4"/>
        <v>cad</v>
      </c>
      <c r="Y20" s="108" t="str">
        <f t="shared" si="5"/>
        <v>cad</v>
      </c>
      <c r="Z20" s="108">
        <f t="shared" si="6"/>
        <v>36.619999999999997</v>
      </c>
      <c r="AA20" s="108">
        <f t="shared" si="7"/>
        <v>0</v>
      </c>
      <c r="AB20" s="108">
        <f t="shared" si="8"/>
        <v>36.619999999999997</v>
      </c>
      <c r="AC20" s="108">
        <f t="shared" si="9"/>
        <v>36.619999999999997</v>
      </c>
      <c r="AD20" s="103"/>
      <c r="AE20" s="92" t="s">
        <v>17</v>
      </c>
      <c r="AF20" s="108">
        <f t="shared" si="17"/>
        <v>38.81</v>
      </c>
    </row>
    <row r="21" spans="1:32" s="11" customFormat="1" ht="13.8">
      <c r="A21" s="32"/>
      <c r="B21" s="138"/>
      <c r="C21" s="95"/>
      <c r="D21" s="95"/>
      <c r="E21" s="95"/>
      <c r="F21" s="95"/>
      <c r="G21" s="141"/>
      <c r="H21" s="118"/>
      <c r="I21" s="95"/>
      <c r="J21" s="95"/>
      <c r="K21" s="103"/>
      <c r="L21" s="162"/>
      <c r="M21" s="95"/>
      <c r="N21" s="95"/>
      <c r="O21" s="95"/>
      <c r="P21" s="92"/>
      <c r="Q21" s="92"/>
      <c r="R21" s="108"/>
      <c r="S21" s="146"/>
      <c r="T21" s="108"/>
      <c r="U21" s="92"/>
      <c r="V21" s="103"/>
      <c r="W21" s="166" t="s">
        <v>24</v>
      </c>
      <c r="X21" s="141">
        <f t="shared" ref="X21:X22" si="18">E21</f>
        <v>0</v>
      </c>
      <c r="Y21" s="141">
        <f t="shared" ref="Y21:Y22" si="19">F21</f>
        <v>0</v>
      </c>
      <c r="Z21" s="141">
        <v>8.6</v>
      </c>
      <c r="AA21" s="108">
        <f t="shared" ref="AA21:AA22" si="20">H21</f>
        <v>0</v>
      </c>
      <c r="AB21" s="108">
        <f>Z21</f>
        <v>8.6</v>
      </c>
      <c r="AC21" s="141">
        <f>Z21</f>
        <v>8.6</v>
      </c>
      <c r="AD21" s="103"/>
      <c r="AE21" s="92"/>
      <c r="AF21" s="108"/>
    </row>
    <row r="22" spans="1:32" s="11" customFormat="1" ht="13.8">
      <c r="A22" s="32"/>
      <c r="B22" s="138"/>
      <c r="C22" s="95"/>
      <c r="D22" s="95"/>
      <c r="E22" s="95"/>
      <c r="F22" s="95"/>
      <c r="G22" s="141"/>
      <c r="H22" s="118"/>
      <c r="I22" s="95"/>
      <c r="J22" s="95"/>
      <c r="K22" s="103"/>
      <c r="L22" s="162"/>
      <c r="M22" s="108"/>
      <c r="N22" s="95"/>
      <c r="O22" s="95"/>
      <c r="P22" s="92"/>
      <c r="Q22" s="92"/>
      <c r="R22" s="108"/>
      <c r="S22" s="146"/>
      <c r="T22" s="108"/>
      <c r="U22" s="92"/>
      <c r="V22" s="103"/>
      <c r="W22" s="166" t="s">
        <v>19</v>
      </c>
      <c r="X22" s="141">
        <f t="shared" si="18"/>
        <v>0</v>
      </c>
      <c r="Y22" s="141">
        <f t="shared" si="19"/>
        <v>0</v>
      </c>
      <c r="Z22" s="141">
        <v>3.12</v>
      </c>
      <c r="AA22" s="108">
        <f t="shared" si="20"/>
        <v>0</v>
      </c>
      <c r="AB22" s="108">
        <f>Z22</f>
        <v>3.12</v>
      </c>
      <c r="AC22" s="141">
        <f>Z22</f>
        <v>3.12</v>
      </c>
      <c r="AD22" s="103"/>
      <c r="AE22" s="92"/>
      <c r="AF22" s="108"/>
    </row>
    <row r="23" spans="1:32" s="11" customFormat="1" ht="13.8">
      <c r="A23" s="32"/>
      <c r="B23" s="138" t="s">
        <v>152</v>
      </c>
      <c r="C23" s="95" t="s">
        <v>24</v>
      </c>
      <c r="D23" s="95">
        <v>1</v>
      </c>
      <c r="E23" s="95" t="s">
        <v>57</v>
      </c>
      <c r="F23" s="95" t="s">
        <v>57</v>
      </c>
      <c r="G23" s="95">
        <v>10.93</v>
      </c>
      <c r="H23" s="118"/>
      <c r="I23" s="95">
        <f t="shared" si="0"/>
        <v>10.93</v>
      </c>
      <c r="J23" s="95">
        <f t="shared" si="1"/>
        <v>10.93</v>
      </c>
      <c r="K23" s="103"/>
      <c r="L23" s="162" t="s">
        <v>24</v>
      </c>
      <c r="M23" s="108">
        <v>1</v>
      </c>
      <c r="N23" s="145">
        <v>13.7</v>
      </c>
      <c r="O23" s="123">
        <v>3.9</v>
      </c>
      <c r="P23" s="92"/>
      <c r="Q23" s="92"/>
      <c r="R23" s="108">
        <f t="shared" si="2"/>
        <v>53.429999999999993</v>
      </c>
      <c r="S23" s="146"/>
      <c r="T23" s="108" t="s">
        <v>356</v>
      </c>
      <c r="U23" s="163">
        <f>N23*M23</f>
        <v>13.7</v>
      </c>
      <c r="V23" s="103"/>
      <c r="W23" s="162" t="s">
        <v>20</v>
      </c>
      <c r="X23" s="108" t="str">
        <f t="shared" si="4"/>
        <v>cad</v>
      </c>
      <c r="Y23" s="108" t="str">
        <f t="shared" si="5"/>
        <v>cad</v>
      </c>
      <c r="Z23" s="108">
        <f t="shared" si="6"/>
        <v>10.93</v>
      </c>
      <c r="AA23" s="108">
        <f t="shared" si="7"/>
        <v>0</v>
      </c>
      <c r="AB23" s="108">
        <f t="shared" si="8"/>
        <v>10.93</v>
      </c>
      <c r="AC23" s="108">
        <f t="shared" si="9"/>
        <v>10.93</v>
      </c>
      <c r="AD23" s="103"/>
      <c r="AE23" s="92"/>
      <c r="AF23" s="108"/>
    </row>
    <row r="24" spans="1:32" s="11" customFormat="1" ht="13.8">
      <c r="A24" s="32"/>
      <c r="B24" s="138" t="s">
        <v>145</v>
      </c>
      <c r="C24" s="95" t="s">
        <v>17</v>
      </c>
      <c r="D24" s="95">
        <v>1</v>
      </c>
      <c r="E24" s="95" t="s">
        <v>57</v>
      </c>
      <c r="F24" s="95" t="s">
        <v>57</v>
      </c>
      <c r="G24" s="123">
        <v>6.48</v>
      </c>
      <c r="H24" s="118"/>
      <c r="I24" s="95">
        <f t="shared" si="0"/>
        <v>6.48</v>
      </c>
      <c r="J24" s="95">
        <f t="shared" si="1"/>
        <v>6.48</v>
      </c>
      <c r="K24" s="103"/>
      <c r="L24" s="162" t="s">
        <v>17</v>
      </c>
      <c r="M24" s="108">
        <v>1</v>
      </c>
      <c r="N24" s="145">
        <v>11.64</v>
      </c>
      <c r="O24" s="123">
        <v>2.7</v>
      </c>
      <c r="P24" s="92"/>
      <c r="Q24" s="92"/>
      <c r="R24" s="108">
        <f t="shared" si="2"/>
        <v>31.428000000000004</v>
      </c>
      <c r="S24" s="146"/>
      <c r="T24" s="108" t="s">
        <v>17</v>
      </c>
      <c r="U24" s="163">
        <f>N24*M24</f>
        <v>11.64</v>
      </c>
      <c r="V24" s="103"/>
      <c r="W24" s="162" t="s">
        <v>17</v>
      </c>
      <c r="X24" s="108" t="str">
        <f t="shared" si="4"/>
        <v>cad</v>
      </c>
      <c r="Y24" s="108" t="str">
        <f t="shared" si="5"/>
        <v>cad</v>
      </c>
      <c r="Z24" s="108">
        <f t="shared" si="6"/>
        <v>6.48</v>
      </c>
      <c r="AA24" s="108">
        <f t="shared" si="7"/>
        <v>0</v>
      </c>
      <c r="AB24" s="108">
        <f t="shared" si="8"/>
        <v>6.48</v>
      </c>
      <c r="AC24" s="108">
        <f t="shared" si="9"/>
        <v>6.48</v>
      </c>
      <c r="AD24" s="103"/>
      <c r="AE24" s="92" t="s">
        <v>357</v>
      </c>
      <c r="AF24" s="108">
        <f>N24*M24</f>
        <v>11.64</v>
      </c>
    </row>
    <row r="25" spans="1:32" s="11" customFormat="1" ht="13.8">
      <c r="A25" s="32"/>
      <c r="B25" s="138" t="s">
        <v>152</v>
      </c>
      <c r="C25" s="95" t="s">
        <v>24</v>
      </c>
      <c r="D25" s="95">
        <v>1</v>
      </c>
      <c r="E25" s="95" t="s">
        <v>57</v>
      </c>
      <c r="F25" s="95" t="s">
        <v>57</v>
      </c>
      <c r="G25" s="123">
        <v>19.05</v>
      </c>
      <c r="H25" s="118"/>
      <c r="I25" s="95">
        <f t="shared" si="0"/>
        <v>19.05</v>
      </c>
      <c r="J25" s="95">
        <f t="shared" si="1"/>
        <v>19.05</v>
      </c>
      <c r="K25" s="85"/>
      <c r="L25" s="95" t="s">
        <v>24</v>
      </c>
      <c r="M25" s="95">
        <v>1</v>
      </c>
      <c r="N25" s="123">
        <v>17.46</v>
      </c>
      <c r="O25" s="123">
        <v>2.7</v>
      </c>
      <c r="P25" s="118"/>
      <c r="Q25" s="118"/>
      <c r="R25" s="95">
        <f t="shared" si="2"/>
        <v>47.142000000000003</v>
      </c>
      <c r="S25" s="87"/>
      <c r="T25" s="95" t="s">
        <v>356</v>
      </c>
      <c r="U25" s="118">
        <f>N25*M25</f>
        <v>17.46</v>
      </c>
      <c r="V25" s="85"/>
      <c r="W25" s="95" t="s">
        <v>20</v>
      </c>
      <c r="X25" s="95" t="str">
        <f t="shared" si="4"/>
        <v>cad</v>
      </c>
      <c r="Y25" s="95" t="str">
        <f t="shared" si="5"/>
        <v>cad</v>
      </c>
      <c r="Z25" s="95">
        <f t="shared" si="6"/>
        <v>19.05</v>
      </c>
      <c r="AA25" s="95">
        <f t="shared" si="7"/>
        <v>0</v>
      </c>
      <c r="AB25" s="95">
        <f t="shared" si="8"/>
        <v>19.05</v>
      </c>
      <c r="AC25" s="95">
        <f t="shared" si="9"/>
        <v>19.05</v>
      </c>
      <c r="AD25" s="85"/>
      <c r="AE25" s="118"/>
      <c r="AF25" s="95"/>
    </row>
    <row r="26" spans="1:32" s="11" customFormat="1" ht="13.8">
      <c r="A26" s="32"/>
      <c r="B26" s="138" t="s">
        <v>136</v>
      </c>
      <c r="C26" s="95" t="s">
        <v>17</v>
      </c>
      <c r="D26" s="95">
        <v>1</v>
      </c>
      <c r="E26" s="95" t="s">
        <v>57</v>
      </c>
      <c r="F26" s="95" t="s">
        <v>57</v>
      </c>
      <c r="G26" s="123">
        <v>31.83</v>
      </c>
      <c r="H26" s="118"/>
      <c r="I26" s="95">
        <f t="shared" si="0"/>
        <v>31.83</v>
      </c>
      <c r="J26" s="95">
        <f t="shared" si="1"/>
        <v>31.83</v>
      </c>
      <c r="K26" s="103"/>
      <c r="L26" s="162" t="s">
        <v>17</v>
      </c>
      <c r="M26" s="108">
        <v>1</v>
      </c>
      <c r="N26" s="145">
        <v>29.99</v>
      </c>
      <c r="O26" s="123">
        <v>2.7</v>
      </c>
      <c r="P26" s="92"/>
      <c r="Q26" s="92"/>
      <c r="R26" s="108">
        <f t="shared" si="2"/>
        <v>80.972999999999999</v>
      </c>
      <c r="S26" s="146"/>
      <c r="T26" s="108" t="s">
        <v>357</v>
      </c>
      <c r="U26" s="92">
        <f>N26*M26</f>
        <v>29.99</v>
      </c>
      <c r="V26" s="103"/>
      <c r="W26" s="162" t="s">
        <v>17</v>
      </c>
      <c r="X26" s="108" t="str">
        <f t="shared" si="4"/>
        <v>cad</v>
      </c>
      <c r="Y26" s="108" t="str">
        <f t="shared" si="5"/>
        <v>cad</v>
      </c>
      <c r="Z26" s="108">
        <f t="shared" si="6"/>
        <v>31.83</v>
      </c>
      <c r="AA26" s="108">
        <f t="shared" si="7"/>
        <v>0</v>
      </c>
      <c r="AB26" s="108">
        <f t="shared" si="8"/>
        <v>31.83</v>
      </c>
      <c r="AC26" s="108">
        <f t="shared" si="9"/>
        <v>31.83</v>
      </c>
      <c r="AD26" s="103"/>
      <c r="AE26" s="92" t="s">
        <v>357</v>
      </c>
      <c r="AF26" s="108">
        <f>N26*M26</f>
        <v>29.99</v>
      </c>
    </row>
    <row r="27" spans="1:32" s="11" customFormat="1" ht="13.8">
      <c r="A27" s="32"/>
      <c r="B27" s="138" t="s">
        <v>59</v>
      </c>
      <c r="C27" s="95" t="s">
        <v>24</v>
      </c>
      <c r="D27" s="95">
        <v>1</v>
      </c>
      <c r="E27" s="95" t="s">
        <v>57</v>
      </c>
      <c r="F27" s="95" t="s">
        <v>57</v>
      </c>
      <c r="G27" s="123">
        <v>40.909999999999997</v>
      </c>
      <c r="H27" s="118"/>
      <c r="I27" s="95">
        <f t="shared" si="0"/>
        <v>40.909999999999997</v>
      </c>
      <c r="J27" s="95">
        <f t="shared" si="1"/>
        <v>40.909999999999997</v>
      </c>
      <c r="K27" s="103"/>
      <c r="L27" s="162" t="s">
        <v>24</v>
      </c>
      <c r="M27" s="108">
        <v>1</v>
      </c>
      <c r="N27" s="95">
        <v>26.71</v>
      </c>
      <c r="O27" s="123">
        <v>3.9</v>
      </c>
      <c r="P27" s="92"/>
      <c r="Q27" s="92"/>
      <c r="R27" s="108">
        <f t="shared" si="2"/>
        <v>104.169</v>
      </c>
      <c r="S27" s="146"/>
      <c r="T27" s="108" t="s">
        <v>20</v>
      </c>
      <c r="U27" s="92">
        <f>N27*M27</f>
        <v>26.71</v>
      </c>
      <c r="V27" s="103"/>
      <c r="W27" s="162" t="s">
        <v>20</v>
      </c>
      <c r="X27" s="108" t="str">
        <f t="shared" si="4"/>
        <v>cad</v>
      </c>
      <c r="Y27" s="108" t="str">
        <f t="shared" si="5"/>
        <v>cad</v>
      </c>
      <c r="Z27" s="108">
        <f t="shared" si="6"/>
        <v>40.909999999999997</v>
      </c>
      <c r="AA27" s="108">
        <f t="shared" si="7"/>
        <v>0</v>
      </c>
      <c r="AB27" s="108">
        <f t="shared" si="8"/>
        <v>40.909999999999997</v>
      </c>
      <c r="AC27" s="108">
        <f t="shared" si="9"/>
        <v>40.909999999999997</v>
      </c>
      <c r="AD27" s="103"/>
      <c r="AE27" s="92"/>
      <c r="AF27" s="108"/>
    </row>
    <row r="28" spans="1:32" s="11" customFormat="1" ht="13.8">
      <c r="A28" s="32"/>
      <c r="B28" s="138"/>
      <c r="C28" s="95" t="s">
        <v>24</v>
      </c>
      <c r="D28" s="95">
        <v>1</v>
      </c>
      <c r="E28" s="95" t="s">
        <v>57</v>
      </c>
      <c r="F28" s="95" t="s">
        <v>57</v>
      </c>
      <c r="G28" s="123">
        <v>9.7100000000000009</v>
      </c>
      <c r="H28" s="118"/>
      <c r="I28" s="95">
        <f t="shared" ref="I28" si="21">(G28-H28)</f>
        <v>9.7100000000000009</v>
      </c>
      <c r="J28" s="95">
        <f t="shared" ref="J28" si="22">I28*D28</f>
        <v>9.7100000000000009</v>
      </c>
      <c r="K28" s="103"/>
      <c r="L28" s="162"/>
      <c r="M28" s="108"/>
      <c r="N28" s="95"/>
      <c r="O28" s="123"/>
      <c r="P28" s="92"/>
      <c r="Q28" s="92"/>
      <c r="R28" s="108"/>
      <c r="S28" s="146"/>
      <c r="T28" s="108"/>
      <c r="U28" s="92"/>
      <c r="V28" s="103"/>
      <c r="W28" s="162"/>
      <c r="X28" s="108"/>
      <c r="Y28" s="108"/>
      <c r="Z28" s="108"/>
      <c r="AA28" s="108"/>
      <c r="AB28" s="108"/>
      <c r="AC28" s="108"/>
      <c r="AD28" s="103"/>
      <c r="AE28" s="92"/>
      <c r="AF28" s="108"/>
    </row>
    <row r="29" spans="1:32" s="11" customFormat="1" ht="13.8">
      <c r="A29" s="5"/>
      <c r="B29" s="201" t="s">
        <v>509</v>
      </c>
      <c r="C29" s="318" t="s">
        <v>17</v>
      </c>
      <c r="D29" s="95">
        <v>1</v>
      </c>
      <c r="E29" s="95" t="s">
        <v>57</v>
      </c>
      <c r="F29" s="95" t="s">
        <v>57</v>
      </c>
      <c r="G29" s="168">
        <v>7.07</v>
      </c>
      <c r="H29" s="118"/>
      <c r="I29" s="95">
        <f t="shared" ref="I29:I34" si="23">(G29-H29)</f>
        <v>7.07</v>
      </c>
      <c r="J29" s="95">
        <f t="shared" ref="J29:J34" si="24">I29*D29</f>
        <v>7.07</v>
      </c>
      <c r="K29" s="103"/>
      <c r="L29" s="108" t="s">
        <v>19</v>
      </c>
      <c r="M29" s="108">
        <v>1</v>
      </c>
      <c r="N29" s="168">
        <v>10.76</v>
      </c>
      <c r="O29" s="168">
        <v>2.7</v>
      </c>
      <c r="P29" s="92"/>
      <c r="Q29" s="92"/>
      <c r="R29" s="108">
        <f t="shared" si="2"/>
        <v>29.052</v>
      </c>
      <c r="S29" s="146"/>
      <c r="T29" s="108" t="s">
        <v>21</v>
      </c>
      <c r="U29" s="163">
        <f t="shared" ref="U29:U67" si="25">N29*M29</f>
        <v>10.76</v>
      </c>
      <c r="V29" s="103"/>
      <c r="W29" s="108" t="s">
        <v>17</v>
      </c>
      <c r="X29" s="108" t="str">
        <f t="shared" ref="X29:X51" si="26">E29</f>
        <v>cad</v>
      </c>
      <c r="Y29" s="108" t="str">
        <f t="shared" ref="Y29:Y51" si="27">F29</f>
        <v>cad</v>
      </c>
      <c r="Z29" s="108">
        <f t="shared" ref="Z29:Z67" si="28">G29</f>
        <v>7.07</v>
      </c>
      <c r="AA29" s="108">
        <f t="shared" ref="AA29:AA55" si="29">H29</f>
        <v>0</v>
      </c>
      <c r="AB29" s="108">
        <f t="shared" ref="AB29:AB56" si="30">I29</f>
        <v>7.07</v>
      </c>
      <c r="AC29" s="108">
        <f t="shared" ref="AC29:AC56" si="31">J29</f>
        <v>7.07</v>
      </c>
      <c r="AD29" s="103"/>
      <c r="AE29" s="92" t="s">
        <v>357</v>
      </c>
      <c r="AF29" s="108">
        <f t="shared" ref="AF29:AF33" si="32">N29*M29</f>
        <v>10.76</v>
      </c>
    </row>
    <row r="30" spans="1:32" s="11" customFormat="1" ht="13.8">
      <c r="A30" s="5"/>
      <c r="B30" s="201" t="s">
        <v>510</v>
      </c>
      <c r="C30" s="318" t="s">
        <v>17</v>
      </c>
      <c r="D30" s="95">
        <v>1</v>
      </c>
      <c r="E30" s="95" t="s">
        <v>57</v>
      </c>
      <c r="F30" s="95" t="s">
        <v>57</v>
      </c>
      <c r="G30" s="168">
        <v>11.21</v>
      </c>
      <c r="H30" s="118"/>
      <c r="I30" s="95">
        <f t="shared" si="23"/>
        <v>11.21</v>
      </c>
      <c r="J30" s="95">
        <f t="shared" si="24"/>
        <v>11.21</v>
      </c>
      <c r="K30" s="103"/>
      <c r="L30" s="108" t="s">
        <v>19</v>
      </c>
      <c r="M30" s="108">
        <v>1</v>
      </c>
      <c r="N30" s="168">
        <v>13.38</v>
      </c>
      <c r="O30" s="168">
        <v>2.7</v>
      </c>
      <c r="P30" s="92"/>
      <c r="Q30" s="92"/>
      <c r="R30" s="108">
        <f t="shared" si="2"/>
        <v>36.126000000000005</v>
      </c>
      <c r="S30" s="146"/>
      <c r="T30" s="108" t="s">
        <v>21</v>
      </c>
      <c r="U30" s="163">
        <f t="shared" si="25"/>
        <v>13.38</v>
      </c>
      <c r="V30" s="103"/>
      <c r="W30" s="108" t="s">
        <v>17</v>
      </c>
      <c r="X30" s="108" t="str">
        <f t="shared" si="26"/>
        <v>cad</v>
      </c>
      <c r="Y30" s="108" t="str">
        <f t="shared" si="27"/>
        <v>cad</v>
      </c>
      <c r="Z30" s="108">
        <f t="shared" si="28"/>
        <v>11.21</v>
      </c>
      <c r="AA30" s="108">
        <f t="shared" si="29"/>
        <v>0</v>
      </c>
      <c r="AB30" s="108">
        <f t="shared" si="30"/>
        <v>11.21</v>
      </c>
      <c r="AC30" s="108">
        <f t="shared" si="31"/>
        <v>11.21</v>
      </c>
      <c r="AD30" s="103"/>
      <c r="AE30" s="92" t="s">
        <v>357</v>
      </c>
      <c r="AF30" s="108">
        <f t="shared" si="32"/>
        <v>13.38</v>
      </c>
    </row>
    <row r="31" spans="1:32" s="11" customFormat="1" ht="13.8">
      <c r="A31" s="5"/>
      <c r="B31" s="201" t="s">
        <v>511</v>
      </c>
      <c r="C31" s="318" t="s">
        <v>17</v>
      </c>
      <c r="D31" s="95">
        <v>1</v>
      </c>
      <c r="E31" s="95" t="s">
        <v>57</v>
      </c>
      <c r="F31" s="95" t="s">
        <v>57</v>
      </c>
      <c r="G31" s="168">
        <v>20.22</v>
      </c>
      <c r="H31" s="118"/>
      <c r="I31" s="95">
        <f t="shared" si="23"/>
        <v>20.22</v>
      </c>
      <c r="J31" s="95">
        <f t="shared" si="24"/>
        <v>20.22</v>
      </c>
      <c r="K31" s="103"/>
      <c r="L31" s="108" t="s">
        <v>19</v>
      </c>
      <c r="M31" s="108">
        <v>1</v>
      </c>
      <c r="N31" s="168">
        <v>19.14</v>
      </c>
      <c r="O31" s="168">
        <v>2.7</v>
      </c>
      <c r="P31" s="92"/>
      <c r="Q31" s="92"/>
      <c r="R31" s="108">
        <f t="shared" si="2"/>
        <v>51.678000000000004</v>
      </c>
      <c r="S31" s="146"/>
      <c r="T31" s="108" t="s">
        <v>21</v>
      </c>
      <c r="U31" s="163">
        <f t="shared" si="25"/>
        <v>19.14</v>
      </c>
      <c r="V31" s="103"/>
      <c r="W31" s="108" t="s">
        <v>17</v>
      </c>
      <c r="X31" s="108" t="str">
        <f t="shared" si="26"/>
        <v>cad</v>
      </c>
      <c r="Y31" s="108" t="str">
        <f t="shared" si="27"/>
        <v>cad</v>
      </c>
      <c r="Z31" s="108">
        <f t="shared" si="28"/>
        <v>20.22</v>
      </c>
      <c r="AA31" s="108">
        <f t="shared" si="29"/>
        <v>0</v>
      </c>
      <c r="AB31" s="108">
        <f t="shared" si="30"/>
        <v>20.22</v>
      </c>
      <c r="AC31" s="108">
        <f t="shared" si="31"/>
        <v>20.22</v>
      </c>
      <c r="AD31" s="103"/>
      <c r="AE31" s="92" t="s">
        <v>357</v>
      </c>
      <c r="AF31" s="108">
        <f t="shared" si="32"/>
        <v>19.14</v>
      </c>
    </row>
    <row r="32" spans="1:32" s="11" customFormat="1" ht="13.8">
      <c r="A32" s="5"/>
      <c r="B32" s="201" t="s">
        <v>171</v>
      </c>
      <c r="C32" s="318" t="s">
        <v>17</v>
      </c>
      <c r="D32" s="95">
        <v>1</v>
      </c>
      <c r="E32" s="95" t="s">
        <v>57</v>
      </c>
      <c r="F32" s="95" t="s">
        <v>57</v>
      </c>
      <c r="G32" s="168">
        <v>15.75</v>
      </c>
      <c r="H32" s="118"/>
      <c r="I32" s="95">
        <f t="shared" si="23"/>
        <v>15.75</v>
      </c>
      <c r="J32" s="95">
        <f t="shared" si="24"/>
        <v>15.75</v>
      </c>
      <c r="K32" s="103"/>
      <c r="L32" s="108" t="s">
        <v>19</v>
      </c>
      <c r="M32" s="108">
        <v>1</v>
      </c>
      <c r="N32" s="168">
        <f>15.92-4.58</f>
        <v>11.34</v>
      </c>
      <c r="O32" s="168">
        <v>2.7</v>
      </c>
      <c r="P32" s="92"/>
      <c r="Q32" s="92"/>
      <c r="R32" s="108">
        <f t="shared" si="2"/>
        <v>30.618000000000002</v>
      </c>
      <c r="S32" s="146"/>
      <c r="T32" s="108" t="s">
        <v>21</v>
      </c>
      <c r="U32" s="163">
        <f t="shared" si="25"/>
        <v>11.34</v>
      </c>
      <c r="V32" s="103"/>
      <c r="W32" s="108" t="s">
        <v>17</v>
      </c>
      <c r="X32" s="108" t="str">
        <f t="shared" ref="X32:X33" si="33">E32</f>
        <v>cad</v>
      </c>
      <c r="Y32" s="108" t="str">
        <f t="shared" ref="Y32:Y33" si="34">F32</f>
        <v>cad</v>
      </c>
      <c r="Z32" s="108">
        <f t="shared" ref="Z32:Z33" si="35">G32</f>
        <v>15.75</v>
      </c>
      <c r="AA32" s="108">
        <f t="shared" ref="AA32:AA33" si="36">H32</f>
        <v>0</v>
      </c>
      <c r="AB32" s="108">
        <f t="shared" ref="AB32:AB33" si="37">I32</f>
        <v>15.75</v>
      </c>
      <c r="AC32" s="108">
        <f t="shared" ref="AC32:AC33" si="38">J32</f>
        <v>15.75</v>
      </c>
      <c r="AD32" s="103"/>
      <c r="AE32" s="92" t="s">
        <v>357</v>
      </c>
      <c r="AF32" s="108">
        <f t="shared" si="32"/>
        <v>11.34</v>
      </c>
    </row>
    <row r="33" spans="1:32" s="11" customFormat="1" ht="13.8">
      <c r="A33" s="5"/>
      <c r="B33" s="201" t="s">
        <v>514</v>
      </c>
      <c r="C33" s="318" t="s">
        <v>17</v>
      </c>
      <c r="D33" s="95">
        <v>1</v>
      </c>
      <c r="E33" s="95" t="s">
        <v>57</v>
      </c>
      <c r="F33" s="95" t="s">
        <v>57</v>
      </c>
      <c r="G33" s="168">
        <v>13.31</v>
      </c>
      <c r="H33" s="118"/>
      <c r="I33" s="95">
        <f t="shared" si="23"/>
        <v>13.31</v>
      </c>
      <c r="J33" s="95">
        <f t="shared" si="24"/>
        <v>13.31</v>
      </c>
      <c r="K33" s="103"/>
      <c r="L33" s="108" t="s">
        <v>19</v>
      </c>
      <c r="M33" s="108">
        <v>1</v>
      </c>
      <c r="N33" s="168">
        <f>14.69-2.63</f>
        <v>12.059999999999999</v>
      </c>
      <c r="O33" s="168">
        <v>2.7</v>
      </c>
      <c r="P33" s="92"/>
      <c r="Q33" s="92"/>
      <c r="R33" s="108">
        <f t="shared" si="2"/>
        <v>32.561999999999998</v>
      </c>
      <c r="S33" s="146"/>
      <c r="T33" s="108" t="s">
        <v>21</v>
      </c>
      <c r="U33" s="163">
        <f t="shared" si="25"/>
        <v>12.059999999999999</v>
      </c>
      <c r="V33" s="103"/>
      <c r="W33" s="108" t="s">
        <v>17</v>
      </c>
      <c r="X33" s="108" t="str">
        <f t="shared" si="33"/>
        <v>cad</v>
      </c>
      <c r="Y33" s="108" t="str">
        <f t="shared" si="34"/>
        <v>cad</v>
      </c>
      <c r="Z33" s="108">
        <f t="shared" si="35"/>
        <v>13.31</v>
      </c>
      <c r="AA33" s="108">
        <f t="shared" si="36"/>
        <v>0</v>
      </c>
      <c r="AB33" s="108">
        <f t="shared" si="37"/>
        <v>13.31</v>
      </c>
      <c r="AC33" s="108">
        <f t="shared" si="38"/>
        <v>13.31</v>
      </c>
      <c r="AD33" s="103"/>
      <c r="AE33" s="92" t="s">
        <v>521</v>
      </c>
      <c r="AF33" s="108">
        <f t="shared" si="32"/>
        <v>12.059999999999999</v>
      </c>
    </row>
    <row r="34" spans="1:32" s="11" customFormat="1" ht="13.8">
      <c r="A34" s="5"/>
      <c r="B34" s="201" t="s">
        <v>157</v>
      </c>
      <c r="C34" s="318" t="s">
        <v>17</v>
      </c>
      <c r="D34" s="95">
        <v>1</v>
      </c>
      <c r="E34" s="95" t="s">
        <v>57</v>
      </c>
      <c r="F34" s="95" t="s">
        <v>57</v>
      </c>
      <c r="G34" s="168">
        <v>16.21</v>
      </c>
      <c r="H34" s="118"/>
      <c r="I34" s="95">
        <f t="shared" si="23"/>
        <v>16.21</v>
      </c>
      <c r="J34" s="95">
        <f t="shared" si="24"/>
        <v>16.21</v>
      </c>
      <c r="K34" s="103"/>
      <c r="L34" s="108" t="s">
        <v>17</v>
      </c>
      <c r="M34" s="108">
        <v>1</v>
      </c>
      <c r="N34" s="168">
        <f>22.85-1.66</f>
        <v>21.19</v>
      </c>
      <c r="O34" s="168">
        <v>2.7</v>
      </c>
      <c r="P34" s="92"/>
      <c r="Q34" s="92"/>
      <c r="R34" s="108">
        <f t="shared" si="2"/>
        <v>57.213000000000008</v>
      </c>
      <c r="S34" s="146"/>
      <c r="T34" s="108" t="s">
        <v>21</v>
      </c>
      <c r="U34" s="163">
        <f>N34*M34</f>
        <v>21.19</v>
      </c>
      <c r="V34" s="103"/>
      <c r="W34" s="108" t="s">
        <v>17</v>
      </c>
      <c r="X34" s="108" t="str">
        <f t="shared" si="26"/>
        <v>cad</v>
      </c>
      <c r="Y34" s="108" t="str">
        <f t="shared" si="27"/>
        <v>cad</v>
      </c>
      <c r="Z34" s="108">
        <f t="shared" si="28"/>
        <v>16.21</v>
      </c>
      <c r="AA34" s="108">
        <f t="shared" si="29"/>
        <v>0</v>
      </c>
      <c r="AB34" s="108">
        <f t="shared" si="30"/>
        <v>16.21</v>
      </c>
      <c r="AC34" s="108">
        <f t="shared" si="31"/>
        <v>16.21</v>
      </c>
      <c r="AD34" s="103"/>
      <c r="AE34" s="92" t="s">
        <v>521</v>
      </c>
      <c r="AF34" s="108">
        <f t="shared" ref="AF34" si="39">N34*M34</f>
        <v>21.19</v>
      </c>
    </row>
    <row r="35" spans="1:32" s="11" customFormat="1" ht="13.8">
      <c r="A35" s="5"/>
      <c r="B35" s="201"/>
      <c r="C35" s="95"/>
      <c r="D35" s="95"/>
      <c r="E35" s="95"/>
      <c r="F35" s="95"/>
      <c r="G35" s="141"/>
      <c r="H35" s="118"/>
      <c r="I35" s="95"/>
      <c r="J35" s="95"/>
      <c r="K35" s="103"/>
      <c r="L35" s="108"/>
      <c r="M35" s="108"/>
      <c r="N35" s="95"/>
      <c r="O35" s="95"/>
      <c r="P35" s="92"/>
      <c r="Q35" s="92"/>
      <c r="R35" s="108"/>
      <c r="S35" s="146"/>
      <c r="T35" s="108"/>
      <c r="U35" s="163"/>
      <c r="V35" s="103"/>
      <c r="W35" s="141" t="s">
        <v>24</v>
      </c>
      <c r="X35" s="141">
        <f t="shared" ref="X35" si="40">E35</f>
        <v>0</v>
      </c>
      <c r="Y35" s="141">
        <f t="shared" ref="Y35" si="41">F35</f>
        <v>0</v>
      </c>
      <c r="Z35" s="141">
        <v>10.94</v>
      </c>
      <c r="AA35" s="108"/>
      <c r="AB35" s="108">
        <f>Z35</f>
        <v>10.94</v>
      </c>
      <c r="AC35" s="141">
        <f>Z35</f>
        <v>10.94</v>
      </c>
      <c r="AD35" s="103"/>
      <c r="AE35" s="92"/>
      <c r="AF35" s="108"/>
    </row>
    <row r="36" spans="1:32" s="11" customFormat="1" ht="13.8">
      <c r="A36" s="5"/>
      <c r="B36" s="201" t="s">
        <v>157</v>
      </c>
      <c r="C36" s="318" t="s">
        <v>17</v>
      </c>
      <c r="D36" s="95">
        <v>1</v>
      </c>
      <c r="E36" s="95" t="s">
        <v>57</v>
      </c>
      <c r="F36" s="95" t="s">
        <v>57</v>
      </c>
      <c r="G36" s="168">
        <v>12.32</v>
      </c>
      <c r="H36" s="118"/>
      <c r="I36" s="95">
        <f t="shared" ref="I36:I64" si="42">(G36-H36)</f>
        <v>12.32</v>
      </c>
      <c r="J36" s="95">
        <f t="shared" ref="J36:J64" si="43">I36*D36</f>
        <v>12.32</v>
      </c>
      <c r="K36" s="103"/>
      <c r="L36" s="108" t="s">
        <v>17</v>
      </c>
      <c r="M36" s="108">
        <v>1</v>
      </c>
      <c r="N36" s="168">
        <f>19.43-1.5</f>
        <v>17.93</v>
      </c>
      <c r="O36" s="168">
        <v>2.7</v>
      </c>
      <c r="P36" s="92"/>
      <c r="Q36" s="92"/>
      <c r="R36" s="108">
        <f t="shared" si="2"/>
        <v>48.411000000000001</v>
      </c>
      <c r="S36" s="146"/>
      <c r="T36" s="108" t="s">
        <v>21</v>
      </c>
      <c r="U36" s="163">
        <f>N36*M36</f>
        <v>17.93</v>
      </c>
      <c r="V36" s="103"/>
      <c r="W36" s="108" t="s">
        <v>17</v>
      </c>
      <c r="X36" s="108" t="str">
        <f t="shared" ref="X36" si="44">E36</f>
        <v>cad</v>
      </c>
      <c r="Y36" s="108" t="str">
        <f t="shared" ref="Y36" si="45">F36</f>
        <v>cad</v>
      </c>
      <c r="Z36" s="108">
        <f t="shared" si="28"/>
        <v>12.32</v>
      </c>
      <c r="AA36" s="108">
        <f t="shared" ref="AA36" si="46">H36</f>
        <v>0</v>
      </c>
      <c r="AB36" s="108">
        <f t="shared" ref="AB36" si="47">I36</f>
        <v>12.32</v>
      </c>
      <c r="AC36" s="108">
        <f t="shared" ref="AC36" si="48">J36</f>
        <v>12.32</v>
      </c>
      <c r="AD36" s="103"/>
      <c r="AE36" s="92" t="s">
        <v>17</v>
      </c>
      <c r="AF36" s="108">
        <f>N36*M36</f>
        <v>17.93</v>
      </c>
    </row>
    <row r="37" spans="1:32" s="11" customFormat="1" ht="13.8">
      <c r="A37" s="5"/>
      <c r="B37" s="201" t="s">
        <v>157</v>
      </c>
      <c r="C37" s="95" t="s">
        <v>17</v>
      </c>
      <c r="D37" s="95">
        <v>1</v>
      </c>
      <c r="E37" s="95" t="s">
        <v>57</v>
      </c>
      <c r="F37" s="95" t="s">
        <v>57</v>
      </c>
      <c r="G37" s="168">
        <v>6.84</v>
      </c>
      <c r="H37" s="118"/>
      <c r="I37" s="95">
        <f t="shared" si="42"/>
        <v>6.84</v>
      </c>
      <c r="J37" s="95">
        <f t="shared" si="43"/>
        <v>6.84</v>
      </c>
      <c r="K37" s="103"/>
      <c r="L37" s="108" t="s">
        <v>17</v>
      </c>
      <c r="M37" s="108">
        <v>1</v>
      </c>
      <c r="N37" s="168">
        <f>12.12-1.5</f>
        <v>10.62</v>
      </c>
      <c r="O37" s="168">
        <v>2.7</v>
      </c>
      <c r="P37" s="92"/>
      <c r="Q37" s="92"/>
      <c r="R37" s="108">
        <f t="shared" si="2"/>
        <v>28.673999999999999</v>
      </c>
      <c r="S37" s="146"/>
      <c r="T37" s="108" t="s">
        <v>17</v>
      </c>
      <c r="U37" s="163">
        <f>N37*M37</f>
        <v>10.62</v>
      </c>
      <c r="V37" s="103"/>
      <c r="W37" s="108" t="s">
        <v>17</v>
      </c>
      <c r="X37" s="108" t="str">
        <f t="shared" ref="X37" si="49">E37</f>
        <v>cad</v>
      </c>
      <c r="Y37" s="108" t="str">
        <f t="shared" ref="Y37" si="50">F37</f>
        <v>cad</v>
      </c>
      <c r="Z37" s="108">
        <f t="shared" si="28"/>
        <v>6.84</v>
      </c>
      <c r="AA37" s="108">
        <f t="shared" ref="AA37" si="51">H37</f>
        <v>0</v>
      </c>
      <c r="AB37" s="108">
        <f t="shared" ref="AB37" si="52">I37</f>
        <v>6.84</v>
      </c>
      <c r="AC37" s="108">
        <f t="shared" ref="AC37" si="53">J37</f>
        <v>6.84</v>
      </c>
      <c r="AD37" s="103"/>
      <c r="AE37" s="92" t="s">
        <v>17</v>
      </c>
      <c r="AF37" s="108">
        <f>N37*M37</f>
        <v>10.62</v>
      </c>
    </row>
    <row r="38" spans="1:32" s="11" customFormat="1" ht="13.8">
      <c r="A38" s="5"/>
      <c r="B38" s="201" t="s">
        <v>157</v>
      </c>
      <c r="C38" s="318" t="s">
        <v>17</v>
      </c>
      <c r="D38" s="95">
        <v>1</v>
      </c>
      <c r="E38" s="95" t="s">
        <v>57</v>
      </c>
      <c r="F38" s="95" t="s">
        <v>57</v>
      </c>
      <c r="G38" s="168">
        <v>70.290000000000006</v>
      </c>
      <c r="H38" s="118"/>
      <c r="I38" s="95">
        <f t="shared" si="42"/>
        <v>70.290000000000006</v>
      </c>
      <c r="J38" s="95">
        <f t="shared" si="43"/>
        <v>70.290000000000006</v>
      </c>
      <c r="K38" s="103"/>
      <c r="L38" s="108" t="s">
        <v>17</v>
      </c>
      <c r="M38" s="108">
        <v>1</v>
      </c>
      <c r="N38" s="168">
        <f>79.58-1.96</f>
        <v>77.62</v>
      </c>
      <c r="O38" s="168">
        <v>2.75</v>
      </c>
      <c r="P38" s="92"/>
      <c r="Q38" s="92"/>
      <c r="R38" s="108">
        <f t="shared" si="2"/>
        <v>213.45500000000001</v>
      </c>
      <c r="S38" s="146"/>
      <c r="T38" s="108" t="s">
        <v>21</v>
      </c>
      <c r="U38" s="163">
        <f>N38*M38</f>
        <v>77.62</v>
      </c>
      <c r="V38" s="103"/>
      <c r="W38" s="108" t="s">
        <v>17</v>
      </c>
      <c r="X38" s="108" t="str">
        <f t="shared" ref="X38:X50" si="54">E38</f>
        <v>cad</v>
      </c>
      <c r="Y38" s="108" t="str">
        <f t="shared" ref="Y38:Y50" si="55">F38</f>
        <v>cad</v>
      </c>
      <c r="Z38" s="108">
        <f t="shared" si="28"/>
        <v>70.290000000000006</v>
      </c>
      <c r="AA38" s="108"/>
      <c r="AB38" s="108">
        <f t="shared" ref="AB38:AB54" si="56">I38</f>
        <v>70.290000000000006</v>
      </c>
      <c r="AC38" s="108">
        <f t="shared" ref="AC38:AC54" si="57">J38</f>
        <v>70.290000000000006</v>
      </c>
      <c r="AD38" s="103"/>
      <c r="AE38" s="92" t="s">
        <v>17</v>
      </c>
      <c r="AF38" s="108">
        <f>N38*M38</f>
        <v>77.62</v>
      </c>
    </row>
    <row r="39" spans="1:32" s="11" customFormat="1" ht="13.8">
      <c r="A39" s="5"/>
      <c r="B39" s="201"/>
      <c r="C39" s="95"/>
      <c r="D39" s="95"/>
      <c r="E39" s="95"/>
      <c r="F39" s="95"/>
      <c r="G39" s="141"/>
      <c r="H39" s="118"/>
      <c r="I39" s="95"/>
      <c r="J39" s="95"/>
      <c r="K39" s="103"/>
      <c r="L39" s="108"/>
      <c r="M39" s="108"/>
      <c r="N39" s="95"/>
      <c r="O39" s="95"/>
      <c r="P39" s="92"/>
      <c r="Q39" s="92"/>
      <c r="R39" s="108"/>
      <c r="S39" s="146"/>
      <c r="T39" s="108"/>
      <c r="U39" s="163"/>
      <c r="V39" s="103"/>
      <c r="W39" s="141" t="s">
        <v>24</v>
      </c>
      <c r="X39" s="141">
        <f t="shared" ref="X39:X40" si="58">E39</f>
        <v>0</v>
      </c>
      <c r="Y39" s="141">
        <f t="shared" ref="Y39:Y40" si="59">F39</f>
        <v>0</v>
      </c>
      <c r="Z39" s="141">
        <v>15.65</v>
      </c>
      <c r="AA39" s="108"/>
      <c r="AB39" s="108">
        <f>Z39</f>
        <v>15.65</v>
      </c>
      <c r="AC39" s="141">
        <f>Z39</f>
        <v>15.65</v>
      </c>
      <c r="AD39" s="103"/>
      <c r="AE39" s="92"/>
      <c r="AF39" s="108"/>
    </row>
    <row r="40" spans="1:32" s="11" customFormat="1" ht="13.8">
      <c r="A40" s="5"/>
      <c r="B40" s="201"/>
      <c r="C40" s="95"/>
      <c r="D40" s="95"/>
      <c r="E40" s="95"/>
      <c r="F40" s="95"/>
      <c r="G40" s="141"/>
      <c r="H40" s="118"/>
      <c r="I40" s="95"/>
      <c r="J40" s="95"/>
      <c r="K40" s="103"/>
      <c r="L40" s="108"/>
      <c r="M40" s="108"/>
      <c r="N40" s="95"/>
      <c r="O40" s="95"/>
      <c r="P40" s="92"/>
      <c r="Q40" s="92"/>
      <c r="R40" s="108"/>
      <c r="S40" s="146"/>
      <c r="T40" s="108"/>
      <c r="U40" s="163"/>
      <c r="V40" s="103"/>
      <c r="W40" s="141" t="s">
        <v>19</v>
      </c>
      <c r="X40" s="141">
        <f t="shared" si="58"/>
        <v>0</v>
      </c>
      <c r="Y40" s="141">
        <f t="shared" si="59"/>
        <v>0</v>
      </c>
      <c r="Z40" s="141">
        <v>3.12</v>
      </c>
      <c r="AA40" s="108"/>
      <c r="AB40" s="108">
        <f>Z40</f>
        <v>3.12</v>
      </c>
      <c r="AC40" s="141">
        <f>Z40</f>
        <v>3.12</v>
      </c>
      <c r="AD40" s="103"/>
      <c r="AE40" s="92"/>
      <c r="AF40" s="108"/>
    </row>
    <row r="41" spans="1:32" s="11" customFormat="1" ht="13.8">
      <c r="A41" s="5"/>
      <c r="B41" s="201" t="s">
        <v>157</v>
      </c>
      <c r="C41" s="318" t="s">
        <v>17</v>
      </c>
      <c r="D41" s="95">
        <v>1</v>
      </c>
      <c r="E41" s="95" t="s">
        <v>57</v>
      </c>
      <c r="F41" s="95" t="s">
        <v>57</v>
      </c>
      <c r="G41" s="168">
        <v>20.89</v>
      </c>
      <c r="H41" s="118"/>
      <c r="I41" s="95">
        <f t="shared" si="42"/>
        <v>20.89</v>
      </c>
      <c r="J41" s="95">
        <f t="shared" si="43"/>
        <v>20.89</v>
      </c>
      <c r="K41" s="103"/>
      <c r="L41" s="108" t="s">
        <v>17</v>
      </c>
      <c r="M41" s="108">
        <v>1</v>
      </c>
      <c r="N41" s="168">
        <f>23.01-1.96</f>
        <v>21.05</v>
      </c>
      <c r="O41" s="168">
        <v>2.7</v>
      </c>
      <c r="P41" s="92"/>
      <c r="Q41" s="92"/>
      <c r="R41" s="108">
        <f t="shared" si="2"/>
        <v>56.835000000000008</v>
      </c>
      <c r="S41" s="146"/>
      <c r="T41" s="108" t="s">
        <v>21</v>
      </c>
      <c r="U41" s="163">
        <f>N41*M41</f>
        <v>21.05</v>
      </c>
      <c r="V41" s="103"/>
      <c r="W41" s="108" t="s">
        <v>17</v>
      </c>
      <c r="X41" s="108" t="str">
        <f t="shared" si="54"/>
        <v>cad</v>
      </c>
      <c r="Y41" s="108" t="str">
        <f t="shared" si="55"/>
        <v>cad</v>
      </c>
      <c r="Z41" s="108">
        <f t="shared" si="28"/>
        <v>20.89</v>
      </c>
      <c r="AA41" s="108"/>
      <c r="AB41" s="108">
        <f t="shared" si="56"/>
        <v>20.89</v>
      </c>
      <c r="AC41" s="108">
        <f t="shared" si="57"/>
        <v>20.89</v>
      </c>
      <c r="AD41" s="103"/>
      <c r="AE41" s="92" t="s">
        <v>17</v>
      </c>
      <c r="AF41" s="108">
        <f>N41*M41</f>
        <v>21.05</v>
      </c>
    </row>
    <row r="42" spans="1:32" s="11" customFormat="1" ht="13.8">
      <c r="A42" s="5"/>
      <c r="B42" s="201"/>
      <c r="C42" s="95"/>
      <c r="D42" s="95"/>
      <c r="E42" s="95"/>
      <c r="F42" s="95"/>
      <c r="G42" s="141"/>
      <c r="H42" s="118"/>
      <c r="I42" s="95"/>
      <c r="J42" s="95"/>
      <c r="K42" s="103"/>
      <c r="L42" s="108"/>
      <c r="M42" s="108"/>
      <c r="N42" s="95"/>
      <c r="O42" s="95"/>
      <c r="P42" s="92"/>
      <c r="Q42" s="92"/>
      <c r="R42" s="108"/>
      <c r="S42" s="146"/>
      <c r="T42" s="108"/>
      <c r="U42" s="163"/>
      <c r="V42" s="103"/>
      <c r="W42" s="141" t="s">
        <v>24</v>
      </c>
      <c r="X42" s="141">
        <f t="shared" si="54"/>
        <v>0</v>
      </c>
      <c r="Y42" s="141">
        <f t="shared" si="55"/>
        <v>0</v>
      </c>
      <c r="Z42" s="141">
        <v>7.82</v>
      </c>
      <c r="AA42" s="108"/>
      <c r="AB42" s="108">
        <f>Z42</f>
        <v>7.82</v>
      </c>
      <c r="AC42" s="141">
        <f>Z42</f>
        <v>7.82</v>
      </c>
      <c r="AD42" s="103"/>
      <c r="AE42" s="92"/>
      <c r="AF42" s="108"/>
    </row>
    <row r="43" spans="1:32" s="11" customFormat="1" ht="13.8">
      <c r="A43" s="5"/>
      <c r="B43" s="201" t="s">
        <v>515</v>
      </c>
      <c r="C43" s="318" t="s">
        <v>17</v>
      </c>
      <c r="D43" s="95">
        <v>1</v>
      </c>
      <c r="E43" s="95" t="s">
        <v>57</v>
      </c>
      <c r="F43" s="95" t="s">
        <v>57</v>
      </c>
      <c r="G43" s="168">
        <v>17.87</v>
      </c>
      <c r="H43" s="118"/>
      <c r="I43" s="95">
        <f t="shared" si="42"/>
        <v>17.87</v>
      </c>
      <c r="J43" s="95">
        <f t="shared" si="43"/>
        <v>17.87</v>
      </c>
      <c r="K43" s="103"/>
      <c r="L43" s="108" t="s">
        <v>19</v>
      </c>
      <c r="M43" s="108">
        <v>1</v>
      </c>
      <c r="N43" s="168">
        <f>25.4-1.5</f>
        <v>23.9</v>
      </c>
      <c r="O43" s="168">
        <v>2.7</v>
      </c>
      <c r="P43" s="92"/>
      <c r="Q43" s="92"/>
      <c r="R43" s="108">
        <f t="shared" si="2"/>
        <v>64.53</v>
      </c>
      <c r="S43" s="146"/>
      <c r="T43" s="108" t="s">
        <v>21</v>
      </c>
      <c r="U43" s="163">
        <f t="shared" ref="U43:U50" si="60">N43*M43</f>
        <v>23.9</v>
      </c>
      <c r="V43" s="103"/>
      <c r="W43" s="108" t="s">
        <v>17</v>
      </c>
      <c r="X43" s="108" t="str">
        <f t="shared" si="54"/>
        <v>cad</v>
      </c>
      <c r="Y43" s="108" t="str">
        <f t="shared" si="55"/>
        <v>cad</v>
      </c>
      <c r="Z43" s="108">
        <f t="shared" si="28"/>
        <v>17.87</v>
      </c>
      <c r="AA43" s="108"/>
      <c r="AB43" s="108">
        <f t="shared" si="56"/>
        <v>17.87</v>
      </c>
      <c r="AC43" s="108">
        <f t="shared" si="57"/>
        <v>17.87</v>
      </c>
      <c r="AD43" s="103"/>
      <c r="AE43" s="92" t="s">
        <v>17</v>
      </c>
      <c r="AF43" s="108">
        <f>N43*M43</f>
        <v>23.9</v>
      </c>
    </row>
    <row r="44" spans="1:32" s="11" customFormat="1" ht="13.8">
      <c r="A44" s="32"/>
      <c r="B44" s="201" t="s">
        <v>157</v>
      </c>
      <c r="C44" s="95" t="s">
        <v>17</v>
      </c>
      <c r="D44" s="95">
        <v>1</v>
      </c>
      <c r="E44" s="95" t="s">
        <v>57</v>
      </c>
      <c r="F44" s="95" t="s">
        <v>57</v>
      </c>
      <c r="G44" s="168">
        <v>54.08</v>
      </c>
      <c r="H44" s="118"/>
      <c r="I44" s="95">
        <f t="shared" si="42"/>
        <v>54.08</v>
      </c>
      <c r="J44" s="95">
        <f t="shared" si="43"/>
        <v>54.08</v>
      </c>
      <c r="K44" s="103"/>
      <c r="L44" s="108" t="s">
        <v>17</v>
      </c>
      <c r="M44" s="108">
        <v>1</v>
      </c>
      <c r="N44" s="168">
        <f>55.47-1.79</f>
        <v>53.68</v>
      </c>
      <c r="O44" s="168">
        <v>2.75</v>
      </c>
      <c r="P44" s="92"/>
      <c r="Q44" s="92"/>
      <c r="R44" s="108">
        <f t="shared" si="2"/>
        <v>147.62</v>
      </c>
      <c r="S44" s="146"/>
      <c r="T44" s="108" t="s">
        <v>17</v>
      </c>
      <c r="U44" s="163">
        <f t="shared" si="60"/>
        <v>53.68</v>
      </c>
      <c r="V44" s="103"/>
      <c r="W44" s="108" t="s">
        <v>17</v>
      </c>
      <c r="X44" s="108" t="str">
        <f t="shared" si="54"/>
        <v>cad</v>
      </c>
      <c r="Y44" s="108" t="str">
        <f t="shared" si="55"/>
        <v>cad</v>
      </c>
      <c r="Z44" s="108">
        <f t="shared" si="28"/>
        <v>54.08</v>
      </c>
      <c r="AA44" s="108"/>
      <c r="AB44" s="108">
        <f t="shared" si="56"/>
        <v>54.08</v>
      </c>
      <c r="AC44" s="108">
        <f t="shared" si="57"/>
        <v>54.08</v>
      </c>
      <c r="AD44" s="103"/>
      <c r="AE44" s="92" t="s">
        <v>17</v>
      </c>
      <c r="AF44" s="108">
        <f>N44*M44</f>
        <v>53.68</v>
      </c>
    </row>
    <row r="45" spans="1:32" s="11" customFormat="1" ht="13.8">
      <c r="A45" s="32"/>
      <c r="B45" s="201"/>
      <c r="C45" s="95"/>
      <c r="D45" s="95"/>
      <c r="E45" s="95"/>
      <c r="F45" s="95"/>
      <c r="G45" s="141"/>
      <c r="H45" s="118"/>
      <c r="I45" s="95"/>
      <c r="J45" s="95"/>
      <c r="K45" s="103"/>
      <c r="L45" s="108"/>
      <c r="M45" s="108"/>
      <c r="N45" s="95"/>
      <c r="O45" s="95"/>
      <c r="P45" s="92"/>
      <c r="Q45" s="92"/>
      <c r="R45" s="108"/>
      <c r="S45" s="146"/>
      <c r="T45" s="108"/>
      <c r="U45" s="163"/>
      <c r="V45" s="103"/>
      <c r="W45" s="141" t="s">
        <v>24</v>
      </c>
      <c r="X45" s="141">
        <f t="shared" si="54"/>
        <v>0</v>
      </c>
      <c r="Y45" s="141">
        <f t="shared" si="55"/>
        <v>0</v>
      </c>
      <c r="Z45" s="141">
        <v>25</v>
      </c>
      <c r="AA45" s="108"/>
      <c r="AB45" s="108">
        <f>Z45</f>
        <v>25</v>
      </c>
      <c r="AC45" s="141">
        <f>Z45</f>
        <v>25</v>
      </c>
      <c r="AD45" s="103"/>
      <c r="AE45" s="92"/>
      <c r="AF45" s="108"/>
    </row>
    <row r="46" spans="1:32" s="11" customFormat="1" ht="13.8">
      <c r="A46" s="32"/>
      <c r="B46" s="201"/>
      <c r="C46" s="95"/>
      <c r="D46" s="95"/>
      <c r="E46" s="95"/>
      <c r="F46" s="95"/>
      <c r="G46" s="141"/>
      <c r="H46" s="118"/>
      <c r="I46" s="95"/>
      <c r="J46" s="95"/>
      <c r="K46" s="103"/>
      <c r="L46" s="108"/>
      <c r="M46" s="108"/>
      <c r="N46" s="95"/>
      <c r="O46" s="95"/>
      <c r="P46" s="92"/>
      <c r="Q46" s="92"/>
      <c r="R46" s="108"/>
      <c r="S46" s="146"/>
      <c r="T46" s="108"/>
      <c r="U46" s="163"/>
      <c r="V46" s="103"/>
      <c r="W46" s="141" t="s">
        <v>19</v>
      </c>
      <c r="X46" s="141">
        <f t="shared" si="54"/>
        <v>0</v>
      </c>
      <c r="Y46" s="141">
        <f t="shared" si="55"/>
        <v>0</v>
      </c>
      <c r="Z46" s="141">
        <v>1.56</v>
      </c>
      <c r="AA46" s="108"/>
      <c r="AB46" s="108">
        <f>Z46</f>
        <v>1.56</v>
      </c>
      <c r="AC46" s="141">
        <f>Z46</f>
        <v>1.56</v>
      </c>
      <c r="AD46" s="103"/>
      <c r="AE46" s="92"/>
      <c r="AF46" s="108"/>
    </row>
    <row r="47" spans="1:32" s="11" customFormat="1" ht="13.8">
      <c r="A47" s="32"/>
      <c r="B47" s="201" t="s">
        <v>522</v>
      </c>
      <c r="C47" s="95" t="s">
        <v>17</v>
      </c>
      <c r="D47" s="95">
        <v>1</v>
      </c>
      <c r="E47" s="95" t="s">
        <v>57</v>
      </c>
      <c r="F47" s="95" t="s">
        <v>57</v>
      </c>
      <c r="G47" s="168">
        <v>30.95</v>
      </c>
      <c r="H47" s="118"/>
      <c r="I47" s="95">
        <f t="shared" si="42"/>
        <v>30.95</v>
      </c>
      <c r="J47" s="95">
        <f t="shared" si="43"/>
        <v>30.95</v>
      </c>
      <c r="K47" s="103"/>
      <c r="L47" s="108" t="s">
        <v>17</v>
      </c>
      <c r="M47" s="108">
        <v>1</v>
      </c>
      <c r="N47" s="168">
        <f>26.96-10.7</f>
        <v>16.260000000000002</v>
      </c>
      <c r="O47" s="168">
        <v>2.7</v>
      </c>
      <c r="P47" s="92"/>
      <c r="Q47" s="92"/>
      <c r="R47" s="108">
        <f t="shared" si="2"/>
        <v>43.902000000000008</v>
      </c>
      <c r="S47" s="146"/>
      <c r="T47" s="108" t="s">
        <v>17</v>
      </c>
      <c r="U47" s="163">
        <f t="shared" si="60"/>
        <v>16.260000000000002</v>
      </c>
      <c r="V47" s="103"/>
      <c r="W47" s="108" t="s">
        <v>17</v>
      </c>
      <c r="X47" s="108" t="str">
        <f t="shared" ref="X47" si="61">E47</f>
        <v>cad</v>
      </c>
      <c r="Y47" s="108" t="str">
        <f t="shared" ref="Y47" si="62">F47</f>
        <v>cad</v>
      </c>
      <c r="Z47" s="108">
        <f t="shared" si="28"/>
        <v>30.95</v>
      </c>
      <c r="AA47" s="108"/>
      <c r="AB47" s="108">
        <f t="shared" si="56"/>
        <v>30.95</v>
      </c>
      <c r="AC47" s="108">
        <f t="shared" si="57"/>
        <v>30.95</v>
      </c>
      <c r="AD47" s="103"/>
      <c r="AE47" s="92" t="s">
        <v>17</v>
      </c>
      <c r="AF47" s="108">
        <f>N47*M47</f>
        <v>16.260000000000002</v>
      </c>
    </row>
    <row r="48" spans="1:32" s="11" customFormat="1" ht="13.8">
      <c r="A48" s="32"/>
      <c r="B48" s="201" t="s">
        <v>154</v>
      </c>
      <c r="C48" s="95" t="s">
        <v>17</v>
      </c>
      <c r="D48" s="95">
        <v>1</v>
      </c>
      <c r="E48" s="95" t="s">
        <v>57</v>
      </c>
      <c r="F48" s="95" t="s">
        <v>57</v>
      </c>
      <c r="G48" s="168">
        <v>19.93</v>
      </c>
      <c r="H48" s="118"/>
      <c r="I48" s="95">
        <f t="shared" si="42"/>
        <v>19.93</v>
      </c>
      <c r="J48" s="95">
        <f t="shared" si="43"/>
        <v>19.93</v>
      </c>
      <c r="K48" s="103"/>
      <c r="L48" s="108" t="s">
        <v>17</v>
      </c>
      <c r="M48" s="108">
        <v>1</v>
      </c>
      <c r="N48" s="168">
        <f>18.86-1.79</f>
        <v>17.07</v>
      </c>
      <c r="O48" s="168">
        <v>2.75</v>
      </c>
      <c r="P48" s="92"/>
      <c r="Q48" s="92"/>
      <c r="R48" s="108">
        <f t="shared" si="2"/>
        <v>46.942500000000003</v>
      </c>
      <c r="S48" s="146"/>
      <c r="T48" s="108" t="s">
        <v>17</v>
      </c>
      <c r="U48" s="163">
        <f t="shared" si="60"/>
        <v>17.07</v>
      </c>
      <c r="V48" s="103"/>
      <c r="W48" s="108" t="s">
        <v>17</v>
      </c>
      <c r="X48" s="108" t="str">
        <f t="shared" si="54"/>
        <v>cad</v>
      </c>
      <c r="Y48" s="108" t="str">
        <f t="shared" si="55"/>
        <v>cad</v>
      </c>
      <c r="Z48" s="108">
        <f t="shared" si="28"/>
        <v>19.93</v>
      </c>
      <c r="AA48" s="108"/>
      <c r="AB48" s="108">
        <f t="shared" si="56"/>
        <v>19.93</v>
      </c>
      <c r="AC48" s="108">
        <f t="shared" si="57"/>
        <v>19.93</v>
      </c>
      <c r="AD48" s="103"/>
      <c r="AE48" s="92" t="s">
        <v>17</v>
      </c>
      <c r="AF48" s="108">
        <f>N48*M48</f>
        <v>17.07</v>
      </c>
    </row>
    <row r="49" spans="1:32" s="11" customFormat="1" ht="13.8">
      <c r="A49" s="32"/>
      <c r="B49" s="201"/>
      <c r="C49" s="95"/>
      <c r="D49" s="95"/>
      <c r="E49" s="95"/>
      <c r="F49" s="95"/>
      <c r="G49" s="141"/>
      <c r="H49" s="118"/>
      <c r="I49" s="95"/>
      <c r="J49" s="95"/>
      <c r="K49" s="103"/>
      <c r="L49" s="108"/>
      <c r="M49" s="108"/>
      <c r="N49" s="95"/>
      <c r="O49" s="95"/>
      <c r="P49" s="92"/>
      <c r="Q49" s="92"/>
      <c r="R49" s="108"/>
      <c r="S49" s="146"/>
      <c r="T49" s="108"/>
      <c r="U49" s="163"/>
      <c r="V49" s="103"/>
      <c r="W49" s="141" t="s">
        <v>19</v>
      </c>
      <c r="X49" s="141">
        <f t="shared" ref="X49" si="63">E49</f>
        <v>0</v>
      </c>
      <c r="Y49" s="141">
        <f t="shared" ref="Y49" si="64">F49</f>
        <v>0</v>
      </c>
      <c r="Z49" s="141">
        <v>7.82</v>
      </c>
      <c r="AA49" s="108"/>
      <c r="AB49" s="108">
        <f>Z49</f>
        <v>7.82</v>
      </c>
      <c r="AC49" s="141">
        <f>Z49</f>
        <v>7.82</v>
      </c>
      <c r="AD49" s="103"/>
      <c r="AE49" s="92"/>
      <c r="AF49" s="108"/>
    </row>
    <row r="50" spans="1:32" s="11" customFormat="1" ht="13.8">
      <c r="A50" s="32"/>
      <c r="B50" s="201" t="s">
        <v>154</v>
      </c>
      <c r="C50" s="95" t="s">
        <v>17</v>
      </c>
      <c r="D50" s="95">
        <v>1</v>
      </c>
      <c r="E50" s="95" t="s">
        <v>57</v>
      </c>
      <c r="F50" s="95" t="s">
        <v>57</v>
      </c>
      <c r="G50" s="168">
        <v>8.1199999999999992</v>
      </c>
      <c r="H50" s="118"/>
      <c r="I50" s="95">
        <f t="shared" si="42"/>
        <v>8.1199999999999992</v>
      </c>
      <c r="J50" s="95">
        <f t="shared" si="43"/>
        <v>8.1199999999999992</v>
      </c>
      <c r="K50" s="103"/>
      <c r="L50" s="108" t="s">
        <v>17</v>
      </c>
      <c r="M50" s="108">
        <v>1</v>
      </c>
      <c r="N50" s="168">
        <f>11.4-2.25</f>
        <v>9.15</v>
      </c>
      <c r="O50" s="168">
        <v>2.7</v>
      </c>
      <c r="P50" s="92"/>
      <c r="Q50" s="92"/>
      <c r="R50" s="108">
        <f t="shared" si="2"/>
        <v>24.705000000000002</v>
      </c>
      <c r="S50" s="146"/>
      <c r="T50" s="108" t="s">
        <v>17</v>
      </c>
      <c r="U50" s="163">
        <f t="shared" si="60"/>
        <v>9.15</v>
      </c>
      <c r="V50" s="103"/>
      <c r="W50" s="108" t="s">
        <v>17</v>
      </c>
      <c r="X50" s="108" t="str">
        <f t="shared" si="54"/>
        <v>cad</v>
      </c>
      <c r="Y50" s="108" t="str">
        <f t="shared" si="55"/>
        <v>cad</v>
      </c>
      <c r="Z50" s="108">
        <f t="shared" si="28"/>
        <v>8.1199999999999992</v>
      </c>
      <c r="AA50" s="108"/>
      <c r="AB50" s="108">
        <f t="shared" si="56"/>
        <v>8.1199999999999992</v>
      </c>
      <c r="AC50" s="108">
        <f t="shared" si="57"/>
        <v>8.1199999999999992</v>
      </c>
      <c r="AD50" s="103"/>
      <c r="AE50" s="92" t="s">
        <v>17</v>
      </c>
      <c r="AF50" s="108">
        <f>N50*M50</f>
        <v>9.15</v>
      </c>
    </row>
    <row r="51" spans="1:32" s="11" customFormat="1" ht="13.8">
      <c r="A51" s="32"/>
      <c r="B51" s="201" t="s">
        <v>482</v>
      </c>
      <c r="C51" s="95" t="s">
        <v>17</v>
      </c>
      <c r="D51" s="95">
        <v>1</v>
      </c>
      <c r="E51" s="95" t="s">
        <v>57</v>
      </c>
      <c r="F51" s="95" t="s">
        <v>57</v>
      </c>
      <c r="G51" s="168">
        <v>4.71</v>
      </c>
      <c r="H51" s="118"/>
      <c r="I51" s="95">
        <f t="shared" si="42"/>
        <v>4.71</v>
      </c>
      <c r="J51" s="95">
        <f t="shared" si="43"/>
        <v>4.71</v>
      </c>
      <c r="K51" s="103"/>
      <c r="L51" s="108" t="s">
        <v>17</v>
      </c>
      <c r="M51" s="108">
        <v>1</v>
      </c>
      <c r="N51" s="168">
        <v>9.2899999999999991</v>
      </c>
      <c r="O51" s="168">
        <v>2.7</v>
      </c>
      <c r="P51" s="92"/>
      <c r="Q51" s="92"/>
      <c r="R51" s="108">
        <f t="shared" si="2"/>
        <v>25.082999999999998</v>
      </c>
      <c r="S51" s="146"/>
      <c r="T51" s="108" t="s">
        <v>17</v>
      </c>
      <c r="U51" s="163">
        <f t="shared" si="25"/>
        <v>9.2899999999999991</v>
      </c>
      <c r="V51" s="103"/>
      <c r="W51" s="108" t="s">
        <v>17</v>
      </c>
      <c r="X51" s="108" t="str">
        <f t="shared" si="26"/>
        <v>cad</v>
      </c>
      <c r="Y51" s="108" t="str">
        <f t="shared" si="27"/>
        <v>cad</v>
      </c>
      <c r="Z51" s="108">
        <f t="shared" si="28"/>
        <v>4.71</v>
      </c>
      <c r="AA51" s="108">
        <f t="shared" si="29"/>
        <v>0</v>
      </c>
      <c r="AB51" s="108">
        <f t="shared" si="56"/>
        <v>4.71</v>
      </c>
      <c r="AC51" s="108">
        <f t="shared" si="57"/>
        <v>4.71</v>
      </c>
      <c r="AD51" s="103"/>
      <c r="AE51" s="92" t="s">
        <v>17</v>
      </c>
      <c r="AF51" s="108">
        <f t="shared" ref="AF51:AF62" si="65">N51*M51</f>
        <v>9.2899999999999991</v>
      </c>
    </row>
    <row r="52" spans="1:32" s="11" customFormat="1" ht="13.8">
      <c r="A52" s="32"/>
      <c r="B52" s="201" t="s">
        <v>482</v>
      </c>
      <c r="C52" s="95" t="s">
        <v>17</v>
      </c>
      <c r="D52" s="95">
        <v>1</v>
      </c>
      <c r="E52" s="95" t="s">
        <v>57</v>
      </c>
      <c r="F52" s="95" t="s">
        <v>57</v>
      </c>
      <c r="G52" s="168">
        <v>3.3</v>
      </c>
      <c r="H52" s="118"/>
      <c r="I52" s="95">
        <f t="shared" si="42"/>
        <v>3.3</v>
      </c>
      <c r="J52" s="95">
        <f t="shared" si="43"/>
        <v>3.3</v>
      </c>
      <c r="K52" s="103"/>
      <c r="L52" s="108" t="s">
        <v>17</v>
      </c>
      <c r="M52" s="108">
        <v>1</v>
      </c>
      <c r="N52" s="168">
        <v>7.3</v>
      </c>
      <c r="O52" s="168">
        <v>2.7</v>
      </c>
      <c r="P52" s="92"/>
      <c r="Q52" s="92"/>
      <c r="R52" s="108">
        <f t="shared" si="2"/>
        <v>19.71</v>
      </c>
      <c r="S52" s="146"/>
      <c r="T52" s="108" t="s">
        <v>17</v>
      </c>
      <c r="U52" s="163">
        <f t="shared" si="25"/>
        <v>7.3</v>
      </c>
      <c r="V52" s="103"/>
      <c r="W52" s="108" t="s">
        <v>17</v>
      </c>
      <c r="X52" s="108" t="str">
        <f t="shared" ref="X52:X64" si="66">E52</f>
        <v>cad</v>
      </c>
      <c r="Y52" s="108" t="str">
        <f t="shared" ref="Y52:Y64" si="67">F52</f>
        <v>cad</v>
      </c>
      <c r="Z52" s="108">
        <f t="shared" si="28"/>
        <v>3.3</v>
      </c>
      <c r="AA52" s="108"/>
      <c r="AB52" s="108">
        <f t="shared" si="56"/>
        <v>3.3</v>
      </c>
      <c r="AC52" s="108">
        <f t="shared" si="57"/>
        <v>3.3</v>
      </c>
      <c r="AD52" s="103"/>
      <c r="AE52" s="92" t="s">
        <v>17</v>
      </c>
      <c r="AF52" s="108">
        <f t="shared" si="65"/>
        <v>7.3</v>
      </c>
    </row>
    <row r="53" spans="1:32" s="11" customFormat="1" ht="13.8">
      <c r="A53" s="32"/>
      <c r="B53" s="201" t="s">
        <v>512</v>
      </c>
      <c r="C53" s="95" t="s">
        <v>17</v>
      </c>
      <c r="D53" s="95">
        <v>1</v>
      </c>
      <c r="E53" s="95" t="s">
        <v>57</v>
      </c>
      <c r="F53" s="95" t="s">
        <v>57</v>
      </c>
      <c r="G53" s="168">
        <v>12.69</v>
      </c>
      <c r="H53" s="118"/>
      <c r="I53" s="95">
        <f t="shared" si="42"/>
        <v>12.69</v>
      </c>
      <c r="J53" s="95">
        <f t="shared" si="43"/>
        <v>12.69</v>
      </c>
      <c r="K53" s="103"/>
      <c r="L53" s="108" t="s">
        <v>17</v>
      </c>
      <c r="M53" s="108">
        <v>1</v>
      </c>
      <c r="N53" s="168">
        <v>14.73</v>
      </c>
      <c r="O53" s="168">
        <v>2.7</v>
      </c>
      <c r="P53" s="92"/>
      <c r="Q53" s="92"/>
      <c r="R53" s="108">
        <f t="shared" si="2"/>
        <v>39.771000000000001</v>
      </c>
      <c r="S53" s="146"/>
      <c r="T53" s="108" t="s">
        <v>17</v>
      </c>
      <c r="U53" s="163">
        <f t="shared" si="25"/>
        <v>14.73</v>
      </c>
      <c r="V53" s="103"/>
      <c r="W53" s="108" t="s">
        <v>17</v>
      </c>
      <c r="X53" s="108" t="str">
        <f t="shared" si="66"/>
        <v>cad</v>
      </c>
      <c r="Y53" s="108" t="str">
        <f t="shared" si="67"/>
        <v>cad</v>
      </c>
      <c r="Z53" s="108">
        <f t="shared" si="28"/>
        <v>12.69</v>
      </c>
      <c r="AA53" s="108">
        <f t="shared" si="29"/>
        <v>0</v>
      </c>
      <c r="AB53" s="108">
        <f t="shared" si="56"/>
        <v>12.69</v>
      </c>
      <c r="AC53" s="108">
        <f t="shared" si="57"/>
        <v>12.69</v>
      </c>
      <c r="AD53" s="103"/>
      <c r="AE53" s="92" t="s">
        <v>17</v>
      </c>
      <c r="AF53" s="108">
        <f t="shared" si="65"/>
        <v>14.73</v>
      </c>
    </row>
    <row r="54" spans="1:32" s="11" customFormat="1" ht="13.8">
      <c r="A54" s="32"/>
      <c r="B54" s="201" t="s">
        <v>516</v>
      </c>
      <c r="C54" s="95" t="s">
        <v>17</v>
      </c>
      <c r="D54" s="95">
        <v>1</v>
      </c>
      <c r="E54" s="95" t="s">
        <v>57</v>
      </c>
      <c r="F54" s="95" t="s">
        <v>57</v>
      </c>
      <c r="G54" s="168">
        <v>10.119999999999999</v>
      </c>
      <c r="H54" s="118"/>
      <c r="I54" s="95">
        <f t="shared" si="42"/>
        <v>10.119999999999999</v>
      </c>
      <c r="J54" s="95">
        <f t="shared" si="43"/>
        <v>10.119999999999999</v>
      </c>
      <c r="K54" s="103"/>
      <c r="L54" s="108" t="s">
        <v>17</v>
      </c>
      <c r="M54" s="108">
        <v>1</v>
      </c>
      <c r="N54" s="168">
        <v>13.09</v>
      </c>
      <c r="O54" s="168">
        <v>2.7</v>
      </c>
      <c r="P54" s="92"/>
      <c r="Q54" s="92"/>
      <c r="R54" s="108">
        <f t="shared" si="2"/>
        <v>35.343000000000004</v>
      </c>
      <c r="S54" s="146"/>
      <c r="T54" s="108" t="s">
        <v>17</v>
      </c>
      <c r="U54" s="163">
        <f t="shared" si="25"/>
        <v>13.09</v>
      </c>
      <c r="V54" s="103"/>
      <c r="W54" s="108" t="s">
        <v>17</v>
      </c>
      <c r="X54" s="108" t="str">
        <f t="shared" si="66"/>
        <v>cad</v>
      </c>
      <c r="Y54" s="108" t="str">
        <f t="shared" si="67"/>
        <v>cad</v>
      </c>
      <c r="Z54" s="108">
        <f t="shared" si="28"/>
        <v>10.119999999999999</v>
      </c>
      <c r="AA54" s="108"/>
      <c r="AB54" s="108">
        <f t="shared" si="56"/>
        <v>10.119999999999999</v>
      </c>
      <c r="AC54" s="108">
        <f t="shared" si="57"/>
        <v>10.119999999999999</v>
      </c>
      <c r="AD54" s="103"/>
      <c r="AE54" s="92" t="s">
        <v>17</v>
      </c>
      <c r="AF54" s="108">
        <f t="shared" si="65"/>
        <v>13.09</v>
      </c>
    </row>
    <row r="55" spans="1:32" s="11" customFormat="1" ht="13.8">
      <c r="A55" s="32"/>
      <c r="B55" s="201" t="s">
        <v>513</v>
      </c>
      <c r="C55" s="95" t="s">
        <v>20</v>
      </c>
      <c r="D55" s="95">
        <v>2</v>
      </c>
      <c r="E55" s="95" t="s">
        <v>57</v>
      </c>
      <c r="F55" s="95" t="s">
        <v>57</v>
      </c>
      <c r="G55" s="168">
        <v>2.08</v>
      </c>
      <c r="H55" s="118"/>
      <c r="I55" s="95">
        <f t="shared" si="42"/>
        <v>2.08</v>
      </c>
      <c r="J55" s="95">
        <f t="shared" si="43"/>
        <v>4.16</v>
      </c>
      <c r="K55" s="103"/>
      <c r="L55" s="108" t="s">
        <v>18</v>
      </c>
      <c r="M55" s="108">
        <v>2</v>
      </c>
      <c r="N55" s="168">
        <v>5.8</v>
      </c>
      <c r="O55" s="168">
        <v>2.7</v>
      </c>
      <c r="P55" s="92"/>
      <c r="Q55" s="92"/>
      <c r="R55" s="108">
        <f t="shared" si="2"/>
        <v>31.32</v>
      </c>
      <c r="S55" s="146"/>
      <c r="T55" s="108" t="s">
        <v>18</v>
      </c>
      <c r="U55" s="163">
        <f t="shared" si="25"/>
        <v>11.6</v>
      </c>
      <c r="V55" s="103"/>
      <c r="W55" s="108" t="s">
        <v>18</v>
      </c>
      <c r="X55" s="108" t="str">
        <f t="shared" si="66"/>
        <v>cad</v>
      </c>
      <c r="Y55" s="108" t="str">
        <f t="shared" si="67"/>
        <v>cad</v>
      </c>
      <c r="Z55" s="108">
        <f t="shared" si="28"/>
        <v>2.08</v>
      </c>
      <c r="AA55" s="108">
        <f t="shared" si="29"/>
        <v>0</v>
      </c>
      <c r="AB55" s="108">
        <f t="shared" si="30"/>
        <v>2.08</v>
      </c>
      <c r="AC55" s="108">
        <f t="shared" si="31"/>
        <v>4.16</v>
      </c>
      <c r="AD55" s="103"/>
      <c r="AE55" s="92" t="s">
        <v>17</v>
      </c>
      <c r="AF55" s="108">
        <f t="shared" si="65"/>
        <v>11.6</v>
      </c>
    </row>
    <row r="56" spans="1:32" s="11" customFormat="1" ht="13.8">
      <c r="A56" s="32"/>
      <c r="B56" s="201" t="s">
        <v>227</v>
      </c>
      <c r="C56" s="95" t="s">
        <v>20</v>
      </c>
      <c r="D56" s="95">
        <v>1</v>
      </c>
      <c r="E56" s="95" t="s">
        <v>57</v>
      </c>
      <c r="F56" s="95" t="s">
        <v>57</v>
      </c>
      <c r="G56" s="168">
        <v>2.73</v>
      </c>
      <c r="H56" s="118"/>
      <c r="I56" s="95">
        <f t="shared" si="42"/>
        <v>2.73</v>
      </c>
      <c r="J56" s="95">
        <f t="shared" si="43"/>
        <v>2.73</v>
      </c>
      <c r="K56" s="103"/>
      <c r="L56" s="108" t="s">
        <v>18</v>
      </c>
      <c r="M56" s="108">
        <v>1</v>
      </c>
      <c r="N56" s="168">
        <v>6.7</v>
      </c>
      <c r="O56" s="168">
        <v>2.7</v>
      </c>
      <c r="P56" s="92"/>
      <c r="Q56" s="92"/>
      <c r="R56" s="108">
        <f t="shared" si="2"/>
        <v>18.090000000000003</v>
      </c>
      <c r="S56" s="146"/>
      <c r="T56" s="108" t="s">
        <v>18</v>
      </c>
      <c r="U56" s="163">
        <f t="shared" si="25"/>
        <v>6.7</v>
      </c>
      <c r="V56" s="103"/>
      <c r="W56" s="108" t="s">
        <v>18</v>
      </c>
      <c r="X56" s="108" t="str">
        <f t="shared" ref="X56" si="68">E56</f>
        <v>cad</v>
      </c>
      <c r="Y56" s="108" t="str">
        <f t="shared" ref="Y56" si="69">F56</f>
        <v>cad</v>
      </c>
      <c r="Z56" s="108">
        <f t="shared" si="28"/>
        <v>2.73</v>
      </c>
      <c r="AA56" s="108"/>
      <c r="AB56" s="108">
        <f t="shared" si="30"/>
        <v>2.73</v>
      </c>
      <c r="AC56" s="108">
        <f t="shared" si="31"/>
        <v>2.73</v>
      </c>
      <c r="AD56" s="103"/>
      <c r="AE56" s="92" t="s">
        <v>17</v>
      </c>
      <c r="AF56" s="108">
        <f t="shared" si="65"/>
        <v>6.7</v>
      </c>
    </row>
    <row r="57" spans="1:32" s="11" customFormat="1" ht="13.8">
      <c r="A57" s="32"/>
      <c r="B57" s="201" t="s">
        <v>225</v>
      </c>
      <c r="C57" s="95" t="s">
        <v>17</v>
      </c>
      <c r="D57" s="95">
        <v>1</v>
      </c>
      <c r="E57" s="95" t="s">
        <v>57</v>
      </c>
      <c r="F57" s="95" t="s">
        <v>57</v>
      </c>
      <c r="G57" s="168">
        <v>6.82</v>
      </c>
      <c r="H57" s="118"/>
      <c r="I57" s="95">
        <f t="shared" si="42"/>
        <v>6.82</v>
      </c>
      <c r="J57" s="95">
        <f t="shared" si="43"/>
        <v>6.82</v>
      </c>
      <c r="K57" s="103"/>
      <c r="L57" s="108" t="s">
        <v>17</v>
      </c>
      <c r="M57" s="108">
        <v>1</v>
      </c>
      <c r="N57" s="168">
        <v>10.62</v>
      </c>
      <c r="O57" s="168">
        <v>2.7</v>
      </c>
      <c r="P57" s="92"/>
      <c r="Q57" s="92"/>
      <c r="R57" s="108">
        <f t="shared" si="2"/>
        <v>28.673999999999999</v>
      </c>
      <c r="S57" s="146"/>
      <c r="T57" s="108" t="s">
        <v>17</v>
      </c>
      <c r="U57" s="163">
        <f t="shared" si="25"/>
        <v>10.62</v>
      </c>
      <c r="V57" s="103"/>
      <c r="W57" s="108" t="s">
        <v>17</v>
      </c>
      <c r="X57" s="108" t="str">
        <f t="shared" si="66"/>
        <v>cad</v>
      </c>
      <c r="Y57" s="108" t="str">
        <f t="shared" si="67"/>
        <v>cad</v>
      </c>
      <c r="Z57" s="108">
        <f t="shared" si="28"/>
        <v>6.82</v>
      </c>
      <c r="AA57" s="108"/>
      <c r="AB57" s="108">
        <f t="shared" ref="AB57:AB64" si="70">I57</f>
        <v>6.82</v>
      </c>
      <c r="AC57" s="108">
        <f t="shared" ref="AC57:AC64" si="71">J57</f>
        <v>6.82</v>
      </c>
      <c r="AD57" s="103"/>
      <c r="AE57" s="92" t="s">
        <v>17</v>
      </c>
      <c r="AF57" s="108">
        <f t="shared" si="65"/>
        <v>10.62</v>
      </c>
    </row>
    <row r="58" spans="1:32" s="11" customFormat="1" ht="13.8">
      <c r="A58" s="32"/>
      <c r="B58" s="201" t="s">
        <v>520</v>
      </c>
      <c r="C58" s="95" t="s">
        <v>17</v>
      </c>
      <c r="D58" s="95">
        <v>1</v>
      </c>
      <c r="E58" s="95" t="s">
        <v>57</v>
      </c>
      <c r="F58" s="95" t="s">
        <v>57</v>
      </c>
      <c r="G58" s="168">
        <v>6.67</v>
      </c>
      <c r="H58" s="118"/>
      <c r="I58" s="95">
        <f t="shared" si="42"/>
        <v>6.67</v>
      </c>
      <c r="J58" s="95">
        <f t="shared" si="43"/>
        <v>6.67</v>
      </c>
      <c r="K58" s="103"/>
      <c r="L58" s="108" t="s">
        <v>17</v>
      </c>
      <c r="M58" s="108">
        <v>1</v>
      </c>
      <c r="N58" s="168">
        <v>10.77</v>
      </c>
      <c r="O58" s="168">
        <v>2.7</v>
      </c>
      <c r="P58" s="92"/>
      <c r="Q58" s="92"/>
      <c r="R58" s="108">
        <f t="shared" si="2"/>
        <v>29.079000000000001</v>
      </c>
      <c r="S58" s="146"/>
      <c r="T58" s="108" t="s">
        <v>17</v>
      </c>
      <c r="U58" s="163">
        <f t="shared" si="25"/>
        <v>10.77</v>
      </c>
      <c r="V58" s="103"/>
      <c r="W58" s="108" t="s">
        <v>17</v>
      </c>
      <c r="X58" s="108" t="str">
        <f t="shared" si="66"/>
        <v>cad</v>
      </c>
      <c r="Y58" s="108" t="str">
        <f t="shared" si="67"/>
        <v>cad</v>
      </c>
      <c r="Z58" s="108">
        <f t="shared" si="28"/>
        <v>6.67</v>
      </c>
      <c r="AA58" s="108"/>
      <c r="AB58" s="108">
        <f t="shared" si="70"/>
        <v>6.67</v>
      </c>
      <c r="AC58" s="108">
        <f t="shared" si="71"/>
        <v>6.67</v>
      </c>
      <c r="AD58" s="103"/>
      <c r="AE58" s="92" t="s">
        <v>17</v>
      </c>
      <c r="AF58" s="108">
        <f t="shared" si="65"/>
        <v>10.77</v>
      </c>
    </row>
    <row r="59" spans="1:32" s="11" customFormat="1" ht="13.8">
      <c r="A59" s="32"/>
      <c r="B59" s="201" t="s">
        <v>462</v>
      </c>
      <c r="C59" s="95" t="s">
        <v>17</v>
      </c>
      <c r="D59" s="95">
        <v>1</v>
      </c>
      <c r="E59" s="95" t="s">
        <v>57</v>
      </c>
      <c r="F59" s="95" t="s">
        <v>57</v>
      </c>
      <c r="G59" s="168">
        <v>9.74</v>
      </c>
      <c r="H59" s="118"/>
      <c r="I59" s="95">
        <f t="shared" si="42"/>
        <v>9.74</v>
      </c>
      <c r="J59" s="95">
        <f t="shared" si="43"/>
        <v>9.74</v>
      </c>
      <c r="K59" s="103"/>
      <c r="L59" s="108" t="s">
        <v>17</v>
      </c>
      <c r="M59" s="108">
        <v>1</v>
      </c>
      <c r="N59" s="168">
        <v>13.59</v>
      </c>
      <c r="O59" s="168">
        <v>2.7</v>
      </c>
      <c r="P59" s="92"/>
      <c r="Q59" s="92"/>
      <c r="R59" s="108">
        <f t="shared" si="2"/>
        <v>36.693000000000005</v>
      </c>
      <c r="S59" s="146"/>
      <c r="T59" s="108" t="s">
        <v>17</v>
      </c>
      <c r="U59" s="163">
        <f t="shared" si="25"/>
        <v>13.59</v>
      </c>
      <c r="V59" s="103"/>
      <c r="W59" s="108" t="s">
        <v>17</v>
      </c>
      <c r="X59" s="108" t="str">
        <f t="shared" si="66"/>
        <v>cad</v>
      </c>
      <c r="Y59" s="108" t="str">
        <f t="shared" si="67"/>
        <v>cad</v>
      </c>
      <c r="Z59" s="108">
        <f t="shared" si="28"/>
        <v>9.74</v>
      </c>
      <c r="AA59" s="108"/>
      <c r="AB59" s="108">
        <f t="shared" si="70"/>
        <v>9.74</v>
      </c>
      <c r="AC59" s="108">
        <f t="shared" si="71"/>
        <v>9.74</v>
      </c>
      <c r="AD59" s="103"/>
      <c r="AE59" s="92" t="s">
        <v>17</v>
      </c>
      <c r="AF59" s="108">
        <f t="shared" si="65"/>
        <v>13.59</v>
      </c>
    </row>
    <row r="60" spans="1:32" s="11" customFormat="1" ht="13.8">
      <c r="A60" s="32"/>
      <c r="B60" s="201" t="s">
        <v>517</v>
      </c>
      <c r="C60" s="95" t="s">
        <v>17</v>
      </c>
      <c r="D60" s="95">
        <v>1</v>
      </c>
      <c r="E60" s="95" t="s">
        <v>57</v>
      </c>
      <c r="F60" s="95" t="s">
        <v>57</v>
      </c>
      <c r="G60" s="168">
        <v>5.0599999999999996</v>
      </c>
      <c r="H60" s="118"/>
      <c r="I60" s="95">
        <f t="shared" si="42"/>
        <v>5.0599999999999996</v>
      </c>
      <c r="J60" s="95">
        <f t="shared" si="43"/>
        <v>5.0599999999999996</v>
      </c>
      <c r="K60" s="103"/>
      <c r="L60" s="108" t="s">
        <v>17</v>
      </c>
      <c r="M60" s="108">
        <v>1</v>
      </c>
      <c r="N60" s="168">
        <v>9</v>
      </c>
      <c r="O60" s="168">
        <v>2.7</v>
      </c>
      <c r="P60" s="92"/>
      <c r="Q60" s="92"/>
      <c r="R60" s="108">
        <f t="shared" si="2"/>
        <v>24.3</v>
      </c>
      <c r="S60" s="146"/>
      <c r="T60" s="108" t="s">
        <v>17</v>
      </c>
      <c r="U60" s="163">
        <f t="shared" si="25"/>
        <v>9</v>
      </c>
      <c r="V60" s="103"/>
      <c r="W60" s="108" t="s">
        <v>17</v>
      </c>
      <c r="X60" s="108" t="str">
        <f t="shared" si="66"/>
        <v>cad</v>
      </c>
      <c r="Y60" s="108" t="str">
        <f t="shared" si="67"/>
        <v>cad</v>
      </c>
      <c r="Z60" s="108">
        <f t="shared" si="28"/>
        <v>5.0599999999999996</v>
      </c>
      <c r="AA60" s="108"/>
      <c r="AB60" s="108">
        <f t="shared" si="70"/>
        <v>5.0599999999999996</v>
      </c>
      <c r="AC60" s="108">
        <f t="shared" si="71"/>
        <v>5.0599999999999996</v>
      </c>
      <c r="AD60" s="103"/>
      <c r="AE60" s="92" t="s">
        <v>17</v>
      </c>
      <c r="AF60" s="108">
        <f t="shared" si="65"/>
        <v>9</v>
      </c>
    </row>
    <row r="61" spans="1:32" s="11" customFormat="1" ht="13.8">
      <c r="A61" s="32"/>
      <c r="B61" s="201" t="s">
        <v>518</v>
      </c>
      <c r="C61" s="95" t="s">
        <v>17</v>
      </c>
      <c r="D61" s="95">
        <v>1</v>
      </c>
      <c r="E61" s="95" t="s">
        <v>57</v>
      </c>
      <c r="F61" s="95" t="s">
        <v>57</v>
      </c>
      <c r="G61" s="168">
        <v>18.850000000000001</v>
      </c>
      <c r="H61" s="118"/>
      <c r="I61" s="95">
        <f t="shared" si="42"/>
        <v>18.850000000000001</v>
      </c>
      <c r="J61" s="95">
        <f t="shared" si="43"/>
        <v>18.850000000000001</v>
      </c>
      <c r="K61" s="103"/>
      <c r="L61" s="108" t="s">
        <v>17</v>
      </c>
      <c r="M61" s="108">
        <v>1</v>
      </c>
      <c r="N61" s="168">
        <v>17.989999999999998</v>
      </c>
      <c r="O61" s="168">
        <v>2.7</v>
      </c>
      <c r="P61" s="92"/>
      <c r="Q61" s="92"/>
      <c r="R61" s="108">
        <f t="shared" si="2"/>
        <v>48.573</v>
      </c>
      <c r="S61" s="146"/>
      <c r="T61" s="108" t="s">
        <v>525</v>
      </c>
      <c r="U61" s="163">
        <f t="shared" si="25"/>
        <v>17.989999999999998</v>
      </c>
      <c r="V61" s="103"/>
      <c r="W61" s="108" t="s">
        <v>17</v>
      </c>
      <c r="X61" s="108" t="str">
        <f t="shared" si="66"/>
        <v>cad</v>
      </c>
      <c r="Y61" s="108" t="str">
        <f t="shared" si="67"/>
        <v>cad</v>
      </c>
      <c r="Z61" s="108">
        <f t="shared" si="28"/>
        <v>18.850000000000001</v>
      </c>
      <c r="AA61" s="108"/>
      <c r="AB61" s="108">
        <f t="shared" si="70"/>
        <v>18.850000000000001</v>
      </c>
      <c r="AC61" s="108">
        <f t="shared" si="71"/>
        <v>18.850000000000001</v>
      </c>
      <c r="AD61" s="103"/>
      <c r="AE61" s="92" t="s">
        <v>17</v>
      </c>
      <c r="AF61" s="108">
        <f t="shared" si="65"/>
        <v>17.989999999999998</v>
      </c>
    </row>
    <row r="62" spans="1:32" s="11" customFormat="1" ht="13.8">
      <c r="A62" s="32"/>
      <c r="B62" s="201" t="s">
        <v>519</v>
      </c>
      <c r="C62" s="95" t="s">
        <v>17</v>
      </c>
      <c r="D62" s="95">
        <v>1</v>
      </c>
      <c r="E62" s="95" t="s">
        <v>57</v>
      </c>
      <c r="F62" s="95" t="s">
        <v>57</v>
      </c>
      <c r="G62" s="168">
        <v>44.2</v>
      </c>
      <c r="H62" s="118"/>
      <c r="I62" s="95">
        <f t="shared" si="42"/>
        <v>44.2</v>
      </c>
      <c r="J62" s="95">
        <f t="shared" si="43"/>
        <v>44.2</v>
      </c>
      <c r="K62" s="103"/>
      <c r="L62" s="108" t="s">
        <v>17</v>
      </c>
      <c r="M62" s="108">
        <v>1</v>
      </c>
      <c r="N62" s="168">
        <f>29.49-5.95</f>
        <v>23.54</v>
      </c>
      <c r="O62" s="168">
        <v>2.7</v>
      </c>
      <c r="P62" s="92"/>
      <c r="Q62" s="92"/>
      <c r="R62" s="108">
        <f t="shared" si="2"/>
        <v>63.558</v>
      </c>
      <c r="S62" s="146"/>
      <c r="T62" s="108" t="s">
        <v>17</v>
      </c>
      <c r="U62" s="163">
        <f t="shared" si="25"/>
        <v>23.54</v>
      </c>
      <c r="V62" s="103"/>
      <c r="W62" s="108" t="s">
        <v>17</v>
      </c>
      <c r="X62" s="108" t="str">
        <f t="shared" si="66"/>
        <v>cad</v>
      </c>
      <c r="Y62" s="108" t="str">
        <f t="shared" si="67"/>
        <v>cad</v>
      </c>
      <c r="Z62" s="108">
        <f t="shared" si="28"/>
        <v>44.2</v>
      </c>
      <c r="AA62" s="108"/>
      <c r="AB62" s="108">
        <f t="shared" si="70"/>
        <v>44.2</v>
      </c>
      <c r="AC62" s="108">
        <f t="shared" si="71"/>
        <v>44.2</v>
      </c>
      <c r="AD62" s="103"/>
      <c r="AE62" s="92" t="s">
        <v>17</v>
      </c>
      <c r="AF62" s="108">
        <f t="shared" si="65"/>
        <v>23.54</v>
      </c>
    </row>
    <row r="63" spans="1:32" s="11" customFormat="1" ht="13.8">
      <c r="A63" s="32"/>
      <c r="B63" s="201"/>
      <c r="C63" s="95"/>
      <c r="D63" s="95"/>
      <c r="E63" s="95"/>
      <c r="F63" s="95"/>
      <c r="G63" s="141"/>
      <c r="H63" s="118"/>
      <c r="I63" s="95"/>
      <c r="J63" s="95"/>
      <c r="K63" s="103"/>
      <c r="L63" s="108"/>
      <c r="M63" s="108"/>
      <c r="N63" s="95"/>
      <c r="O63" s="95"/>
      <c r="P63" s="92"/>
      <c r="Q63" s="92"/>
      <c r="R63" s="108"/>
      <c r="S63" s="146"/>
      <c r="T63" s="108"/>
      <c r="U63" s="163"/>
      <c r="V63" s="103"/>
      <c r="W63" s="141" t="s">
        <v>24</v>
      </c>
      <c r="X63" s="141">
        <f t="shared" si="66"/>
        <v>0</v>
      </c>
      <c r="Y63" s="141">
        <f t="shared" si="67"/>
        <v>0</v>
      </c>
      <c r="Z63" s="141">
        <v>19.18</v>
      </c>
      <c r="AA63" s="108"/>
      <c r="AB63" s="108">
        <f>Z63</f>
        <v>19.18</v>
      </c>
      <c r="AC63" s="141">
        <f>Z63</f>
        <v>19.18</v>
      </c>
      <c r="AD63" s="103"/>
      <c r="AE63" s="92"/>
      <c r="AF63" s="108"/>
    </row>
    <row r="64" spans="1:32" s="11" customFormat="1" ht="13.8">
      <c r="A64" s="32"/>
      <c r="B64" s="201" t="s">
        <v>491</v>
      </c>
      <c r="C64" s="95" t="s">
        <v>17</v>
      </c>
      <c r="D64" s="95">
        <v>1</v>
      </c>
      <c r="E64" s="95" t="s">
        <v>57</v>
      </c>
      <c r="F64" s="95" t="s">
        <v>57</v>
      </c>
      <c r="G64" s="168">
        <v>17.61</v>
      </c>
      <c r="H64" s="118"/>
      <c r="I64" s="95">
        <f t="shared" si="42"/>
        <v>17.61</v>
      </c>
      <c r="J64" s="95">
        <f t="shared" si="43"/>
        <v>17.61</v>
      </c>
      <c r="K64" s="103"/>
      <c r="L64" s="108" t="s">
        <v>17</v>
      </c>
      <c r="M64" s="108">
        <v>1</v>
      </c>
      <c r="N64" s="168">
        <f>19.79-5.95</f>
        <v>13.84</v>
      </c>
      <c r="O64" s="168">
        <v>2.7</v>
      </c>
      <c r="P64" s="92"/>
      <c r="Q64" s="92"/>
      <c r="R64" s="108">
        <f t="shared" si="2"/>
        <v>37.368000000000002</v>
      </c>
      <c r="S64" s="146"/>
      <c r="T64" s="108" t="s">
        <v>17</v>
      </c>
      <c r="U64" s="163">
        <f t="shared" si="25"/>
        <v>13.84</v>
      </c>
      <c r="V64" s="103"/>
      <c r="W64" s="108" t="s">
        <v>17</v>
      </c>
      <c r="X64" s="108" t="str">
        <f t="shared" si="66"/>
        <v>cad</v>
      </c>
      <c r="Y64" s="108" t="str">
        <f t="shared" si="67"/>
        <v>cad</v>
      </c>
      <c r="Z64" s="108">
        <f t="shared" si="28"/>
        <v>17.61</v>
      </c>
      <c r="AA64" s="108"/>
      <c r="AB64" s="108">
        <f t="shared" si="70"/>
        <v>17.61</v>
      </c>
      <c r="AC64" s="108">
        <f t="shared" si="71"/>
        <v>17.61</v>
      </c>
      <c r="AD64" s="103"/>
      <c r="AE64" s="92" t="s">
        <v>17</v>
      </c>
      <c r="AF64" s="108">
        <f>N64*M64</f>
        <v>13.84</v>
      </c>
    </row>
    <row r="65" spans="1:32" s="11" customFormat="1" ht="13.8">
      <c r="A65" s="32"/>
      <c r="B65" s="201" t="s">
        <v>523</v>
      </c>
      <c r="C65" s="95" t="s">
        <v>17</v>
      </c>
      <c r="D65" s="95">
        <v>1</v>
      </c>
      <c r="E65" s="95" t="s">
        <v>57</v>
      </c>
      <c r="F65" s="95" t="s">
        <v>57</v>
      </c>
      <c r="G65" s="168">
        <v>49.24</v>
      </c>
      <c r="H65" s="118"/>
      <c r="I65" s="95">
        <f t="shared" ref="I65:I67" si="72">(G65-H65)</f>
        <v>49.24</v>
      </c>
      <c r="J65" s="95">
        <f t="shared" ref="J65:J67" si="73">I65*D65</f>
        <v>49.24</v>
      </c>
      <c r="K65" s="103"/>
      <c r="L65" s="108" t="s">
        <v>17</v>
      </c>
      <c r="M65" s="108">
        <v>1</v>
      </c>
      <c r="N65" s="168">
        <f>30.57-14.8</f>
        <v>15.77</v>
      </c>
      <c r="O65" s="168">
        <v>2.75</v>
      </c>
      <c r="P65" s="92"/>
      <c r="Q65" s="92"/>
      <c r="R65" s="108">
        <f t="shared" si="2"/>
        <v>43.3675</v>
      </c>
      <c r="S65" s="146"/>
      <c r="T65" s="108" t="s">
        <v>17</v>
      </c>
      <c r="U65" s="163">
        <f t="shared" si="25"/>
        <v>15.77</v>
      </c>
      <c r="V65" s="103"/>
      <c r="W65" s="108" t="s">
        <v>17</v>
      </c>
      <c r="X65" s="108" t="str">
        <f t="shared" ref="X65:X66" si="74">E65</f>
        <v>cad</v>
      </c>
      <c r="Y65" s="108" t="str">
        <f t="shared" ref="Y65:Y66" si="75">F65</f>
        <v>cad</v>
      </c>
      <c r="Z65" s="108">
        <f t="shared" si="28"/>
        <v>49.24</v>
      </c>
      <c r="AA65" s="108"/>
      <c r="AB65" s="108">
        <f t="shared" ref="AB65:AB67" si="76">I65</f>
        <v>49.24</v>
      </c>
      <c r="AC65" s="108">
        <f t="shared" ref="AC65:AC67" si="77">J65</f>
        <v>49.24</v>
      </c>
      <c r="AD65" s="103"/>
      <c r="AE65" s="92" t="s">
        <v>17</v>
      </c>
      <c r="AF65" s="108">
        <f>N65*M65</f>
        <v>15.77</v>
      </c>
    </row>
    <row r="66" spans="1:32" s="11" customFormat="1" ht="13.8">
      <c r="A66" s="32"/>
      <c r="B66" s="201"/>
      <c r="C66" s="95"/>
      <c r="D66" s="95"/>
      <c r="E66" s="95"/>
      <c r="F66" s="95"/>
      <c r="G66" s="141"/>
      <c r="H66" s="118"/>
      <c r="I66" s="95"/>
      <c r="J66" s="95"/>
      <c r="K66" s="103"/>
      <c r="L66" s="108"/>
      <c r="M66" s="108"/>
      <c r="N66" s="95"/>
      <c r="O66" s="95"/>
      <c r="P66" s="92"/>
      <c r="Q66" s="92"/>
      <c r="R66" s="108"/>
      <c r="S66" s="146"/>
      <c r="T66" s="108"/>
      <c r="U66" s="163"/>
      <c r="V66" s="103"/>
      <c r="W66" s="141" t="s">
        <v>19</v>
      </c>
      <c r="X66" s="141">
        <f t="shared" si="74"/>
        <v>0</v>
      </c>
      <c r="Y66" s="141">
        <f t="shared" si="75"/>
        <v>0</v>
      </c>
      <c r="Z66" s="141">
        <v>17.62</v>
      </c>
      <c r="AA66" s="108"/>
      <c r="AB66" s="108">
        <f>Z66</f>
        <v>17.62</v>
      </c>
      <c r="AC66" s="141">
        <f>Z66</f>
        <v>17.62</v>
      </c>
      <c r="AD66" s="103"/>
      <c r="AE66" s="92"/>
      <c r="AF66" s="108"/>
    </row>
    <row r="67" spans="1:32" s="11" customFormat="1" ht="13.8">
      <c r="A67" s="32"/>
      <c r="B67" s="201" t="s">
        <v>524</v>
      </c>
      <c r="C67" s="95" t="s">
        <v>17</v>
      </c>
      <c r="D67" s="95">
        <v>1</v>
      </c>
      <c r="E67" s="95" t="s">
        <v>57</v>
      </c>
      <c r="F67" s="95" t="s">
        <v>57</v>
      </c>
      <c r="G67" s="168">
        <v>23.38</v>
      </c>
      <c r="H67" s="118"/>
      <c r="I67" s="95">
        <f t="shared" si="72"/>
        <v>23.38</v>
      </c>
      <c r="J67" s="95">
        <f t="shared" si="73"/>
        <v>23.38</v>
      </c>
      <c r="K67" s="103"/>
      <c r="L67" s="108" t="s">
        <v>17</v>
      </c>
      <c r="M67" s="108">
        <v>1</v>
      </c>
      <c r="N67" s="168">
        <f>19.7-4.81</f>
        <v>14.89</v>
      </c>
      <c r="O67" s="168">
        <v>2.75</v>
      </c>
      <c r="P67" s="92"/>
      <c r="Q67" s="92"/>
      <c r="R67" s="108">
        <f t="shared" si="2"/>
        <v>40.947500000000005</v>
      </c>
      <c r="S67" s="146"/>
      <c r="T67" s="108" t="s">
        <v>17</v>
      </c>
      <c r="U67" s="163">
        <f t="shared" si="25"/>
        <v>14.89</v>
      </c>
      <c r="V67" s="103"/>
      <c r="W67" s="108" t="s">
        <v>17</v>
      </c>
      <c r="X67" s="108" t="str">
        <f t="shared" ref="X67:X68" si="78">E67</f>
        <v>cad</v>
      </c>
      <c r="Y67" s="108" t="str">
        <f t="shared" ref="Y67:Y68" si="79">F67</f>
        <v>cad</v>
      </c>
      <c r="Z67" s="108">
        <f t="shared" si="28"/>
        <v>23.38</v>
      </c>
      <c r="AA67" s="108"/>
      <c r="AB67" s="108">
        <f t="shared" si="76"/>
        <v>23.38</v>
      </c>
      <c r="AC67" s="108">
        <f t="shared" si="77"/>
        <v>23.38</v>
      </c>
      <c r="AD67" s="103"/>
      <c r="AE67" s="92" t="s">
        <v>17</v>
      </c>
      <c r="AF67" s="108">
        <f>N67*M67</f>
        <v>14.89</v>
      </c>
    </row>
    <row r="68" spans="1:32" s="11" customFormat="1" ht="13.8">
      <c r="A68" s="32"/>
      <c r="B68" s="201"/>
      <c r="C68" s="95"/>
      <c r="D68" s="95"/>
      <c r="E68" s="95"/>
      <c r="F68" s="95"/>
      <c r="G68" s="141"/>
      <c r="H68" s="118"/>
      <c r="I68" s="95"/>
      <c r="J68" s="95"/>
      <c r="K68" s="103"/>
      <c r="L68" s="108"/>
      <c r="M68" s="108"/>
      <c r="N68" s="95"/>
      <c r="O68" s="95"/>
      <c r="P68" s="92"/>
      <c r="Q68" s="92"/>
      <c r="R68" s="108"/>
      <c r="S68" s="146"/>
      <c r="T68" s="108"/>
      <c r="U68" s="163"/>
      <c r="V68" s="103"/>
      <c r="W68" s="141" t="s">
        <v>19</v>
      </c>
      <c r="X68" s="141">
        <f t="shared" si="78"/>
        <v>0</v>
      </c>
      <c r="Y68" s="141">
        <f t="shared" si="79"/>
        <v>0</v>
      </c>
      <c r="Z68" s="141">
        <v>13.71</v>
      </c>
      <c r="AA68" s="108"/>
      <c r="AB68" s="108">
        <f>Z68</f>
        <v>13.71</v>
      </c>
      <c r="AC68" s="141">
        <f>Z68</f>
        <v>13.71</v>
      </c>
      <c r="AD68" s="103"/>
      <c r="AE68" s="92"/>
      <c r="AF68" s="108"/>
    </row>
    <row r="69" spans="1:32" s="11" customFormat="1" ht="13.8">
      <c r="B69" s="138" t="s">
        <v>528</v>
      </c>
      <c r="C69" s="318" t="s">
        <v>17</v>
      </c>
      <c r="D69" s="95">
        <v>1</v>
      </c>
      <c r="E69" s="95" t="s">
        <v>57</v>
      </c>
      <c r="F69" s="95" t="s">
        <v>57</v>
      </c>
      <c r="G69" s="123">
        <v>63.17</v>
      </c>
      <c r="H69" s="118"/>
      <c r="I69" s="95">
        <f t="shared" ref="I69" si="80">(G69-H69)</f>
        <v>63.17</v>
      </c>
      <c r="J69" s="95">
        <f t="shared" si="1"/>
        <v>63.17</v>
      </c>
      <c r="K69" s="103"/>
      <c r="L69" s="162" t="s">
        <v>17</v>
      </c>
      <c r="M69" s="108">
        <v>1</v>
      </c>
      <c r="N69" s="145">
        <v>62.8</v>
      </c>
      <c r="O69" s="123">
        <v>2.75</v>
      </c>
      <c r="P69" s="92"/>
      <c r="Q69" s="92"/>
      <c r="R69" s="108">
        <f t="shared" si="2"/>
        <v>172.7</v>
      </c>
      <c r="S69" s="146"/>
      <c r="T69" s="108" t="s">
        <v>21</v>
      </c>
      <c r="U69" s="163">
        <f>N69*M69</f>
        <v>62.8</v>
      </c>
      <c r="V69" s="103"/>
      <c r="W69" s="162" t="s">
        <v>17</v>
      </c>
      <c r="X69" s="108" t="str">
        <f t="shared" si="4"/>
        <v>cad</v>
      </c>
      <c r="Y69" s="108" t="str">
        <f t="shared" si="5"/>
        <v>cad</v>
      </c>
      <c r="Z69" s="95">
        <f t="shared" ref="Z69" si="81">G69</f>
        <v>63.17</v>
      </c>
      <c r="AA69" s="95"/>
      <c r="AB69" s="95">
        <f t="shared" ref="AB69:AB72" si="82">I69</f>
        <v>63.17</v>
      </c>
      <c r="AC69" s="108">
        <f t="shared" si="9"/>
        <v>63.17</v>
      </c>
      <c r="AD69" s="103"/>
      <c r="AE69" s="92" t="s">
        <v>17</v>
      </c>
      <c r="AF69" s="108">
        <f>N69*M69</f>
        <v>62.8</v>
      </c>
    </row>
    <row r="70" spans="1:32" s="11" customFormat="1" ht="13.8">
      <c r="B70" s="138"/>
      <c r="C70" s="95"/>
      <c r="D70" s="95"/>
      <c r="E70" s="95"/>
      <c r="F70" s="95"/>
      <c r="G70" s="141"/>
      <c r="H70" s="118"/>
      <c r="I70" s="95"/>
      <c r="J70" s="95"/>
      <c r="K70" s="103"/>
      <c r="L70" s="162"/>
      <c r="M70" s="108"/>
      <c r="N70" s="95"/>
      <c r="O70" s="95"/>
      <c r="P70" s="92"/>
      <c r="Q70" s="92"/>
      <c r="R70" s="108"/>
      <c r="S70" s="146"/>
      <c r="T70" s="108"/>
      <c r="U70" s="92"/>
      <c r="V70" s="103"/>
      <c r="W70" s="166" t="s">
        <v>24</v>
      </c>
      <c r="X70" s="141">
        <f t="shared" si="4"/>
        <v>0</v>
      </c>
      <c r="Y70" s="141">
        <f t="shared" si="5"/>
        <v>0</v>
      </c>
      <c r="Z70" s="141">
        <v>22.67</v>
      </c>
      <c r="AA70" s="95"/>
      <c r="AB70" s="108">
        <f t="shared" ref="AB70:AB71" si="83">Z70</f>
        <v>22.67</v>
      </c>
      <c r="AC70" s="141">
        <f t="shared" ref="AC70:AC71" si="84">Z70</f>
        <v>22.67</v>
      </c>
      <c r="AD70" s="103"/>
      <c r="AE70" s="92"/>
      <c r="AF70" s="108"/>
    </row>
    <row r="71" spans="1:32" s="11" customFormat="1" ht="13.8">
      <c r="A71" s="5"/>
      <c r="B71" s="138"/>
      <c r="C71" s="95"/>
      <c r="D71" s="95"/>
      <c r="E71" s="95"/>
      <c r="F71" s="95"/>
      <c r="G71" s="141"/>
      <c r="H71" s="118"/>
      <c r="I71" s="95"/>
      <c r="J71" s="95"/>
      <c r="K71" s="103"/>
      <c r="L71" s="162"/>
      <c r="M71" s="108"/>
      <c r="N71" s="95"/>
      <c r="O71" s="95"/>
      <c r="P71" s="92"/>
      <c r="Q71" s="92"/>
      <c r="R71" s="108"/>
      <c r="S71" s="146"/>
      <c r="T71" s="108"/>
      <c r="U71" s="92"/>
      <c r="V71" s="103"/>
      <c r="W71" s="166" t="s">
        <v>19</v>
      </c>
      <c r="X71" s="141">
        <f t="shared" ref="X71" si="85">E71</f>
        <v>0</v>
      </c>
      <c r="Y71" s="141">
        <f t="shared" ref="Y71" si="86">F71</f>
        <v>0</v>
      </c>
      <c r="Z71" s="141">
        <v>1.56</v>
      </c>
      <c r="AA71" s="95"/>
      <c r="AB71" s="108">
        <f t="shared" si="83"/>
        <v>1.56</v>
      </c>
      <c r="AC71" s="141">
        <f t="shared" si="84"/>
        <v>1.56</v>
      </c>
      <c r="AD71" s="103"/>
      <c r="AE71" s="92"/>
      <c r="AF71" s="108"/>
    </row>
    <row r="72" spans="1:32" s="11" customFormat="1" ht="13.8">
      <c r="A72" s="5"/>
      <c r="B72" s="138" t="s">
        <v>157</v>
      </c>
      <c r="C72" s="95" t="s">
        <v>17</v>
      </c>
      <c r="D72" s="95">
        <v>1</v>
      </c>
      <c r="E72" s="95" t="s">
        <v>57</v>
      </c>
      <c r="F72" s="95" t="s">
        <v>57</v>
      </c>
      <c r="G72" s="123">
        <v>58.35</v>
      </c>
      <c r="H72" s="118"/>
      <c r="I72" s="95">
        <f t="shared" si="0"/>
        <v>58.35</v>
      </c>
      <c r="J72" s="95">
        <f t="shared" si="1"/>
        <v>58.35</v>
      </c>
      <c r="K72" s="103"/>
      <c r="L72" s="162" t="s">
        <v>17</v>
      </c>
      <c r="M72" s="108">
        <v>1</v>
      </c>
      <c r="N72" s="145">
        <f>62.21-2.25</f>
        <v>59.96</v>
      </c>
      <c r="O72" s="123">
        <v>2.75</v>
      </c>
      <c r="P72" s="92"/>
      <c r="Q72" s="92"/>
      <c r="R72" s="108">
        <f t="shared" si="2"/>
        <v>164.89000000000001</v>
      </c>
      <c r="S72" s="146"/>
      <c r="T72" s="108" t="s">
        <v>17</v>
      </c>
      <c r="U72" s="92">
        <f t="shared" ref="U72" si="87">N72*M72</f>
        <v>59.96</v>
      </c>
      <c r="V72" s="103"/>
      <c r="W72" s="162" t="s">
        <v>17</v>
      </c>
      <c r="X72" s="108" t="str">
        <f t="shared" si="4"/>
        <v>cad</v>
      </c>
      <c r="Y72" s="108" t="str">
        <f t="shared" si="5"/>
        <v>cad</v>
      </c>
      <c r="Z72" s="95">
        <f t="shared" si="6"/>
        <v>58.35</v>
      </c>
      <c r="AA72" s="95"/>
      <c r="AB72" s="95">
        <f t="shared" si="82"/>
        <v>58.35</v>
      </c>
      <c r="AC72" s="108">
        <f t="shared" si="9"/>
        <v>58.35</v>
      </c>
      <c r="AD72" s="103"/>
      <c r="AE72" s="92" t="s">
        <v>17</v>
      </c>
      <c r="AF72" s="108">
        <f>N72*M72</f>
        <v>59.96</v>
      </c>
    </row>
    <row r="73" spans="1:32" s="11" customFormat="1" ht="13.8">
      <c r="A73" s="5"/>
      <c r="B73" s="138"/>
      <c r="C73" s="95"/>
      <c r="D73" s="95"/>
      <c r="E73" s="95"/>
      <c r="F73" s="95"/>
      <c r="G73" s="141"/>
      <c r="H73" s="118"/>
      <c r="I73" s="95"/>
      <c r="J73" s="95"/>
      <c r="K73" s="103"/>
      <c r="L73" s="162"/>
      <c r="M73" s="108"/>
      <c r="N73" s="95"/>
      <c r="O73" s="95"/>
      <c r="P73" s="92"/>
      <c r="Q73" s="92"/>
      <c r="R73" s="108"/>
      <c r="S73" s="146"/>
      <c r="T73" s="108"/>
      <c r="U73" s="92"/>
      <c r="V73" s="103"/>
      <c r="W73" s="166" t="s">
        <v>24</v>
      </c>
      <c r="X73" s="141">
        <f t="shared" si="4"/>
        <v>0</v>
      </c>
      <c r="Y73" s="141">
        <f t="shared" si="5"/>
        <v>0</v>
      </c>
      <c r="Z73" s="141">
        <v>35.18</v>
      </c>
      <c r="AA73" s="95"/>
      <c r="AB73" s="108">
        <f t="shared" ref="AB73:AB74" si="88">Z73</f>
        <v>35.18</v>
      </c>
      <c r="AC73" s="141">
        <f t="shared" ref="AC73:AC74" si="89">Z73</f>
        <v>35.18</v>
      </c>
      <c r="AD73" s="103"/>
      <c r="AE73" s="92"/>
      <c r="AF73" s="108"/>
    </row>
    <row r="74" spans="1:32" s="11" customFormat="1" ht="13.8">
      <c r="A74" s="5"/>
      <c r="B74" s="138"/>
      <c r="C74" s="95"/>
      <c r="D74" s="95"/>
      <c r="E74" s="95"/>
      <c r="F74" s="95"/>
      <c r="G74" s="141"/>
      <c r="H74" s="118"/>
      <c r="I74" s="95"/>
      <c r="J74" s="95"/>
      <c r="K74" s="103"/>
      <c r="L74" s="162"/>
      <c r="M74" s="108"/>
      <c r="N74" s="95"/>
      <c r="O74" s="95"/>
      <c r="P74" s="92"/>
      <c r="Q74" s="92"/>
      <c r="R74" s="108"/>
      <c r="S74" s="146"/>
      <c r="T74" s="108"/>
      <c r="U74" s="92"/>
      <c r="V74" s="103"/>
      <c r="W74" s="166" t="s">
        <v>19</v>
      </c>
      <c r="X74" s="141">
        <f t="shared" si="4"/>
        <v>0</v>
      </c>
      <c r="Y74" s="141">
        <f t="shared" si="5"/>
        <v>0</v>
      </c>
      <c r="Z74" s="141">
        <v>1.56</v>
      </c>
      <c r="AA74" s="95"/>
      <c r="AB74" s="108">
        <f t="shared" si="88"/>
        <v>1.56</v>
      </c>
      <c r="AC74" s="141">
        <f t="shared" si="89"/>
        <v>1.56</v>
      </c>
      <c r="AD74" s="103"/>
      <c r="AE74" s="92"/>
      <c r="AF74" s="108"/>
    </row>
    <row r="75" spans="1:32" s="11" customFormat="1" ht="13.8">
      <c r="A75" s="5"/>
      <c r="B75" s="138" t="s">
        <v>168</v>
      </c>
      <c r="C75" s="318" t="s">
        <v>17</v>
      </c>
      <c r="D75" s="95">
        <v>1</v>
      </c>
      <c r="E75" s="95" t="s">
        <v>57</v>
      </c>
      <c r="F75" s="95" t="s">
        <v>57</v>
      </c>
      <c r="G75" s="123">
        <v>12.65</v>
      </c>
      <c r="H75" s="118"/>
      <c r="I75" s="95">
        <f t="shared" si="0"/>
        <v>12.65</v>
      </c>
      <c r="J75" s="95">
        <f t="shared" si="1"/>
        <v>12.65</v>
      </c>
      <c r="K75" s="103"/>
      <c r="L75" s="162" t="s">
        <v>19</v>
      </c>
      <c r="M75" s="108">
        <v>1</v>
      </c>
      <c r="N75" s="145">
        <v>14.66</v>
      </c>
      <c r="O75" s="123">
        <v>2.7</v>
      </c>
      <c r="P75" s="92"/>
      <c r="Q75" s="92"/>
      <c r="R75" s="108">
        <f t="shared" si="2"/>
        <v>39.582000000000001</v>
      </c>
      <c r="S75" s="146"/>
      <c r="T75" s="118" t="s">
        <v>21</v>
      </c>
      <c r="U75" s="163">
        <f>N75*M75</f>
        <v>14.66</v>
      </c>
      <c r="V75" s="103"/>
      <c r="W75" s="202" t="s">
        <v>17</v>
      </c>
      <c r="X75" s="108" t="str">
        <f t="shared" si="4"/>
        <v>cad</v>
      </c>
      <c r="Y75" s="108" t="str">
        <f t="shared" si="5"/>
        <v>cad</v>
      </c>
      <c r="Z75" s="108">
        <f t="shared" si="6"/>
        <v>12.65</v>
      </c>
      <c r="AA75" s="108">
        <f t="shared" si="7"/>
        <v>0</v>
      </c>
      <c r="AB75" s="108">
        <f t="shared" si="8"/>
        <v>12.65</v>
      </c>
      <c r="AC75" s="108">
        <f t="shared" si="9"/>
        <v>12.65</v>
      </c>
      <c r="AD75" s="103"/>
      <c r="AE75" s="92" t="s">
        <v>357</v>
      </c>
      <c r="AF75" s="108">
        <f t="shared" ref="AF75:AF79" si="90">N75*M75</f>
        <v>14.66</v>
      </c>
    </row>
    <row r="76" spans="1:32" s="11" customFormat="1" ht="13.8">
      <c r="A76" s="5"/>
      <c r="B76" s="138" t="s">
        <v>169</v>
      </c>
      <c r="C76" s="95" t="s">
        <v>20</v>
      </c>
      <c r="D76" s="95">
        <v>1</v>
      </c>
      <c r="E76" s="95" t="s">
        <v>57</v>
      </c>
      <c r="F76" s="95" t="s">
        <v>57</v>
      </c>
      <c r="G76" s="123">
        <v>5.44</v>
      </c>
      <c r="H76" s="118"/>
      <c r="I76" s="95">
        <f t="shared" si="0"/>
        <v>5.44</v>
      </c>
      <c r="J76" s="95">
        <f t="shared" si="1"/>
        <v>5.44</v>
      </c>
      <c r="K76" s="103"/>
      <c r="L76" s="162" t="s">
        <v>18</v>
      </c>
      <c r="M76" s="108">
        <v>1</v>
      </c>
      <c r="N76" s="145">
        <v>9.9</v>
      </c>
      <c r="O76" s="123">
        <v>2.7</v>
      </c>
      <c r="P76" s="92"/>
      <c r="Q76" s="92"/>
      <c r="R76" s="108">
        <f t="shared" si="2"/>
        <v>26.730000000000004</v>
      </c>
      <c r="S76" s="146"/>
      <c r="T76" s="92" t="s">
        <v>18</v>
      </c>
      <c r="U76" s="163">
        <f>N76*M76</f>
        <v>9.9</v>
      </c>
      <c r="V76" s="103"/>
      <c r="W76" s="202" t="s">
        <v>18</v>
      </c>
      <c r="X76" s="108" t="str">
        <f t="shared" si="4"/>
        <v>cad</v>
      </c>
      <c r="Y76" s="108" t="str">
        <f t="shared" si="5"/>
        <v>cad</v>
      </c>
      <c r="Z76" s="108">
        <f t="shared" si="6"/>
        <v>5.44</v>
      </c>
      <c r="AA76" s="108">
        <f t="shared" si="7"/>
        <v>0</v>
      </c>
      <c r="AB76" s="108">
        <f t="shared" si="8"/>
        <v>5.44</v>
      </c>
      <c r="AC76" s="108">
        <f t="shared" si="9"/>
        <v>5.44</v>
      </c>
      <c r="AD76" s="103"/>
      <c r="AE76" s="92" t="s">
        <v>357</v>
      </c>
      <c r="AF76" s="108">
        <f t="shared" si="90"/>
        <v>9.9</v>
      </c>
    </row>
    <row r="77" spans="1:32" s="11" customFormat="1" ht="13.8">
      <c r="A77" s="5"/>
      <c r="B77" s="138" t="s">
        <v>170</v>
      </c>
      <c r="C77" s="95" t="s">
        <v>20</v>
      </c>
      <c r="D77" s="95">
        <v>1</v>
      </c>
      <c r="E77" s="95" t="s">
        <v>57</v>
      </c>
      <c r="F77" s="95" t="s">
        <v>57</v>
      </c>
      <c r="G77" s="123">
        <v>3.75</v>
      </c>
      <c r="H77" s="118"/>
      <c r="I77" s="95">
        <f t="shared" si="0"/>
        <v>3.75</v>
      </c>
      <c r="J77" s="95">
        <f t="shared" si="1"/>
        <v>3.75</v>
      </c>
      <c r="K77" s="103"/>
      <c r="L77" s="162" t="s">
        <v>18</v>
      </c>
      <c r="M77" s="108">
        <v>1</v>
      </c>
      <c r="N77" s="145">
        <v>7.77</v>
      </c>
      <c r="O77" s="123">
        <v>2.7</v>
      </c>
      <c r="P77" s="92"/>
      <c r="Q77" s="92"/>
      <c r="R77" s="108">
        <f t="shared" si="2"/>
        <v>20.978999999999999</v>
      </c>
      <c r="S77" s="146"/>
      <c r="T77" s="92" t="s">
        <v>18</v>
      </c>
      <c r="U77" s="163">
        <f t="shared" ref="U77:U78" si="91">N77*M77</f>
        <v>7.77</v>
      </c>
      <c r="V77" s="103"/>
      <c r="W77" s="202" t="s">
        <v>18</v>
      </c>
      <c r="X77" s="108" t="str">
        <f t="shared" si="4"/>
        <v>cad</v>
      </c>
      <c r="Y77" s="108" t="str">
        <f t="shared" si="5"/>
        <v>cad</v>
      </c>
      <c r="Z77" s="108">
        <f t="shared" si="6"/>
        <v>3.75</v>
      </c>
      <c r="AA77" s="108">
        <f t="shared" si="7"/>
        <v>0</v>
      </c>
      <c r="AB77" s="108">
        <f t="shared" si="8"/>
        <v>3.75</v>
      </c>
      <c r="AC77" s="108">
        <f t="shared" si="9"/>
        <v>3.75</v>
      </c>
      <c r="AD77" s="103"/>
      <c r="AE77" s="92" t="s">
        <v>357</v>
      </c>
      <c r="AF77" s="108">
        <f t="shared" si="90"/>
        <v>7.77</v>
      </c>
    </row>
    <row r="78" spans="1:32" s="11" customFormat="1" ht="13.8">
      <c r="A78" s="5"/>
      <c r="B78" s="138" t="s">
        <v>170</v>
      </c>
      <c r="C78" s="95" t="s">
        <v>20</v>
      </c>
      <c r="D78" s="95">
        <v>1</v>
      </c>
      <c r="E78" s="95" t="s">
        <v>57</v>
      </c>
      <c r="F78" s="95" t="s">
        <v>57</v>
      </c>
      <c r="G78" s="123">
        <v>3.75</v>
      </c>
      <c r="H78" s="118"/>
      <c r="I78" s="95">
        <f t="shared" si="0"/>
        <v>3.75</v>
      </c>
      <c r="J78" s="95">
        <f t="shared" si="1"/>
        <v>3.75</v>
      </c>
      <c r="K78" s="103"/>
      <c r="L78" s="162" t="s">
        <v>18</v>
      </c>
      <c r="M78" s="108">
        <v>1</v>
      </c>
      <c r="N78" s="95">
        <v>7.77</v>
      </c>
      <c r="O78" s="123">
        <v>2.7</v>
      </c>
      <c r="P78" s="92"/>
      <c r="Q78" s="92"/>
      <c r="R78" s="108">
        <f t="shared" si="2"/>
        <v>20.978999999999999</v>
      </c>
      <c r="S78" s="146"/>
      <c r="T78" s="92" t="s">
        <v>18</v>
      </c>
      <c r="U78" s="163">
        <f t="shared" si="91"/>
        <v>7.77</v>
      </c>
      <c r="V78" s="103"/>
      <c r="W78" s="202" t="s">
        <v>18</v>
      </c>
      <c r="X78" s="108" t="str">
        <f t="shared" si="4"/>
        <v>cad</v>
      </c>
      <c r="Y78" s="108" t="str">
        <f t="shared" si="5"/>
        <v>cad</v>
      </c>
      <c r="Z78" s="108">
        <f t="shared" si="6"/>
        <v>3.75</v>
      </c>
      <c r="AA78" s="108">
        <f t="shared" si="7"/>
        <v>0</v>
      </c>
      <c r="AB78" s="108">
        <f t="shared" si="8"/>
        <v>3.75</v>
      </c>
      <c r="AC78" s="108">
        <f t="shared" si="9"/>
        <v>3.75</v>
      </c>
      <c r="AD78" s="103"/>
      <c r="AE78" s="92" t="s">
        <v>357</v>
      </c>
      <c r="AF78" s="108">
        <f t="shared" si="90"/>
        <v>7.77</v>
      </c>
    </row>
    <row r="79" spans="1:32" s="11" customFormat="1" ht="13.8">
      <c r="A79" s="5"/>
      <c r="B79" s="138" t="s">
        <v>81</v>
      </c>
      <c r="C79" s="318" t="s">
        <v>17</v>
      </c>
      <c r="D79" s="95">
        <v>1</v>
      </c>
      <c r="E79" s="95" t="s">
        <v>57</v>
      </c>
      <c r="F79" s="95" t="s">
        <v>57</v>
      </c>
      <c r="G79" s="123">
        <v>11.32</v>
      </c>
      <c r="H79" s="118"/>
      <c r="I79" s="95">
        <f t="shared" si="0"/>
        <v>11.32</v>
      </c>
      <c r="J79" s="95">
        <f t="shared" si="1"/>
        <v>11.32</v>
      </c>
      <c r="K79" s="103"/>
      <c r="L79" s="162" t="s">
        <v>19</v>
      </c>
      <c r="M79" s="108">
        <v>1</v>
      </c>
      <c r="N79" s="145">
        <v>13.35</v>
      </c>
      <c r="O79" s="123">
        <v>2.7</v>
      </c>
      <c r="P79" s="92"/>
      <c r="Q79" s="92"/>
      <c r="R79" s="108">
        <f t="shared" si="2"/>
        <v>36.045000000000002</v>
      </c>
      <c r="S79" s="146"/>
      <c r="T79" s="108" t="s">
        <v>21</v>
      </c>
      <c r="U79" s="92">
        <f t="shared" ref="U79:U83" si="92">N79*M79</f>
        <v>13.35</v>
      </c>
      <c r="V79" s="103"/>
      <c r="W79" s="202" t="s">
        <v>17</v>
      </c>
      <c r="X79" s="108" t="str">
        <f t="shared" si="4"/>
        <v>cad</v>
      </c>
      <c r="Y79" s="108" t="str">
        <f t="shared" si="5"/>
        <v>cad</v>
      </c>
      <c r="Z79" s="108">
        <f t="shared" si="6"/>
        <v>11.32</v>
      </c>
      <c r="AA79" s="108">
        <f t="shared" si="7"/>
        <v>0</v>
      </c>
      <c r="AB79" s="108">
        <f t="shared" si="8"/>
        <v>11.32</v>
      </c>
      <c r="AC79" s="108">
        <f t="shared" si="9"/>
        <v>11.32</v>
      </c>
      <c r="AD79" s="103"/>
      <c r="AE79" s="92" t="s">
        <v>357</v>
      </c>
      <c r="AF79" s="108">
        <f t="shared" si="90"/>
        <v>13.35</v>
      </c>
    </row>
    <row r="80" spans="1:32" s="11" customFormat="1" ht="13.8">
      <c r="A80" s="5"/>
      <c r="B80" s="138" t="s">
        <v>172</v>
      </c>
      <c r="C80" s="318" t="s">
        <v>17</v>
      </c>
      <c r="D80" s="95">
        <v>1</v>
      </c>
      <c r="E80" s="95" t="s">
        <v>57</v>
      </c>
      <c r="F80" s="95" t="s">
        <v>57</v>
      </c>
      <c r="G80" s="123">
        <v>16.940000000000001</v>
      </c>
      <c r="H80" s="118"/>
      <c r="I80" s="95">
        <f t="shared" ref="I80:I106" si="93">(G80-H80)</f>
        <v>16.940000000000001</v>
      </c>
      <c r="J80" s="95">
        <f t="shared" ref="J80:J106" si="94">I80*D80</f>
        <v>16.940000000000001</v>
      </c>
      <c r="K80" s="103"/>
      <c r="L80" s="162" t="s">
        <v>19</v>
      </c>
      <c r="M80" s="108">
        <v>1</v>
      </c>
      <c r="N80" s="145">
        <f>16.46-3.74</f>
        <v>12.72</v>
      </c>
      <c r="O80" s="123">
        <v>2.7</v>
      </c>
      <c r="P80" s="92"/>
      <c r="Q80" s="92"/>
      <c r="R80" s="108">
        <f t="shared" ref="R80:R106" si="95">(N80*O80-P80)*M80</f>
        <v>34.344000000000001</v>
      </c>
      <c r="S80" s="146"/>
      <c r="T80" s="118" t="s">
        <v>21</v>
      </c>
      <c r="U80" s="92">
        <f t="shared" si="92"/>
        <v>12.72</v>
      </c>
      <c r="V80" s="103"/>
      <c r="W80" s="202" t="s">
        <v>17</v>
      </c>
      <c r="X80" s="108" t="str">
        <f t="shared" ref="X80:X106" si="96">E80</f>
        <v>cad</v>
      </c>
      <c r="Y80" s="108" t="str">
        <f t="shared" ref="Y80:Y106" si="97">F80</f>
        <v>cad</v>
      </c>
      <c r="Z80" s="108">
        <f t="shared" ref="Z80:Z106" si="98">G80</f>
        <v>16.940000000000001</v>
      </c>
      <c r="AA80" s="108">
        <f t="shared" ref="AA80:AA106" si="99">H80</f>
        <v>0</v>
      </c>
      <c r="AB80" s="108">
        <f t="shared" ref="AB80:AB106" si="100">I80</f>
        <v>16.940000000000001</v>
      </c>
      <c r="AC80" s="108">
        <f t="shared" ref="AC80:AC106" si="101">J80</f>
        <v>16.940000000000001</v>
      </c>
      <c r="AD80" s="103"/>
      <c r="AE80" s="92" t="s">
        <v>357</v>
      </c>
      <c r="AF80" s="108">
        <f t="shared" ref="AF80:AF86" si="102">N80*M80</f>
        <v>12.72</v>
      </c>
    </row>
    <row r="81" spans="1:32" s="11" customFormat="1" ht="13.8">
      <c r="A81" s="5"/>
      <c r="B81" s="138" t="s">
        <v>173</v>
      </c>
      <c r="C81" s="318" t="s">
        <v>17</v>
      </c>
      <c r="D81" s="95">
        <v>1</v>
      </c>
      <c r="E81" s="95" t="s">
        <v>57</v>
      </c>
      <c r="F81" s="95" t="s">
        <v>57</v>
      </c>
      <c r="G81" s="123">
        <v>15.24</v>
      </c>
      <c r="H81" s="118"/>
      <c r="I81" s="95">
        <f t="shared" si="93"/>
        <v>15.24</v>
      </c>
      <c r="J81" s="95">
        <f t="shared" si="94"/>
        <v>15.24</v>
      </c>
      <c r="K81" s="103"/>
      <c r="L81" s="162" t="s">
        <v>19</v>
      </c>
      <c r="M81" s="108">
        <v>1</v>
      </c>
      <c r="N81" s="145">
        <v>15.62</v>
      </c>
      <c r="O81" s="123">
        <v>2.7</v>
      </c>
      <c r="P81" s="92"/>
      <c r="Q81" s="92"/>
      <c r="R81" s="108">
        <f t="shared" si="95"/>
        <v>42.173999999999999</v>
      </c>
      <c r="S81" s="146"/>
      <c r="T81" s="118" t="s">
        <v>21</v>
      </c>
      <c r="U81" s="92">
        <f t="shared" si="92"/>
        <v>15.62</v>
      </c>
      <c r="V81" s="103"/>
      <c r="W81" s="202" t="s">
        <v>17</v>
      </c>
      <c r="X81" s="108" t="str">
        <f t="shared" si="96"/>
        <v>cad</v>
      </c>
      <c r="Y81" s="108" t="str">
        <f t="shared" si="97"/>
        <v>cad</v>
      </c>
      <c r="Z81" s="108">
        <f t="shared" si="98"/>
        <v>15.24</v>
      </c>
      <c r="AA81" s="108">
        <f t="shared" si="99"/>
        <v>0</v>
      </c>
      <c r="AB81" s="108">
        <f t="shared" si="100"/>
        <v>15.24</v>
      </c>
      <c r="AC81" s="108">
        <f t="shared" si="101"/>
        <v>15.24</v>
      </c>
      <c r="AD81" s="103"/>
      <c r="AE81" s="92" t="s">
        <v>357</v>
      </c>
      <c r="AF81" s="108">
        <f t="shared" si="102"/>
        <v>15.62</v>
      </c>
    </row>
    <row r="82" spans="1:32" s="11" customFormat="1" ht="13.8">
      <c r="A82" s="5"/>
      <c r="B82" s="138" t="s">
        <v>174</v>
      </c>
      <c r="C82" s="318" t="s">
        <v>17</v>
      </c>
      <c r="D82" s="95">
        <v>1</v>
      </c>
      <c r="E82" s="95" t="s">
        <v>57</v>
      </c>
      <c r="F82" s="95" t="s">
        <v>57</v>
      </c>
      <c r="G82" s="123">
        <v>13.94</v>
      </c>
      <c r="H82" s="118"/>
      <c r="I82" s="95">
        <f t="shared" si="93"/>
        <v>13.94</v>
      </c>
      <c r="J82" s="95">
        <f t="shared" si="94"/>
        <v>13.94</v>
      </c>
      <c r="K82" s="103"/>
      <c r="L82" s="162" t="s">
        <v>19</v>
      </c>
      <c r="M82" s="108">
        <v>1</v>
      </c>
      <c r="N82" s="145">
        <v>15.15</v>
      </c>
      <c r="O82" s="123">
        <v>2.7</v>
      </c>
      <c r="P82" s="92"/>
      <c r="Q82" s="92"/>
      <c r="R82" s="108">
        <f t="shared" si="95"/>
        <v>40.905000000000001</v>
      </c>
      <c r="S82" s="146"/>
      <c r="T82" s="118" t="s">
        <v>21</v>
      </c>
      <c r="U82" s="92">
        <f t="shared" si="92"/>
        <v>15.15</v>
      </c>
      <c r="V82" s="103"/>
      <c r="W82" s="202" t="s">
        <v>17</v>
      </c>
      <c r="X82" s="108" t="str">
        <f t="shared" si="96"/>
        <v>cad</v>
      </c>
      <c r="Y82" s="108" t="str">
        <f t="shared" si="97"/>
        <v>cad</v>
      </c>
      <c r="Z82" s="108">
        <f t="shared" si="98"/>
        <v>13.94</v>
      </c>
      <c r="AA82" s="108">
        <f t="shared" si="99"/>
        <v>0</v>
      </c>
      <c r="AB82" s="108">
        <f t="shared" si="100"/>
        <v>13.94</v>
      </c>
      <c r="AC82" s="108">
        <f t="shared" si="101"/>
        <v>13.94</v>
      </c>
      <c r="AD82" s="103"/>
      <c r="AE82" s="92" t="s">
        <v>357</v>
      </c>
      <c r="AF82" s="108">
        <f t="shared" si="102"/>
        <v>15.15</v>
      </c>
    </row>
    <row r="83" spans="1:32" s="11" customFormat="1" ht="13.8">
      <c r="A83" s="5"/>
      <c r="B83" s="138" t="s">
        <v>175</v>
      </c>
      <c r="C83" s="95" t="s">
        <v>20</v>
      </c>
      <c r="D83" s="95">
        <v>2</v>
      </c>
      <c r="E83" s="95" t="s">
        <v>57</v>
      </c>
      <c r="F83" s="95" t="s">
        <v>57</v>
      </c>
      <c r="G83" s="123">
        <v>4.0599999999999996</v>
      </c>
      <c r="H83" s="118"/>
      <c r="I83" s="95">
        <f t="shared" si="93"/>
        <v>4.0599999999999996</v>
      </c>
      <c r="J83" s="95">
        <f t="shared" si="94"/>
        <v>8.1199999999999992</v>
      </c>
      <c r="K83" s="103"/>
      <c r="L83" s="162" t="s">
        <v>18</v>
      </c>
      <c r="M83" s="108">
        <v>2</v>
      </c>
      <c r="N83" s="145">
        <v>8.23</v>
      </c>
      <c r="O83" s="123">
        <v>2.7</v>
      </c>
      <c r="P83" s="92"/>
      <c r="Q83" s="92"/>
      <c r="R83" s="108">
        <f t="shared" si="95"/>
        <v>44.442000000000007</v>
      </c>
      <c r="S83" s="146"/>
      <c r="T83" s="118" t="s">
        <v>366</v>
      </c>
      <c r="U83" s="92">
        <f t="shared" si="92"/>
        <v>16.46</v>
      </c>
      <c r="V83" s="103"/>
      <c r="W83" s="202" t="s">
        <v>18</v>
      </c>
      <c r="X83" s="108" t="str">
        <f t="shared" si="96"/>
        <v>cad</v>
      </c>
      <c r="Y83" s="108" t="str">
        <f t="shared" si="97"/>
        <v>cad</v>
      </c>
      <c r="Z83" s="108">
        <f t="shared" si="98"/>
        <v>4.0599999999999996</v>
      </c>
      <c r="AA83" s="108">
        <f t="shared" si="99"/>
        <v>0</v>
      </c>
      <c r="AB83" s="108">
        <f t="shared" si="100"/>
        <v>4.0599999999999996</v>
      </c>
      <c r="AC83" s="108">
        <f t="shared" si="101"/>
        <v>8.1199999999999992</v>
      </c>
      <c r="AD83" s="103"/>
      <c r="AE83" s="92" t="s">
        <v>357</v>
      </c>
      <c r="AF83" s="108">
        <f t="shared" si="102"/>
        <v>16.46</v>
      </c>
    </row>
    <row r="84" spans="1:32" s="11" customFormat="1" ht="13.8">
      <c r="A84" s="32"/>
      <c r="B84" s="138" t="s">
        <v>176</v>
      </c>
      <c r="C84" s="95" t="s">
        <v>20</v>
      </c>
      <c r="D84" s="95">
        <v>1</v>
      </c>
      <c r="E84" s="95" t="s">
        <v>57</v>
      </c>
      <c r="F84" s="95" t="s">
        <v>57</v>
      </c>
      <c r="G84" s="123">
        <v>3.09</v>
      </c>
      <c r="H84" s="118"/>
      <c r="I84" s="95">
        <f t="shared" si="93"/>
        <v>3.09</v>
      </c>
      <c r="J84" s="95">
        <f t="shared" si="94"/>
        <v>3.09</v>
      </c>
      <c r="K84" s="103"/>
      <c r="L84" s="162" t="s">
        <v>18</v>
      </c>
      <c r="M84" s="108">
        <v>1</v>
      </c>
      <c r="N84" s="145">
        <v>6.95</v>
      </c>
      <c r="O84" s="123">
        <v>2.7</v>
      </c>
      <c r="P84" s="92"/>
      <c r="Q84" s="92"/>
      <c r="R84" s="108">
        <f t="shared" si="95"/>
        <v>18.765000000000001</v>
      </c>
      <c r="S84" s="146"/>
      <c r="T84" s="118" t="s">
        <v>366</v>
      </c>
      <c r="U84" s="92">
        <f t="shared" ref="U84:U85" si="103">N84*M84</f>
        <v>6.95</v>
      </c>
      <c r="V84" s="103"/>
      <c r="W84" s="202" t="s">
        <v>18</v>
      </c>
      <c r="X84" s="108" t="str">
        <f t="shared" si="96"/>
        <v>cad</v>
      </c>
      <c r="Y84" s="108" t="str">
        <f t="shared" si="97"/>
        <v>cad</v>
      </c>
      <c r="Z84" s="108">
        <f t="shared" si="98"/>
        <v>3.09</v>
      </c>
      <c r="AA84" s="108">
        <f t="shared" si="99"/>
        <v>0</v>
      </c>
      <c r="AB84" s="108">
        <f t="shared" si="100"/>
        <v>3.09</v>
      </c>
      <c r="AC84" s="108">
        <f t="shared" si="101"/>
        <v>3.09</v>
      </c>
      <c r="AD84" s="103"/>
      <c r="AE84" s="92" t="s">
        <v>357</v>
      </c>
      <c r="AF84" s="108">
        <f t="shared" si="102"/>
        <v>6.95</v>
      </c>
    </row>
    <row r="85" spans="1:32" s="11" customFormat="1" ht="13.8">
      <c r="A85" s="32"/>
      <c r="B85" s="138" t="s">
        <v>177</v>
      </c>
      <c r="C85" s="95" t="s">
        <v>20</v>
      </c>
      <c r="D85" s="95">
        <v>1</v>
      </c>
      <c r="E85" s="95" t="s">
        <v>57</v>
      </c>
      <c r="F85" s="95" t="s">
        <v>57</v>
      </c>
      <c r="G85" s="123">
        <v>2.79</v>
      </c>
      <c r="H85" s="118"/>
      <c r="I85" s="95">
        <f t="shared" si="93"/>
        <v>2.79</v>
      </c>
      <c r="J85" s="95">
        <f t="shared" si="94"/>
        <v>2.79</v>
      </c>
      <c r="K85" s="103"/>
      <c r="L85" s="162" t="s">
        <v>18</v>
      </c>
      <c r="M85" s="108">
        <v>1</v>
      </c>
      <c r="N85" s="145">
        <v>6.7</v>
      </c>
      <c r="O85" s="123">
        <v>2.7</v>
      </c>
      <c r="P85" s="92"/>
      <c r="Q85" s="92"/>
      <c r="R85" s="108">
        <f t="shared" si="95"/>
        <v>18.090000000000003</v>
      </c>
      <c r="S85" s="146"/>
      <c r="T85" s="118" t="s">
        <v>366</v>
      </c>
      <c r="U85" s="163">
        <f t="shared" si="103"/>
        <v>6.7</v>
      </c>
      <c r="V85" s="103"/>
      <c r="W85" s="202" t="s">
        <v>18</v>
      </c>
      <c r="X85" s="108" t="str">
        <f t="shared" si="96"/>
        <v>cad</v>
      </c>
      <c r="Y85" s="108" t="str">
        <f t="shared" si="97"/>
        <v>cad</v>
      </c>
      <c r="Z85" s="108">
        <f t="shared" si="98"/>
        <v>2.79</v>
      </c>
      <c r="AA85" s="108">
        <f t="shared" si="99"/>
        <v>0</v>
      </c>
      <c r="AB85" s="108">
        <f t="shared" si="100"/>
        <v>2.79</v>
      </c>
      <c r="AC85" s="108">
        <f t="shared" si="101"/>
        <v>2.79</v>
      </c>
      <c r="AD85" s="103"/>
      <c r="AE85" s="92" t="s">
        <v>357</v>
      </c>
      <c r="AF85" s="108">
        <f t="shared" si="102"/>
        <v>6.7</v>
      </c>
    </row>
    <row r="86" spans="1:32" s="11" customFormat="1" ht="13.8">
      <c r="A86" s="32"/>
      <c r="B86" s="138" t="s">
        <v>178</v>
      </c>
      <c r="C86" s="95" t="s">
        <v>20</v>
      </c>
      <c r="D86" s="95">
        <v>2</v>
      </c>
      <c r="E86" s="95" t="s">
        <v>57</v>
      </c>
      <c r="F86" s="95" t="s">
        <v>57</v>
      </c>
      <c r="G86" s="123">
        <v>2.97</v>
      </c>
      <c r="H86" s="118"/>
      <c r="I86" s="95">
        <f t="shared" si="93"/>
        <v>2.97</v>
      </c>
      <c r="J86" s="95">
        <f t="shared" si="94"/>
        <v>5.94</v>
      </c>
      <c r="K86" s="103"/>
      <c r="L86" s="162" t="s">
        <v>18</v>
      </c>
      <c r="M86" s="108">
        <v>2</v>
      </c>
      <c r="N86" s="145">
        <v>6.9</v>
      </c>
      <c r="O86" s="123">
        <v>2.7</v>
      </c>
      <c r="P86" s="92"/>
      <c r="Q86" s="92"/>
      <c r="R86" s="108">
        <f t="shared" si="95"/>
        <v>37.260000000000005</v>
      </c>
      <c r="S86" s="146"/>
      <c r="T86" s="118" t="s">
        <v>366</v>
      </c>
      <c r="U86" s="163">
        <f t="shared" ref="U86" si="104">N86*M86</f>
        <v>13.8</v>
      </c>
      <c r="V86" s="103"/>
      <c r="W86" s="202" t="s">
        <v>18</v>
      </c>
      <c r="X86" s="108" t="str">
        <f t="shared" si="96"/>
        <v>cad</v>
      </c>
      <c r="Y86" s="108" t="str">
        <f t="shared" si="97"/>
        <v>cad</v>
      </c>
      <c r="Z86" s="108">
        <f t="shared" si="98"/>
        <v>2.97</v>
      </c>
      <c r="AA86" s="108">
        <f t="shared" si="99"/>
        <v>0</v>
      </c>
      <c r="AB86" s="108">
        <f t="shared" si="100"/>
        <v>2.97</v>
      </c>
      <c r="AC86" s="108">
        <f t="shared" si="101"/>
        <v>5.94</v>
      </c>
      <c r="AD86" s="103"/>
      <c r="AE86" s="92" t="s">
        <v>357</v>
      </c>
      <c r="AF86" s="108">
        <f t="shared" si="102"/>
        <v>13.8</v>
      </c>
    </row>
    <row r="87" spans="1:32" s="11" customFormat="1" ht="13.8">
      <c r="A87" s="32"/>
      <c r="B87" s="138" t="s">
        <v>179</v>
      </c>
      <c r="C87" s="95" t="s">
        <v>17</v>
      </c>
      <c r="D87" s="95">
        <v>1</v>
      </c>
      <c r="E87" s="95" t="s">
        <v>57</v>
      </c>
      <c r="F87" s="95" t="s">
        <v>57</v>
      </c>
      <c r="G87" s="123">
        <v>9</v>
      </c>
      <c r="H87" s="118"/>
      <c r="I87" s="95">
        <f t="shared" si="93"/>
        <v>9</v>
      </c>
      <c r="J87" s="95">
        <f t="shared" si="94"/>
        <v>9</v>
      </c>
      <c r="K87" s="103"/>
      <c r="L87" s="162" t="s">
        <v>17</v>
      </c>
      <c r="M87" s="108">
        <v>1</v>
      </c>
      <c r="N87" s="145">
        <v>12.5</v>
      </c>
      <c r="O87" s="123">
        <v>2.7</v>
      </c>
      <c r="P87" s="92"/>
      <c r="Q87" s="92"/>
      <c r="R87" s="108">
        <f t="shared" si="95"/>
        <v>33.75</v>
      </c>
      <c r="S87" s="146"/>
      <c r="T87" s="108" t="s">
        <v>357</v>
      </c>
      <c r="U87" s="163">
        <f t="shared" ref="U87:U99" si="105">N87*M87</f>
        <v>12.5</v>
      </c>
      <c r="V87" s="103"/>
      <c r="W87" s="202" t="s">
        <v>17</v>
      </c>
      <c r="X87" s="108" t="str">
        <f t="shared" si="96"/>
        <v>cad</v>
      </c>
      <c r="Y87" s="108" t="str">
        <f t="shared" si="97"/>
        <v>cad</v>
      </c>
      <c r="Z87" s="108">
        <f t="shared" si="98"/>
        <v>9</v>
      </c>
      <c r="AA87" s="108">
        <f t="shared" si="99"/>
        <v>0</v>
      </c>
      <c r="AB87" s="108">
        <f t="shared" si="100"/>
        <v>9</v>
      </c>
      <c r="AC87" s="108">
        <f t="shared" si="101"/>
        <v>9</v>
      </c>
      <c r="AD87" s="103"/>
      <c r="AE87" s="92" t="s">
        <v>357</v>
      </c>
      <c r="AF87" s="108">
        <f>N87*M87</f>
        <v>12.5</v>
      </c>
    </row>
    <row r="88" spans="1:32" s="11" customFormat="1" ht="13.8">
      <c r="A88" s="5"/>
      <c r="B88" s="138" t="s">
        <v>180</v>
      </c>
      <c r="C88" s="318" t="s">
        <v>17</v>
      </c>
      <c r="D88" s="95">
        <v>1</v>
      </c>
      <c r="E88" s="95" t="s">
        <v>57</v>
      </c>
      <c r="F88" s="95" t="s">
        <v>57</v>
      </c>
      <c r="G88" s="123">
        <v>23.52</v>
      </c>
      <c r="H88" s="118"/>
      <c r="I88" s="95">
        <f t="shared" si="93"/>
        <v>23.52</v>
      </c>
      <c r="J88" s="95">
        <f t="shared" si="94"/>
        <v>23.52</v>
      </c>
      <c r="K88" s="103"/>
      <c r="L88" s="162" t="s">
        <v>341</v>
      </c>
      <c r="M88" s="108">
        <v>1</v>
      </c>
      <c r="N88" s="95">
        <v>20.09</v>
      </c>
      <c r="O88" s="123">
        <v>2.75</v>
      </c>
      <c r="P88" s="92"/>
      <c r="Q88" s="92"/>
      <c r="R88" s="108">
        <f t="shared" si="95"/>
        <v>55.247500000000002</v>
      </c>
      <c r="S88" s="146"/>
      <c r="T88" s="118" t="s">
        <v>21</v>
      </c>
      <c r="U88" s="92">
        <f t="shared" si="105"/>
        <v>20.09</v>
      </c>
      <c r="V88" s="103"/>
      <c r="W88" s="202" t="s">
        <v>17</v>
      </c>
      <c r="X88" s="108" t="str">
        <f t="shared" si="96"/>
        <v>cad</v>
      </c>
      <c r="Y88" s="108" t="str">
        <f t="shared" si="97"/>
        <v>cad</v>
      </c>
      <c r="Z88" s="108">
        <f t="shared" si="98"/>
        <v>23.52</v>
      </c>
      <c r="AA88" s="108">
        <f t="shared" si="99"/>
        <v>0</v>
      </c>
      <c r="AB88" s="108">
        <f t="shared" si="100"/>
        <v>23.52</v>
      </c>
      <c r="AC88" s="108">
        <f t="shared" si="101"/>
        <v>23.52</v>
      </c>
      <c r="AD88" s="103"/>
      <c r="AE88" s="92" t="s">
        <v>17</v>
      </c>
      <c r="AF88" s="108">
        <f>N88*M88</f>
        <v>20.09</v>
      </c>
    </row>
    <row r="89" spans="1:32" s="11" customFormat="1" ht="13.8">
      <c r="A89" s="5"/>
      <c r="B89" s="138"/>
      <c r="C89" s="95"/>
      <c r="D89" s="95"/>
      <c r="E89" s="95"/>
      <c r="F89" s="95"/>
      <c r="G89" s="141"/>
      <c r="H89" s="118"/>
      <c r="I89" s="95"/>
      <c r="J89" s="95"/>
      <c r="K89" s="103"/>
      <c r="L89" s="162"/>
      <c r="M89" s="108"/>
      <c r="N89" s="95"/>
      <c r="O89" s="95"/>
      <c r="P89" s="92"/>
      <c r="Q89" s="92"/>
      <c r="R89" s="108"/>
      <c r="S89" s="146"/>
      <c r="T89" s="108"/>
      <c r="U89" s="92"/>
      <c r="V89" s="103"/>
      <c r="W89" s="203" t="s">
        <v>19</v>
      </c>
      <c r="X89" s="141">
        <f t="shared" si="96"/>
        <v>0</v>
      </c>
      <c r="Y89" s="141">
        <f t="shared" si="97"/>
        <v>0</v>
      </c>
      <c r="Z89" s="141">
        <v>15.65</v>
      </c>
      <c r="AA89" s="108"/>
      <c r="AB89" s="108">
        <f>Z89</f>
        <v>15.65</v>
      </c>
      <c r="AC89" s="141">
        <f>Z89</f>
        <v>15.65</v>
      </c>
      <c r="AD89" s="103"/>
      <c r="AE89" s="92"/>
      <c r="AF89" s="108"/>
    </row>
    <row r="90" spans="1:32" s="11" customFormat="1" ht="13.8">
      <c r="A90" s="5"/>
      <c r="B90" s="138" t="s">
        <v>181</v>
      </c>
      <c r="C90" s="95" t="s">
        <v>17</v>
      </c>
      <c r="D90" s="95">
        <v>1</v>
      </c>
      <c r="E90" s="95" t="s">
        <v>57</v>
      </c>
      <c r="F90" s="95" t="s">
        <v>57</v>
      </c>
      <c r="G90" s="123">
        <v>9.06</v>
      </c>
      <c r="H90" s="118"/>
      <c r="I90" s="95">
        <f t="shared" si="93"/>
        <v>9.06</v>
      </c>
      <c r="J90" s="95">
        <f t="shared" si="94"/>
        <v>9.06</v>
      </c>
      <c r="K90" s="103"/>
      <c r="L90" s="162" t="s">
        <v>17</v>
      </c>
      <c r="M90" s="108">
        <v>1</v>
      </c>
      <c r="N90" s="145">
        <v>12.45</v>
      </c>
      <c r="O90" s="123">
        <v>2.7</v>
      </c>
      <c r="P90" s="92"/>
      <c r="Q90" s="92"/>
      <c r="R90" s="108">
        <f t="shared" si="95"/>
        <v>33.615000000000002</v>
      </c>
      <c r="S90" s="146"/>
      <c r="T90" s="108" t="s">
        <v>357</v>
      </c>
      <c r="U90" s="92">
        <f t="shared" si="105"/>
        <v>12.45</v>
      </c>
      <c r="V90" s="103"/>
      <c r="W90" s="202" t="s">
        <v>17</v>
      </c>
      <c r="X90" s="108" t="str">
        <f t="shared" si="96"/>
        <v>cad</v>
      </c>
      <c r="Y90" s="108" t="str">
        <f t="shared" si="97"/>
        <v>cad</v>
      </c>
      <c r="Z90" s="108">
        <f t="shared" si="98"/>
        <v>9.06</v>
      </c>
      <c r="AA90" s="108">
        <f t="shared" si="99"/>
        <v>0</v>
      </c>
      <c r="AB90" s="108">
        <f t="shared" si="100"/>
        <v>9.06</v>
      </c>
      <c r="AC90" s="108">
        <f t="shared" si="101"/>
        <v>9.06</v>
      </c>
      <c r="AD90" s="103"/>
      <c r="AE90" s="92" t="s">
        <v>357</v>
      </c>
      <c r="AF90" s="108">
        <f>N90*M90</f>
        <v>12.45</v>
      </c>
    </row>
    <row r="91" spans="1:32" s="11" customFormat="1" ht="13.8">
      <c r="A91" s="5"/>
      <c r="B91" s="138" t="s">
        <v>182</v>
      </c>
      <c r="C91" s="318" t="s">
        <v>17</v>
      </c>
      <c r="D91" s="95">
        <v>1</v>
      </c>
      <c r="E91" s="95" t="s">
        <v>57</v>
      </c>
      <c r="F91" s="95" t="s">
        <v>57</v>
      </c>
      <c r="G91" s="123">
        <v>23.53</v>
      </c>
      <c r="H91" s="118"/>
      <c r="I91" s="95">
        <f t="shared" si="93"/>
        <v>23.53</v>
      </c>
      <c r="J91" s="95">
        <f t="shared" si="94"/>
        <v>23.53</v>
      </c>
      <c r="K91" s="103"/>
      <c r="L91" s="162" t="s">
        <v>341</v>
      </c>
      <c r="M91" s="108">
        <v>1</v>
      </c>
      <c r="N91" s="162">
        <v>20.09</v>
      </c>
      <c r="O91" s="123">
        <v>2.75</v>
      </c>
      <c r="P91" s="92"/>
      <c r="Q91" s="92"/>
      <c r="R91" s="108">
        <f t="shared" si="95"/>
        <v>55.247500000000002</v>
      </c>
      <c r="S91" s="146"/>
      <c r="T91" s="118" t="s">
        <v>21</v>
      </c>
      <c r="U91" s="92">
        <f t="shared" ref="U91" si="106">N91*M91</f>
        <v>20.09</v>
      </c>
      <c r="V91" s="103"/>
      <c r="W91" s="202" t="s">
        <v>17</v>
      </c>
      <c r="X91" s="108" t="str">
        <f t="shared" si="96"/>
        <v>cad</v>
      </c>
      <c r="Y91" s="108" t="str">
        <f t="shared" si="97"/>
        <v>cad</v>
      </c>
      <c r="Z91" s="108">
        <f t="shared" si="98"/>
        <v>23.53</v>
      </c>
      <c r="AA91" s="108">
        <f t="shared" si="99"/>
        <v>0</v>
      </c>
      <c r="AB91" s="108">
        <f t="shared" si="100"/>
        <v>23.53</v>
      </c>
      <c r="AC91" s="108">
        <f t="shared" si="101"/>
        <v>23.53</v>
      </c>
      <c r="AD91" s="103"/>
      <c r="AE91" s="92" t="s">
        <v>17</v>
      </c>
      <c r="AF91" s="108">
        <f>N91*M91</f>
        <v>20.09</v>
      </c>
    </row>
    <row r="92" spans="1:32" s="11" customFormat="1" ht="13.8">
      <c r="A92" s="5"/>
      <c r="B92" s="138"/>
      <c r="C92" s="95"/>
      <c r="D92" s="95"/>
      <c r="E92" s="95"/>
      <c r="F92" s="95"/>
      <c r="G92" s="141"/>
      <c r="H92" s="118"/>
      <c r="I92" s="95"/>
      <c r="J92" s="95"/>
      <c r="K92" s="103"/>
      <c r="L92" s="162"/>
      <c r="M92" s="108"/>
      <c r="N92" s="162"/>
      <c r="O92" s="95"/>
      <c r="P92" s="92"/>
      <c r="Q92" s="92"/>
      <c r="R92" s="108"/>
      <c r="S92" s="146"/>
      <c r="T92" s="108"/>
      <c r="U92" s="92"/>
      <c r="V92" s="103"/>
      <c r="W92" s="203" t="s">
        <v>19</v>
      </c>
      <c r="X92" s="141">
        <f t="shared" ref="X92" si="107">E92</f>
        <v>0</v>
      </c>
      <c r="Y92" s="141">
        <f t="shared" ref="Y92" si="108">F92</f>
        <v>0</v>
      </c>
      <c r="Z92" s="141">
        <v>15.65</v>
      </c>
      <c r="AA92" s="108"/>
      <c r="AB92" s="108">
        <f>Z92</f>
        <v>15.65</v>
      </c>
      <c r="AC92" s="141">
        <f>Z92</f>
        <v>15.65</v>
      </c>
      <c r="AD92" s="103"/>
      <c r="AE92" s="92"/>
      <c r="AF92" s="108"/>
    </row>
    <row r="93" spans="1:32" s="11" customFormat="1" ht="13.8">
      <c r="A93" s="5"/>
      <c r="B93" s="138" t="s">
        <v>183</v>
      </c>
      <c r="C93" s="95" t="s">
        <v>17</v>
      </c>
      <c r="D93" s="95">
        <v>1</v>
      </c>
      <c r="E93" s="95" t="s">
        <v>57</v>
      </c>
      <c r="F93" s="95" t="s">
        <v>57</v>
      </c>
      <c r="G93" s="123">
        <v>9.11</v>
      </c>
      <c r="H93" s="118"/>
      <c r="I93" s="95">
        <f t="shared" si="93"/>
        <v>9.11</v>
      </c>
      <c r="J93" s="95">
        <f t="shared" si="94"/>
        <v>9.11</v>
      </c>
      <c r="K93" s="85"/>
      <c r="L93" s="95" t="s">
        <v>17</v>
      </c>
      <c r="M93" s="95">
        <v>1</v>
      </c>
      <c r="N93" s="123">
        <v>12.59</v>
      </c>
      <c r="O93" s="123">
        <v>2.7</v>
      </c>
      <c r="P93" s="118"/>
      <c r="Q93" s="118"/>
      <c r="R93" s="95">
        <f t="shared" si="95"/>
        <v>33.993000000000002</v>
      </c>
      <c r="S93" s="87"/>
      <c r="T93" s="95" t="s">
        <v>357</v>
      </c>
      <c r="U93" s="118">
        <f t="shared" si="105"/>
        <v>12.59</v>
      </c>
      <c r="V93" s="85"/>
      <c r="W93" s="204" t="s">
        <v>17</v>
      </c>
      <c r="X93" s="95" t="str">
        <f t="shared" si="96"/>
        <v>cad</v>
      </c>
      <c r="Y93" s="95" t="str">
        <f t="shared" si="97"/>
        <v>cad</v>
      </c>
      <c r="Z93" s="95">
        <f t="shared" si="98"/>
        <v>9.11</v>
      </c>
      <c r="AA93" s="95">
        <f t="shared" si="99"/>
        <v>0</v>
      </c>
      <c r="AB93" s="95">
        <f t="shared" si="100"/>
        <v>9.11</v>
      </c>
      <c r="AC93" s="95">
        <f t="shared" si="101"/>
        <v>9.11</v>
      </c>
      <c r="AD93" s="85"/>
      <c r="AE93" s="118" t="s">
        <v>357</v>
      </c>
      <c r="AF93" s="108">
        <f t="shared" ref="AF93:AF96" si="109">N93*M93</f>
        <v>12.59</v>
      </c>
    </row>
    <row r="94" spans="1:32" s="11" customFormat="1" ht="13.5" customHeight="1">
      <c r="A94" s="5"/>
      <c r="B94" s="138" t="s">
        <v>184</v>
      </c>
      <c r="C94" s="95" t="s">
        <v>17</v>
      </c>
      <c r="D94" s="95">
        <v>1</v>
      </c>
      <c r="E94" s="95" t="s">
        <v>57</v>
      </c>
      <c r="F94" s="95" t="s">
        <v>57</v>
      </c>
      <c r="G94" s="123">
        <v>9.11</v>
      </c>
      <c r="H94" s="118"/>
      <c r="I94" s="95">
        <f t="shared" si="93"/>
        <v>9.11</v>
      </c>
      <c r="J94" s="95">
        <f t="shared" si="94"/>
        <v>9.11</v>
      </c>
      <c r="K94" s="85"/>
      <c r="L94" s="95" t="s">
        <v>17</v>
      </c>
      <c r="M94" s="95">
        <v>1</v>
      </c>
      <c r="N94" s="123">
        <v>12.59</v>
      </c>
      <c r="O94" s="123">
        <v>2.7</v>
      </c>
      <c r="P94" s="118"/>
      <c r="Q94" s="118"/>
      <c r="R94" s="95">
        <f t="shared" si="95"/>
        <v>33.993000000000002</v>
      </c>
      <c r="S94" s="87"/>
      <c r="T94" s="95" t="s">
        <v>357</v>
      </c>
      <c r="U94" s="118">
        <f t="shared" si="105"/>
        <v>12.59</v>
      </c>
      <c r="V94" s="85"/>
      <c r="W94" s="204" t="s">
        <v>17</v>
      </c>
      <c r="X94" s="95" t="str">
        <f t="shared" si="96"/>
        <v>cad</v>
      </c>
      <c r="Y94" s="95" t="str">
        <f t="shared" si="97"/>
        <v>cad</v>
      </c>
      <c r="Z94" s="95">
        <f t="shared" si="98"/>
        <v>9.11</v>
      </c>
      <c r="AA94" s="95">
        <f t="shared" si="99"/>
        <v>0</v>
      </c>
      <c r="AB94" s="95">
        <f t="shared" si="100"/>
        <v>9.11</v>
      </c>
      <c r="AC94" s="95">
        <f t="shared" si="101"/>
        <v>9.11</v>
      </c>
      <c r="AD94" s="85"/>
      <c r="AE94" s="118" t="s">
        <v>357</v>
      </c>
      <c r="AF94" s="108">
        <f t="shared" si="109"/>
        <v>12.59</v>
      </c>
    </row>
    <row r="95" spans="1:32" s="11" customFormat="1" ht="13.8">
      <c r="A95" s="5"/>
      <c r="B95" s="138" t="s">
        <v>185</v>
      </c>
      <c r="C95" s="95" t="s">
        <v>17</v>
      </c>
      <c r="D95" s="95">
        <v>1</v>
      </c>
      <c r="E95" s="95" t="s">
        <v>57</v>
      </c>
      <c r="F95" s="95" t="s">
        <v>57</v>
      </c>
      <c r="G95" s="123">
        <v>8.9499999999999993</v>
      </c>
      <c r="H95" s="118"/>
      <c r="I95" s="95">
        <f t="shared" si="93"/>
        <v>8.9499999999999993</v>
      </c>
      <c r="J95" s="95">
        <f t="shared" si="94"/>
        <v>8.9499999999999993</v>
      </c>
      <c r="K95" s="85"/>
      <c r="L95" s="95" t="s">
        <v>17</v>
      </c>
      <c r="M95" s="95">
        <v>1</v>
      </c>
      <c r="N95" s="123">
        <v>12.89</v>
      </c>
      <c r="O95" s="123">
        <v>2.7</v>
      </c>
      <c r="P95" s="118"/>
      <c r="Q95" s="118"/>
      <c r="R95" s="95">
        <f t="shared" si="95"/>
        <v>34.803000000000004</v>
      </c>
      <c r="S95" s="87"/>
      <c r="T95" s="95" t="s">
        <v>357</v>
      </c>
      <c r="U95" s="118">
        <f t="shared" si="105"/>
        <v>12.89</v>
      </c>
      <c r="V95" s="85"/>
      <c r="W95" s="204" t="s">
        <v>17</v>
      </c>
      <c r="X95" s="95" t="str">
        <f t="shared" si="96"/>
        <v>cad</v>
      </c>
      <c r="Y95" s="95" t="str">
        <f t="shared" si="97"/>
        <v>cad</v>
      </c>
      <c r="Z95" s="95">
        <f t="shared" si="98"/>
        <v>8.9499999999999993</v>
      </c>
      <c r="AA95" s="95">
        <f t="shared" si="99"/>
        <v>0</v>
      </c>
      <c r="AB95" s="95">
        <f t="shared" si="100"/>
        <v>8.9499999999999993</v>
      </c>
      <c r="AC95" s="95">
        <f t="shared" si="101"/>
        <v>8.9499999999999993</v>
      </c>
      <c r="AD95" s="85"/>
      <c r="AE95" s="118" t="s">
        <v>357</v>
      </c>
      <c r="AF95" s="108">
        <f t="shared" si="109"/>
        <v>12.89</v>
      </c>
    </row>
    <row r="96" spans="1:32" s="11" customFormat="1" ht="13.8">
      <c r="A96" s="5"/>
      <c r="B96" s="138" t="s">
        <v>186</v>
      </c>
      <c r="C96" s="318" t="s">
        <v>17</v>
      </c>
      <c r="D96" s="95">
        <v>1</v>
      </c>
      <c r="E96" s="95" t="s">
        <v>57</v>
      </c>
      <c r="F96" s="95" t="s">
        <v>57</v>
      </c>
      <c r="G96" s="123">
        <v>23.64</v>
      </c>
      <c r="H96" s="118"/>
      <c r="I96" s="95">
        <f t="shared" si="93"/>
        <v>23.64</v>
      </c>
      <c r="J96" s="95">
        <f t="shared" si="94"/>
        <v>23.64</v>
      </c>
      <c r="K96" s="103"/>
      <c r="L96" s="162" t="s">
        <v>341</v>
      </c>
      <c r="M96" s="108">
        <v>1</v>
      </c>
      <c r="N96" s="145">
        <v>19.649999999999999</v>
      </c>
      <c r="O96" s="123">
        <v>2.75</v>
      </c>
      <c r="P96" s="92"/>
      <c r="Q96" s="92"/>
      <c r="R96" s="108">
        <f t="shared" si="95"/>
        <v>54.037499999999994</v>
      </c>
      <c r="S96" s="146"/>
      <c r="T96" s="118" t="s">
        <v>21</v>
      </c>
      <c r="U96" s="118">
        <f t="shared" si="105"/>
        <v>19.649999999999999</v>
      </c>
      <c r="V96" s="103"/>
      <c r="W96" s="202" t="s">
        <v>17</v>
      </c>
      <c r="X96" s="108" t="str">
        <f t="shared" si="96"/>
        <v>cad</v>
      </c>
      <c r="Y96" s="108" t="str">
        <f t="shared" si="97"/>
        <v>cad</v>
      </c>
      <c r="Z96" s="108">
        <f t="shared" si="98"/>
        <v>23.64</v>
      </c>
      <c r="AA96" s="108">
        <f t="shared" si="99"/>
        <v>0</v>
      </c>
      <c r="AB96" s="108">
        <f t="shared" si="100"/>
        <v>23.64</v>
      </c>
      <c r="AC96" s="108">
        <f t="shared" si="101"/>
        <v>23.64</v>
      </c>
      <c r="AD96" s="103"/>
      <c r="AE96" s="92" t="s">
        <v>17</v>
      </c>
      <c r="AF96" s="108">
        <f t="shared" si="109"/>
        <v>19.649999999999999</v>
      </c>
    </row>
    <row r="97" spans="1:32" s="11" customFormat="1" ht="13.8">
      <c r="A97" s="32"/>
      <c r="B97" s="138"/>
      <c r="C97" s="95"/>
      <c r="D97" s="95"/>
      <c r="E97" s="95"/>
      <c r="F97" s="95"/>
      <c r="G97" s="141"/>
      <c r="H97" s="118"/>
      <c r="I97" s="95"/>
      <c r="J97" s="95"/>
      <c r="K97" s="103"/>
      <c r="L97" s="162"/>
      <c r="M97" s="108"/>
      <c r="N97" s="95"/>
      <c r="O97" s="95"/>
      <c r="P97" s="92"/>
      <c r="Q97" s="92"/>
      <c r="R97" s="108"/>
      <c r="S97" s="146"/>
      <c r="T97" s="108"/>
      <c r="U97" s="118"/>
      <c r="V97" s="103"/>
      <c r="W97" s="203" t="s">
        <v>19</v>
      </c>
      <c r="X97" s="141">
        <f t="shared" si="96"/>
        <v>0</v>
      </c>
      <c r="Y97" s="141">
        <f t="shared" si="97"/>
        <v>0</v>
      </c>
      <c r="Z97" s="141">
        <v>15.65</v>
      </c>
      <c r="AA97" s="108"/>
      <c r="AB97" s="108">
        <f>Z97</f>
        <v>15.65</v>
      </c>
      <c r="AC97" s="141">
        <f>Z97</f>
        <v>15.65</v>
      </c>
      <c r="AD97" s="103"/>
      <c r="AE97" s="92"/>
      <c r="AF97" s="108"/>
    </row>
    <row r="98" spans="1:32" s="11" customFormat="1" ht="13.8">
      <c r="A98" s="32"/>
      <c r="B98" s="138" t="s">
        <v>170</v>
      </c>
      <c r="C98" s="95" t="s">
        <v>20</v>
      </c>
      <c r="D98" s="95">
        <v>1</v>
      </c>
      <c r="E98" s="95" t="s">
        <v>57</v>
      </c>
      <c r="F98" s="95" t="s">
        <v>57</v>
      </c>
      <c r="G98" s="123">
        <v>3.71</v>
      </c>
      <c r="H98" s="118"/>
      <c r="I98" s="95">
        <f t="shared" si="93"/>
        <v>3.71</v>
      </c>
      <c r="J98" s="95">
        <f t="shared" si="94"/>
        <v>3.71</v>
      </c>
      <c r="K98" s="103"/>
      <c r="L98" s="162" t="s">
        <v>18</v>
      </c>
      <c r="M98" s="108">
        <v>1</v>
      </c>
      <c r="N98" s="145">
        <v>7.8</v>
      </c>
      <c r="O98" s="123">
        <v>2.7</v>
      </c>
      <c r="P98" s="92"/>
      <c r="Q98" s="92"/>
      <c r="R98" s="108">
        <f t="shared" si="95"/>
        <v>21.060000000000002</v>
      </c>
      <c r="S98" s="146"/>
      <c r="T98" s="118" t="s">
        <v>366</v>
      </c>
      <c r="U98" s="163">
        <f t="shared" si="105"/>
        <v>7.8</v>
      </c>
      <c r="V98" s="103"/>
      <c r="W98" s="202" t="s">
        <v>18</v>
      </c>
      <c r="X98" s="108" t="str">
        <f t="shared" si="96"/>
        <v>cad</v>
      </c>
      <c r="Y98" s="108" t="str">
        <f t="shared" si="97"/>
        <v>cad</v>
      </c>
      <c r="Z98" s="108">
        <f t="shared" si="98"/>
        <v>3.71</v>
      </c>
      <c r="AA98" s="108">
        <f t="shared" si="99"/>
        <v>0</v>
      </c>
      <c r="AB98" s="108">
        <f t="shared" si="100"/>
        <v>3.71</v>
      </c>
      <c r="AC98" s="108">
        <f t="shared" si="101"/>
        <v>3.71</v>
      </c>
      <c r="AD98" s="103"/>
      <c r="AE98" s="92" t="s">
        <v>357</v>
      </c>
      <c r="AF98" s="108">
        <f t="shared" ref="AF98:AF99" si="110">N98*M98</f>
        <v>7.8</v>
      </c>
    </row>
    <row r="99" spans="1:32" s="11" customFormat="1" ht="13.8">
      <c r="A99" s="32"/>
      <c r="B99" s="138" t="s">
        <v>170</v>
      </c>
      <c r="C99" s="95" t="s">
        <v>20</v>
      </c>
      <c r="D99" s="95">
        <v>1</v>
      </c>
      <c r="E99" s="95" t="s">
        <v>57</v>
      </c>
      <c r="F99" s="95" t="s">
        <v>57</v>
      </c>
      <c r="G99" s="123">
        <v>3.71</v>
      </c>
      <c r="H99" s="118"/>
      <c r="I99" s="95">
        <f t="shared" si="93"/>
        <v>3.71</v>
      </c>
      <c r="J99" s="95">
        <f t="shared" si="94"/>
        <v>3.71</v>
      </c>
      <c r="K99" s="103"/>
      <c r="L99" s="162" t="s">
        <v>18</v>
      </c>
      <c r="M99" s="108">
        <v>1</v>
      </c>
      <c r="N99" s="145">
        <v>7.8</v>
      </c>
      <c r="O99" s="123">
        <v>2.7</v>
      </c>
      <c r="P99" s="92"/>
      <c r="Q99" s="92"/>
      <c r="R99" s="108">
        <f t="shared" si="95"/>
        <v>21.060000000000002</v>
      </c>
      <c r="S99" s="146"/>
      <c r="T99" s="118" t="s">
        <v>366</v>
      </c>
      <c r="U99" s="163">
        <f t="shared" si="105"/>
        <v>7.8</v>
      </c>
      <c r="V99" s="103"/>
      <c r="W99" s="202" t="s">
        <v>18</v>
      </c>
      <c r="X99" s="108" t="str">
        <f t="shared" si="96"/>
        <v>cad</v>
      </c>
      <c r="Y99" s="108" t="str">
        <f t="shared" si="97"/>
        <v>cad</v>
      </c>
      <c r="Z99" s="108">
        <f t="shared" si="98"/>
        <v>3.71</v>
      </c>
      <c r="AA99" s="108">
        <f t="shared" si="99"/>
        <v>0</v>
      </c>
      <c r="AB99" s="108">
        <f t="shared" si="100"/>
        <v>3.71</v>
      </c>
      <c r="AC99" s="108">
        <f t="shared" si="101"/>
        <v>3.71</v>
      </c>
      <c r="AD99" s="103"/>
      <c r="AE99" s="92" t="s">
        <v>357</v>
      </c>
      <c r="AF99" s="108">
        <f t="shared" si="110"/>
        <v>7.8</v>
      </c>
    </row>
    <row r="100" spans="1:32" s="11" customFormat="1" ht="13.8">
      <c r="A100" s="32"/>
      <c r="B100" s="138" t="s">
        <v>187</v>
      </c>
      <c r="C100" s="318" t="s">
        <v>17</v>
      </c>
      <c r="D100" s="95">
        <v>1</v>
      </c>
      <c r="E100" s="95" t="s">
        <v>57</v>
      </c>
      <c r="F100" s="95" t="s">
        <v>57</v>
      </c>
      <c r="G100" s="123">
        <v>14.16</v>
      </c>
      <c r="H100" s="118"/>
      <c r="I100" s="95">
        <f t="shared" si="93"/>
        <v>14.16</v>
      </c>
      <c r="J100" s="95">
        <f t="shared" si="94"/>
        <v>14.16</v>
      </c>
      <c r="K100" s="103"/>
      <c r="L100" s="162" t="s">
        <v>19</v>
      </c>
      <c r="M100" s="108">
        <v>1</v>
      </c>
      <c r="N100" s="145">
        <f>15.16-1.86</f>
        <v>13.3</v>
      </c>
      <c r="O100" s="123">
        <v>2.7</v>
      </c>
      <c r="P100" s="92"/>
      <c r="Q100" s="92"/>
      <c r="R100" s="108">
        <f t="shared" si="95"/>
        <v>35.910000000000004</v>
      </c>
      <c r="S100" s="146"/>
      <c r="T100" s="118" t="s">
        <v>21</v>
      </c>
      <c r="U100" s="163">
        <f t="shared" ref="U100:U103" si="111">N100*M100</f>
        <v>13.3</v>
      </c>
      <c r="V100" s="103"/>
      <c r="W100" s="202" t="s">
        <v>17</v>
      </c>
      <c r="X100" s="108" t="str">
        <f t="shared" si="96"/>
        <v>cad</v>
      </c>
      <c r="Y100" s="108" t="str">
        <f t="shared" si="97"/>
        <v>cad</v>
      </c>
      <c r="Z100" s="108">
        <f t="shared" si="98"/>
        <v>14.16</v>
      </c>
      <c r="AA100" s="108">
        <f t="shared" si="99"/>
        <v>0</v>
      </c>
      <c r="AB100" s="108">
        <f t="shared" si="100"/>
        <v>14.16</v>
      </c>
      <c r="AC100" s="108">
        <f t="shared" si="101"/>
        <v>14.16</v>
      </c>
      <c r="AD100" s="103"/>
      <c r="AE100" s="92" t="s">
        <v>357</v>
      </c>
      <c r="AF100" s="108">
        <f t="shared" ref="AF100:AF106" si="112">N100*M100</f>
        <v>13.3</v>
      </c>
    </row>
    <row r="101" spans="1:32" s="11" customFormat="1" ht="13.8">
      <c r="A101" s="32"/>
      <c r="B101" s="138" t="s">
        <v>188</v>
      </c>
      <c r="C101" s="95" t="s">
        <v>17</v>
      </c>
      <c r="D101" s="95">
        <v>1</v>
      </c>
      <c r="E101" s="95" t="s">
        <v>57</v>
      </c>
      <c r="F101" s="95" t="s">
        <v>57</v>
      </c>
      <c r="G101" s="95">
        <v>11.54</v>
      </c>
      <c r="H101" s="118"/>
      <c r="I101" s="95">
        <f t="shared" si="93"/>
        <v>11.54</v>
      </c>
      <c r="J101" s="95">
        <f t="shared" si="94"/>
        <v>11.54</v>
      </c>
      <c r="K101" s="103"/>
      <c r="L101" s="162" t="s">
        <v>17</v>
      </c>
      <c r="M101" s="108">
        <v>1</v>
      </c>
      <c r="N101" s="162">
        <v>13.8</v>
      </c>
      <c r="O101" s="123">
        <v>2.7</v>
      </c>
      <c r="P101" s="92"/>
      <c r="Q101" s="92"/>
      <c r="R101" s="108">
        <f t="shared" si="95"/>
        <v>37.260000000000005</v>
      </c>
      <c r="S101" s="146"/>
      <c r="T101" s="108" t="s">
        <v>357</v>
      </c>
      <c r="U101" s="163">
        <f t="shared" si="111"/>
        <v>13.8</v>
      </c>
      <c r="V101" s="103"/>
      <c r="W101" s="202" t="s">
        <v>17</v>
      </c>
      <c r="X101" s="108" t="str">
        <f t="shared" si="96"/>
        <v>cad</v>
      </c>
      <c r="Y101" s="108" t="str">
        <f t="shared" si="97"/>
        <v>cad</v>
      </c>
      <c r="Z101" s="108">
        <f t="shared" si="98"/>
        <v>11.54</v>
      </c>
      <c r="AA101" s="108">
        <f t="shared" si="99"/>
        <v>0</v>
      </c>
      <c r="AB101" s="108">
        <f t="shared" si="100"/>
        <v>11.54</v>
      </c>
      <c r="AC101" s="108">
        <f t="shared" si="101"/>
        <v>11.54</v>
      </c>
      <c r="AD101" s="103"/>
      <c r="AE101" s="92" t="s">
        <v>357</v>
      </c>
      <c r="AF101" s="108">
        <f t="shared" si="112"/>
        <v>13.8</v>
      </c>
    </row>
    <row r="102" spans="1:32" s="11" customFormat="1" ht="13.8">
      <c r="A102" s="32"/>
      <c r="B102" s="138" t="s">
        <v>189</v>
      </c>
      <c r="C102" s="95" t="s">
        <v>17</v>
      </c>
      <c r="D102" s="95">
        <v>1</v>
      </c>
      <c r="E102" s="95" t="s">
        <v>57</v>
      </c>
      <c r="F102" s="95" t="s">
        <v>57</v>
      </c>
      <c r="G102" s="123">
        <v>7.55</v>
      </c>
      <c r="H102" s="118"/>
      <c r="I102" s="95">
        <f t="shared" si="93"/>
        <v>7.55</v>
      </c>
      <c r="J102" s="95">
        <f t="shared" si="94"/>
        <v>7.55</v>
      </c>
      <c r="K102" s="103"/>
      <c r="L102" s="162" t="s">
        <v>17</v>
      </c>
      <c r="M102" s="108">
        <v>1</v>
      </c>
      <c r="N102" s="162">
        <v>11</v>
      </c>
      <c r="O102" s="123">
        <v>2.7</v>
      </c>
      <c r="P102" s="92"/>
      <c r="Q102" s="92"/>
      <c r="R102" s="108">
        <f t="shared" si="95"/>
        <v>29.700000000000003</v>
      </c>
      <c r="S102" s="146"/>
      <c r="T102" s="108" t="s">
        <v>357</v>
      </c>
      <c r="U102" s="163">
        <f t="shared" si="111"/>
        <v>11</v>
      </c>
      <c r="V102" s="103"/>
      <c r="W102" s="202" t="s">
        <v>17</v>
      </c>
      <c r="X102" s="108" t="str">
        <f t="shared" si="96"/>
        <v>cad</v>
      </c>
      <c r="Y102" s="108" t="str">
        <f t="shared" si="97"/>
        <v>cad</v>
      </c>
      <c r="Z102" s="108">
        <f t="shared" si="98"/>
        <v>7.55</v>
      </c>
      <c r="AA102" s="108">
        <f t="shared" si="99"/>
        <v>0</v>
      </c>
      <c r="AB102" s="108">
        <f t="shared" si="100"/>
        <v>7.55</v>
      </c>
      <c r="AC102" s="108">
        <f t="shared" si="101"/>
        <v>7.55</v>
      </c>
      <c r="AD102" s="103"/>
      <c r="AE102" s="92" t="s">
        <v>357</v>
      </c>
      <c r="AF102" s="108">
        <f t="shared" si="112"/>
        <v>11</v>
      </c>
    </row>
    <row r="103" spans="1:32" s="11" customFormat="1" ht="13.8">
      <c r="A103" s="5"/>
      <c r="B103" s="138" t="s">
        <v>190</v>
      </c>
      <c r="C103" s="95" t="s">
        <v>17</v>
      </c>
      <c r="D103" s="95">
        <v>1</v>
      </c>
      <c r="E103" s="95" t="s">
        <v>57</v>
      </c>
      <c r="F103" s="95" t="s">
        <v>57</v>
      </c>
      <c r="G103" s="123">
        <v>3.4</v>
      </c>
      <c r="H103" s="118"/>
      <c r="I103" s="95">
        <f t="shared" si="93"/>
        <v>3.4</v>
      </c>
      <c r="J103" s="95">
        <f t="shared" si="94"/>
        <v>3.4</v>
      </c>
      <c r="K103" s="103"/>
      <c r="L103" s="162" t="s">
        <v>17</v>
      </c>
      <c r="M103" s="108">
        <v>1</v>
      </c>
      <c r="N103" s="145">
        <v>8.49</v>
      </c>
      <c r="O103" s="123">
        <v>2.7</v>
      </c>
      <c r="P103" s="92"/>
      <c r="Q103" s="92"/>
      <c r="R103" s="108">
        <f t="shared" si="95"/>
        <v>22.923000000000002</v>
      </c>
      <c r="S103" s="146"/>
      <c r="T103" s="108" t="s">
        <v>357</v>
      </c>
      <c r="U103" s="92">
        <f t="shared" si="111"/>
        <v>8.49</v>
      </c>
      <c r="V103" s="103"/>
      <c r="W103" s="202" t="s">
        <v>17</v>
      </c>
      <c r="X103" s="108" t="str">
        <f t="shared" si="96"/>
        <v>cad</v>
      </c>
      <c r="Y103" s="108" t="str">
        <f t="shared" si="97"/>
        <v>cad</v>
      </c>
      <c r="Z103" s="108">
        <f t="shared" si="98"/>
        <v>3.4</v>
      </c>
      <c r="AA103" s="108">
        <f t="shared" si="99"/>
        <v>0</v>
      </c>
      <c r="AB103" s="108">
        <f t="shared" si="100"/>
        <v>3.4</v>
      </c>
      <c r="AC103" s="108">
        <f t="shared" si="101"/>
        <v>3.4</v>
      </c>
      <c r="AD103" s="103"/>
      <c r="AE103" s="92" t="s">
        <v>357</v>
      </c>
      <c r="AF103" s="108">
        <f t="shared" si="112"/>
        <v>8.49</v>
      </c>
    </row>
    <row r="104" spans="1:32" s="11" customFormat="1" ht="13.8">
      <c r="A104" s="32"/>
      <c r="B104" s="138" t="s">
        <v>123</v>
      </c>
      <c r="C104" s="95" t="s">
        <v>22</v>
      </c>
      <c r="D104" s="95">
        <v>1</v>
      </c>
      <c r="E104" s="95" t="s">
        <v>57</v>
      </c>
      <c r="F104" s="95" t="s">
        <v>57</v>
      </c>
      <c r="G104" s="123">
        <v>2.4700000000000002</v>
      </c>
      <c r="H104" s="118"/>
      <c r="I104" s="95">
        <f t="shared" si="93"/>
        <v>2.4700000000000002</v>
      </c>
      <c r="J104" s="95">
        <f t="shared" si="94"/>
        <v>2.4700000000000002</v>
      </c>
      <c r="K104" s="103"/>
      <c r="L104" s="162" t="s">
        <v>20</v>
      </c>
      <c r="M104" s="108">
        <v>1</v>
      </c>
      <c r="N104" s="145">
        <v>6.3</v>
      </c>
      <c r="O104" s="123">
        <v>2.7</v>
      </c>
      <c r="P104" s="92"/>
      <c r="Q104" s="92"/>
      <c r="R104" s="108">
        <f t="shared" si="95"/>
        <v>17.010000000000002</v>
      </c>
      <c r="S104" s="146"/>
      <c r="T104" s="108"/>
      <c r="U104" s="92"/>
      <c r="V104" s="103"/>
      <c r="W104" s="202" t="s">
        <v>18</v>
      </c>
      <c r="X104" s="108" t="str">
        <f t="shared" si="96"/>
        <v>cad</v>
      </c>
      <c r="Y104" s="108" t="str">
        <f t="shared" si="97"/>
        <v>cad</v>
      </c>
      <c r="Z104" s="108">
        <f t="shared" si="98"/>
        <v>2.4700000000000002</v>
      </c>
      <c r="AA104" s="108">
        <f t="shared" si="99"/>
        <v>0</v>
      </c>
      <c r="AB104" s="108">
        <f t="shared" si="100"/>
        <v>2.4700000000000002</v>
      </c>
      <c r="AC104" s="108">
        <f t="shared" si="101"/>
        <v>2.4700000000000002</v>
      </c>
      <c r="AD104" s="103"/>
      <c r="AE104" s="92" t="s">
        <v>357</v>
      </c>
      <c r="AF104" s="108">
        <f t="shared" si="112"/>
        <v>6.3</v>
      </c>
    </row>
    <row r="105" spans="1:32" s="11" customFormat="1" ht="13.8">
      <c r="A105" s="32"/>
      <c r="B105" s="138" t="s">
        <v>170</v>
      </c>
      <c r="C105" s="95" t="s">
        <v>20</v>
      </c>
      <c r="D105" s="95">
        <v>1</v>
      </c>
      <c r="E105" s="95" t="s">
        <v>57</v>
      </c>
      <c r="F105" s="95" t="s">
        <v>57</v>
      </c>
      <c r="G105" s="95">
        <v>3.71</v>
      </c>
      <c r="H105" s="118"/>
      <c r="I105" s="95">
        <f t="shared" si="93"/>
        <v>3.71</v>
      </c>
      <c r="J105" s="95">
        <f t="shared" si="94"/>
        <v>3.71</v>
      </c>
      <c r="K105" s="103"/>
      <c r="L105" s="162" t="s">
        <v>18</v>
      </c>
      <c r="M105" s="108">
        <v>1</v>
      </c>
      <c r="N105" s="162">
        <v>7.8</v>
      </c>
      <c r="O105" s="123">
        <v>2.7</v>
      </c>
      <c r="P105" s="92"/>
      <c r="Q105" s="92"/>
      <c r="R105" s="108">
        <f t="shared" si="95"/>
        <v>21.060000000000002</v>
      </c>
      <c r="S105" s="146"/>
      <c r="T105" s="118" t="s">
        <v>366</v>
      </c>
      <c r="U105" s="163">
        <f t="shared" ref="U105:U106" si="113">N105*M105</f>
        <v>7.8</v>
      </c>
      <c r="V105" s="103"/>
      <c r="W105" s="202" t="s">
        <v>18</v>
      </c>
      <c r="X105" s="108" t="str">
        <f t="shared" si="96"/>
        <v>cad</v>
      </c>
      <c r="Y105" s="108" t="str">
        <f t="shared" si="97"/>
        <v>cad</v>
      </c>
      <c r="Z105" s="108">
        <f t="shared" si="98"/>
        <v>3.71</v>
      </c>
      <c r="AA105" s="108">
        <f t="shared" si="99"/>
        <v>0</v>
      </c>
      <c r="AB105" s="108">
        <f t="shared" si="100"/>
        <v>3.71</v>
      </c>
      <c r="AC105" s="108">
        <f t="shared" si="101"/>
        <v>3.71</v>
      </c>
      <c r="AD105" s="103"/>
      <c r="AE105" s="92" t="s">
        <v>357</v>
      </c>
      <c r="AF105" s="108">
        <f t="shared" si="112"/>
        <v>7.8</v>
      </c>
    </row>
    <row r="106" spans="1:32" s="11" customFormat="1" ht="13.8">
      <c r="A106" s="32"/>
      <c r="B106" s="138" t="s">
        <v>170</v>
      </c>
      <c r="C106" s="95" t="s">
        <v>20</v>
      </c>
      <c r="D106" s="95">
        <v>1</v>
      </c>
      <c r="E106" s="95" t="s">
        <v>57</v>
      </c>
      <c r="F106" s="95" t="s">
        <v>57</v>
      </c>
      <c r="G106" s="95">
        <v>3.71</v>
      </c>
      <c r="H106" s="118"/>
      <c r="I106" s="95">
        <f t="shared" si="93"/>
        <v>3.71</v>
      </c>
      <c r="J106" s="95">
        <f t="shared" si="94"/>
        <v>3.71</v>
      </c>
      <c r="K106" s="103"/>
      <c r="L106" s="162" t="s">
        <v>18</v>
      </c>
      <c r="M106" s="108">
        <v>1</v>
      </c>
      <c r="N106" s="162">
        <v>7.8</v>
      </c>
      <c r="O106" s="123">
        <v>2.7</v>
      </c>
      <c r="P106" s="92"/>
      <c r="Q106" s="92"/>
      <c r="R106" s="108">
        <f t="shared" si="95"/>
        <v>21.060000000000002</v>
      </c>
      <c r="S106" s="146"/>
      <c r="T106" s="118" t="s">
        <v>366</v>
      </c>
      <c r="U106" s="163">
        <f t="shared" si="113"/>
        <v>7.8</v>
      </c>
      <c r="V106" s="103"/>
      <c r="W106" s="202" t="s">
        <v>18</v>
      </c>
      <c r="X106" s="108" t="str">
        <f t="shared" si="96"/>
        <v>cad</v>
      </c>
      <c r="Y106" s="108" t="str">
        <f t="shared" si="97"/>
        <v>cad</v>
      </c>
      <c r="Z106" s="108">
        <f t="shared" si="98"/>
        <v>3.71</v>
      </c>
      <c r="AA106" s="108">
        <f t="shared" si="99"/>
        <v>0</v>
      </c>
      <c r="AB106" s="108">
        <f t="shared" si="100"/>
        <v>3.71</v>
      </c>
      <c r="AC106" s="108">
        <f t="shared" si="101"/>
        <v>3.71</v>
      </c>
      <c r="AD106" s="103"/>
      <c r="AE106" s="92" t="s">
        <v>357</v>
      </c>
      <c r="AF106" s="108">
        <f t="shared" si="112"/>
        <v>7.8</v>
      </c>
    </row>
    <row r="107" spans="1:32" s="11" customFormat="1" ht="13.8">
      <c r="A107" s="32"/>
      <c r="B107" s="138" t="s">
        <v>191</v>
      </c>
      <c r="C107" s="95" t="s">
        <v>17</v>
      </c>
      <c r="D107" s="95">
        <v>1</v>
      </c>
      <c r="E107" s="95" t="s">
        <v>57</v>
      </c>
      <c r="F107" s="95" t="s">
        <v>57</v>
      </c>
      <c r="G107" s="123">
        <v>31.66</v>
      </c>
      <c r="H107" s="118"/>
      <c r="I107" s="95">
        <f t="shared" ref="I107:I110" si="114">(G107-H107)</f>
        <v>31.66</v>
      </c>
      <c r="J107" s="95">
        <f t="shared" ref="J107:J110" si="115">I107*D107</f>
        <v>31.66</v>
      </c>
      <c r="K107" s="103"/>
      <c r="L107" s="162" t="s">
        <v>17</v>
      </c>
      <c r="M107" s="108">
        <v>1</v>
      </c>
      <c r="N107" s="145">
        <v>29.83</v>
      </c>
      <c r="O107" s="123">
        <v>2.7</v>
      </c>
      <c r="P107" s="92"/>
      <c r="Q107" s="92"/>
      <c r="R107" s="108">
        <f t="shared" ref="R107:R110" si="116">(N107*O107-P107)*M107</f>
        <v>80.540999999999997</v>
      </c>
      <c r="S107" s="146"/>
      <c r="T107" s="108" t="s">
        <v>357</v>
      </c>
      <c r="U107" s="92">
        <f>N107*M107</f>
        <v>29.83</v>
      </c>
      <c r="V107" s="103"/>
      <c r="W107" s="162" t="s">
        <v>17</v>
      </c>
      <c r="X107" s="108" t="str">
        <f t="shared" ref="X107:X112" si="117">E107</f>
        <v>cad</v>
      </c>
      <c r="Y107" s="108" t="str">
        <f t="shared" ref="Y107:Y112" si="118">F107</f>
        <v>cad</v>
      </c>
      <c r="Z107" s="108">
        <f t="shared" ref="Z107:Z110" si="119">G107</f>
        <v>31.66</v>
      </c>
      <c r="AA107" s="108">
        <f t="shared" ref="AA107:AA110" si="120">H107</f>
        <v>0</v>
      </c>
      <c r="AB107" s="108">
        <f t="shared" ref="AB107:AB110" si="121">I107</f>
        <v>31.66</v>
      </c>
      <c r="AC107" s="108">
        <f t="shared" ref="AC107:AC110" si="122">J107</f>
        <v>31.66</v>
      </c>
      <c r="AD107" s="103"/>
      <c r="AE107" s="92" t="s">
        <v>357</v>
      </c>
      <c r="AF107" s="108">
        <f>N107*M107</f>
        <v>29.83</v>
      </c>
    </row>
    <row r="108" spans="1:32" s="11" customFormat="1" ht="13.8">
      <c r="A108" s="32"/>
      <c r="B108" s="138" t="s">
        <v>66</v>
      </c>
      <c r="C108" s="95" t="s">
        <v>24</v>
      </c>
      <c r="D108" s="95">
        <v>1</v>
      </c>
      <c r="E108" s="95" t="s">
        <v>57</v>
      </c>
      <c r="F108" s="95" t="s">
        <v>57</v>
      </c>
      <c r="G108" s="123">
        <v>40.909999999999997</v>
      </c>
      <c r="H108" s="118"/>
      <c r="I108" s="95">
        <f t="shared" si="114"/>
        <v>40.909999999999997</v>
      </c>
      <c r="J108" s="95">
        <f t="shared" si="115"/>
        <v>40.909999999999997</v>
      </c>
      <c r="K108" s="103"/>
      <c r="L108" s="162" t="s">
        <v>24</v>
      </c>
      <c r="M108" s="108">
        <v>1</v>
      </c>
      <c r="N108" s="145">
        <v>26.71</v>
      </c>
      <c r="O108" s="123">
        <v>3.9</v>
      </c>
      <c r="P108" s="92"/>
      <c r="Q108" s="92"/>
      <c r="R108" s="108">
        <f t="shared" si="116"/>
        <v>104.169</v>
      </c>
      <c r="S108" s="146"/>
      <c r="T108" s="108" t="s">
        <v>356</v>
      </c>
      <c r="U108" s="92">
        <f>N108*M108</f>
        <v>26.71</v>
      </c>
      <c r="V108" s="103"/>
      <c r="W108" s="162" t="s">
        <v>20</v>
      </c>
      <c r="X108" s="108" t="str">
        <f t="shared" si="117"/>
        <v>cad</v>
      </c>
      <c r="Y108" s="108" t="str">
        <f t="shared" si="118"/>
        <v>cad</v>
      </c>
      <c r="Z108" s="108">
        <f t="shared" si="119"/>
        <v>40.909999999999997</v>
      </c>
      <c r="AA108" s="108">
        <f t="shared" si="120"/>
        <v>0</v>
      </c>
      <c r="AB108" s="108">
        <f t="shared" si="121"/>
        <v>40.909999999999997</v>
      </c>
      <c r="AC108" s="108">
        <f t="shared" si="122"/>
        <v>40.909999999999997</v>
      </c>
      <c r="AD108" s="103"/>
      <c r="AE108" s="92"/>
      <c r="AF108" s="108"/>
    </row>
    <row r="109" spans="1:32" s="11" customFormat="1" ht="13.8">
      <c r="A109" s="32"/>
      <c r="B109" s="138"/>
      <c r="C109" s="95" t="s">
        <v>24</v>
      </c>
      <c r="D109" s="95">
        <v>1</v>
      </c>
      <c r="E109" s="95" t="s">
        <v>57</v>
      </c>
      <c r="F109" s="95" t="s">
        <v>57</v>
      </c>
      <c r="G109" s="123">
        <v>9.7100000000000009</v>
      </c>
      <c r="H109" s="118"/>
      <c r="I109" s="95">
        <f t="shared" ref="I109" si="123">(G109-H109)</f>
        <v>9.7100000000000009</v>
      </c>
      <c r="J109" s="95">
        <f t="shared" ref="J109" si="124">I109*D109</f>
        <v>9.7100000000000009</v>
      </c>
      <c r="K109" s="103"/>
      <c r="L109" s="162"/>
      <c r="M109" s="108"/>
      <c r="N109" s="145"/>
      <c r="O109" s="123"/>
      <c r="P109" s="92"/>
      <c r="Q109" s="92"/>
      <c r="R109" s="108"/>
      <c r="S109" s="146"/>
      <c r="T109" s="108"/>
      <c r="U109" s="92"/>
      <c r="V109" s="103"/>
      <c r="W109" s="162"/>
      <c r="X109" s="108"/>
      <c r="Y109" s="108"/>
      <c r="Z109" s="108"/>
      <c r="AA109" s="108"/>
      <c r="AB109" s="108"/>
      <c r="AC109" s="108"/>
      <c r="AD109" s="103"/>
      <c r="AE109" s="92"/>
      <c r="AF109" s="108"/>
    </row>
    <row r="110" spans="1:32" s="11" customFormat="1" ht="13.8">
      <c r="A110" s="5"/>
      <c r="B110" s="138" t="s">
        <v>527</v>
      </c>
      <c r="C110" s="318" t="s">
        <v>17</v>
      </c>
      <c r="D110" s="95">
        <v>1</v>
      </c>
      <c r="E110" s="95" t="s">
        <v>57</v>
      </c>
      <c r="F110" s="95" t="s">
        <v>57</v>
      </c>
      <c r="G110" s="123">
        <v>26.41</v>
      </c>
      <c r="H110" s="118"/>
      <c r="I110" s="95">
        <f t="shared" si="114"/>
        <v>26.41</v>
      </c>
      <c r="J110" s="95">
        <f t="shared" si="115"/>
        <v>26.41</v>
      </c>
      <c r="K110" s="103"/>
      <c r="L110" s="162" t="s">
        <v>17</v>
      </c>
      <c r="M110" s="108">
        <v>1</v>
      </c>
      <c r="N110" s="145">
        <v>30.5</v>
      </c>
      <c r="O110" s="123">
        <v>2.7</v>
      </c>
      <c r="P110" s="92"/>
      <c r="Q110" s="92"/>
      <c r="R110" s="108">
        <f t="shared" si="116"/>
        <v>82.350000000000009</v>
      </c>
      <c r="S110" s="146"/>
      <c r="T110" s="108" t="s">
        <v>21</v>
      </c>
      <c r="U110" s="163">
        <f>N110*M110</f>
        <v>30.5</v>
      </c>
      <c r="V110" s="103"/>
      <c r="W110" s="162" t="s">
        <v>17</v>
      </c>
      <c r="X110" s="108" t="str">
        <f t="shared" si="117"/>
        <v>cad</v>
      </c>
      <c r="Y110" s="108" t="str">
        <f t="shared" si="118"/>
        <v>cad</v>
      </c>
      <c r="Z110" s="108">
        <f t="shared" si="119"/>
        <v>26.41</v>
      </c>
      <c r="AA110" s="108">
        <f t="shared" si="120"/>
        <v>0</v>
      </c>
      <c r="AB110" s="108">
        <f t="shared" si="121"/>
        <v>26.41</v>
      </c>
      <c r="AC110" s="108">
        <f t="shared" si="122"/>
        <v>26.41</v>
      </c>
      <c r="AD110" s="103"/>
      <c r="AE110" s="92" t="s">
        <v>17</v>
      </c>
      <c r="AF110" s="108">
        <f>N110*M110</f>
        <v>30.5</v>
      </c>
    </row>
    <row r="111" spans="1:32" s="11" customFormat="1" ht="13.8">
      <c r="A111" s="32"/>
      <c r="B111" s="138"/>
      <c r="C111" s="95"/>
      <c r="D111" s="95"/>
      <c r="E111" s="95"/>
      <c r="F111" s="95"/>
      <c r="G111" s="141"/>
      <c r="H111" s="118"/>
      <c r="I111" s="95"/>
      <c r="J111" s="95"/>
      <c r="K111" s="103"/>
      <c r="L111" s="162"/>
      <c r="M111" s="108"/>
      <c r="N111" s="95"/>
      <c r="O111" s="95"/>
      <c r="P111" s="92"/>
      <c r="Q111" s="92"/>
      <c r="R111" s="108"/>
      <c r="S111" s="146"/>
      <c r="T111" s="108"/>
      <c r="U111" s="163"/>
      <c r="V111" s="103"/>
      <c r="W111" s="166" t="s">
        <v>24</v>
      </c>
      <c r="X111" s="141">
        <f t="shared" si="117"/>
        <v>0</v>
      </c>
      <c r="Y111" s="141">
        <f t="shared" si="118"/>
        <v>0</v>
      </c>
      <c r="Z111" s="141">
        <v>9.3699999999999992</v>
      </c>
      <c r="AA111" s="108"/>
      <c r="AB111" s="108">
        <f t="shared" ref="AB111:AB112" si="125">Z111</f>
        <v>9.3699999999999992</v>
      </c>
      <c r="AC111" s="141">
        <f t="shared" ref="AC111:AC112" si="126">Z111</f>
        <v>9.3699999999999992</v>
      </c>
      <c r="AD111" s="103"/>
      <c r="AE111" s="92"/>
      <c r="AF111" s="108"/>
    </row>
    <row r="112" spans="1:32" s="11" customFormat="1" ht="13.8">
      <c r="A112" s="32"/>
      <c r="B112" s="138"/>
      <c r="C112" s="95"/>
      <c r="D112" s="95"/>
      <c r="E112" s="95"/>
      <c r="F112" s="95"/>
      <c r="G112" s="141"/>
      <c r="H112" s="118"/>
      <c r="I112" s="95"/>
      <c r="J112" s="95"/>
      <c r="K112" s="103"/>
      <c r="L112" s="162"/>
      <c r="M112" s="108"/>
      <c r="N112" s="95"/>
      <c r="O112" s="95"/>
      <c r="P112" s="92"/>
      <c r="Q112" s="92"/>
      <c r="R112" s="108"/>
      <c r="S112" s="146"/>
      <c r="T112" s="108"/>
      <c r="U112" s="163"/>
      <c r="V112" s="103"/>
      <c r="W112" s="166" t="s">
        <v>19</v>
      </c>
      <c r="X112" s="141">
        <f t="shared" si="117"/>
        <v>0</v>
      </c>
      <c r="Y112" s="141">
        <f t="shared" si="118"/>
        <v>0</v>
      </c>
      <c r="Z112" s="141">
        <v>3.12</v>
      </c>
      <c r="AA112" s="108"/>
      <c r="AB112" s="108">
        <f t="shared" si="125"/>
        <v>3.12</v>
      </c>
      <c r="AC112" s="141">
        <f t="shared" si="126"/>
        <v>3.12</v>
      </c>
      <c r="AD112" s="103"/>
      <c r="AE112" s="92"/>
      <c r="AF112" s="108"/>
    </row>
    <row r="113" spans="2:35" ht="15.75" customHeight="1">
      <c r="B113" s="85"/>
      <c r="C113" s="85"/>
      <c r="D113" s="85"/>
      <c r="E113" s="85"/>
      <c r="F113" s="85"/>
      <c r="G113" s="85"/>
      <c r="H113" s="85"/>
      <c r="I113" s="85"/>
      <c r="J113" s="189">
        <f>SUM(J12:J112)</f>
        <v>1286.7400000000007</v>
      </c>
      <c r="K113" s="85"/>
      <c r="L113" s="85"/>
      <c r="M113" s="87"/>
      <c r="N113" s="189">
        <f>SUM(N12:N112)</f>
        <v>1299.0199999999995</v>
      </c>
      <c r="O113" s="87"/>
      <c r="P113" s="87"/>
      <c r="Q113" s="85"/>
      <c r="R113" s="189">
        <f>SUM(R12:R112)</f>
        <v>3666.4064999999987</v>
      </c>
      <c r="S113" s="155"/>
      <c r="T113" s="155"/>
      <c r="U113" s="189">
        <f>SUM(U12:U112)</f>
        <v>1294.7499999999998</v>
      </c>
      <c r="V113" s="85"/>
      <c r="W113" s="85"/>
      <c r="X113" s="85"/>
      <c r="Y113" s="85"/>
      <c r="Z113" s="85"/>
      <c r="AA113" s="85"/>
      <c r="AB113" s="85"/>
      <c r="AC113" s="189">
        <f>SUM(AC12:AC112)</f>
        <v>1521.8700000000003</v>
      </c>
      <c r="AD113" s="85"/>
      <c r="AE113" s="85"/>
      <c r="AF113" s="189">
        <f>SUM(AF12:AF14,AF15,AF16:AF19,AF20:AF68,AF69:AF74,AF75:AF79,AF80:AF86,AF87:AF96,AF98:AF99,AF100:AF106,AF107,AF110)</f>
        <v>1235.3699999999997</v>
      </c>
    </row>
    <row r="114" spans="2:35" ht="15.75" customHeight="1">
      <c r="B114" s="25" t="s">
        <v>5</v>
      </c>
      <c r="G114" s="26"/>
      <c r="J114" s="26"/>
      <c r="L114" s="15"/>
      <c r="M114" s="26"/>
      <c r="N114" s="26"/>
      <c r="O114" s="26"/>
      <c r="P114" s="26"/>
      <c r="U114" s="27"/>
    </row>
    <row r="115" spans="2:35" ht="15.75" customHeight="1">
      <c r="B115" s="25"/>
      <c r="J115" s="26"/>
      <c r="M115" s="26"/>
      <c r="N115" s="26"/>
      <c r="O115" s="26"/>
      <c r="P115" s="26"/>
    </row>
    <row r="116" spans="2:35" ht="15.75" customHeight="1">
      <c r="B116" s="205" t="s">
        <v>3</v>
      </c>
      <c r="C116" s="83"/>
      <c r="D116" s="83"/>
      <c r="E116" s="83"/>
      <c r="F116" s="83"/>
      <c r="G116" s="83"/>
      <c r="H116" s="83"/>
      <c r="I116" s="83"/>
      <c r="J116" s="170"/>
      <c r="K116" s="83"/>
      <c r="L116" s="83"/>
      <c r="M116" s="205" t="s">
        <v>2</v>
      </c>
      <c r="N116" s="83"/>
      <c r="O116" s="170"/>
      <c r="P116" s="170"/>
      <c r="Q116" s="83"/>
      <c r="R116" s="83"/>
      <c r="S116" s="83"/>
      <c r="T116" s="83"/>
      <c r="U116" s="83"/>
      <c r="V116" s="83"/>
      <c r="W116" s="80"/>
      <c r="X116" s="205" t="s">
        <v>4</v>
      </c>
      <c r="Y116" s="83"/>
      <c r="Z116" s="83"/>
      <c r="AA116" s="83"/>
      <c r="AB116" s="83"/>
      <c r="AC116" s="83"/>
      <c r="AD116" s="83"/>
      <c r="AE116" s="205" t="s">
        <v>34</v>
      </c>
      <c r="AF116" s="80"/>
      <c r="AG116" s="80"/>
      <c r="AH116" s="80"/>
      <c r="AI116" s="188"/>
    </row>
    <row r="117" spans="2:35" ht="15.75" customHeight="1">
      <c r="B117" s="95" t="s">
        <v>17</v>
      </c>
      <c r="C117" s="218">
        <f>SUMIF(C$12:C$110,B117,J$12:J$110)</f>
        <v>1076.02</v>
      </c>
      <c r="D117" s="83"/>
      <c r="E117" s="83"/>
      <c r="F117" s="83"/>
      <c r="G117" s="83"/>
      <c r="H117" s="83"/>
      <c r="I117" s="83"/>
      <c r="J117" s="170"/>
      <c r="K117" s="83"/>
      <c r="L117" s="83"/>
      <c r="M117" s="206" t="s">
        <v>17</v>
      </c>
      <c r="N117" s="219">
        <f>SUMIF(L$12:L$110,M117,R$12:R$110)</f>
        <v>2119.8710000000001</v>
      </c>
      <c r="O117" s="170"/>
      <c r="P117" s="170"/>
      <c r="Q117" s="83"/>
      <c r="R117" s="83"/>
      <c r="S117" s="83"/>
      <c r="T117" s="83"/>
      <c r="U117" s="83"/>
      <c r="V117" s="83"/>
      <c r="W117" s="80"/>
      <c r="X117" s="208" t="s">
        <v>17</v>
      </c>
      <c r="Y117" s="221">
        <f>SUMIF(W$12:W$112,X117,AC$12:AC$112)</f>
        <v>1076.02</v>
      </c>
      <c r="Z117" s="83"/>
      <c r="AA117" s="83"/>
      <c r="AB117" s="83"/>
      <c r="AC117" s="83"/>
      <c r="AD117" s="83"/>
      <c r="AE117" s="149" t="s">
        <v>39</v>
      </c>
      <c r="AF117" s="324" t="s">
        <v>364</v>
      </c>
      <c r="AG117" s="324"/>
      <c r="AH117" s="324"/>
      <c r="AI117" s="118" t="s">
        <v>365</v>
      </c>
    </row>
    <row r="118" spans="2:35" ht="31.95" customHeight="1">
      <c r="B118" s="95" t="s">
        <v>18</v>
      </c>
      <c r="C118" s="218">
        <f t="shared" ref="C118:C130" si="127">SUMIF(C$12:C$110,B118,J$12:J$110)</f>
        <v>0</v>
      </c>
      <c r="D118" s="83"/>
      <c r="E118" s="83"/>
      <c r="F118" s="83"/>
      <c r="G118" s="83"/>
      <c r="H118" s="83"/>
      <c r="I118" s="83"/>
      <c r="J118" s="170"/>
      <c r="K118" s="83"/>
      <c r="L118" s="83"/>
      <c r="M118" s="206" t="s">
        <v>18</v>
      </c>
      <c r="N118" s="219">
        <f t="shared" ref="N118:N136" si="128">SUMIF(L$12:L$110,M118,R$12:R$110)</f>
        <v>376.22300000000001</v>
      </c>
      <c r="O118" s="170"/>
      <c r="P118" s="170"/>
      <c r="Q118" s="83"/>
      <c r="R118" s="83"/>
      <c r="S118" s="83"/>
      <c r="T118" s="83"/>
      <c r="U118" s="83"/>
      <c r="V118" s="83"/>
      <c r="W118" s="80"/>
      <c r="X118" s="208" t="s">
        <v>18</v>
      </c>
      <c r="Y118" s="221">
        <f t="shared" ref="Y118:Y126" si="129">SUMIF(W$12:W$112,X118,AC$12:AC$112)</f>
        <v>79.499999999999972</v>
      </c>
      <c r="Z118" s="83"/>
      <c r="AA118" s="83"/>
      <c r="AB118" s="83"/>
      <c r="AC118" s="83"/>
      <c r="AD118" s="83"/>
      <c r="AE118" s="149" t="s">
        <v>357</v>
      </c>
      <c r="AF118" s="323" t="s">
        <v>363</v>
      </c>
      <c r="AG118" s="323"/>
      <c r="AH118" s="323"/>
      <c r="AI118" s="95">
        <f>AF113</f>
        <v>1235.3699999999997</v>
      </c>
    </row>
    <row r="119" spans="2:35" ht="15.75" customHeight="1">
      <c r="B119" s="95" t="s">
        <v>19</v>
      </c>
      <c r="C119" s="218">
        <f t="shared" si="127"/>
        <v>0</v>
      </c>
      <c r="D119" s="83"/>
      <c r="E119" s="83"/>
      <c r="F119" s="83"/>
      <c r="G119" s="83"/>
      <c r="H119" s="83"/>
      <c r="I119" s="83"/>
      <c r="J119" s="170"/>
      <c r="K119" s="83"/>
      <c r="L119" s="83"/>
      <c r="M119" s="206" t="s">
        <v>19</v>
      </c>
      <c r="N119" s="219">
        <f t="shared" si="128"/>
        <v>628.82999999999993</v>
      </c>
      <c r="O119" s="170"/>
      <c r="P119" s="170"/>
      <c r="Q119" s="83"/>
      <c r="R119" s="83"/>
      <c r="S119" s="83"/>
      <c r="T119" s="83"/>
      <c r="U119" s="83"/>
      <c r="V119" s="83"/>
      <c r="W119" s="80"/>
      <c r="X119" s="208" t="s">
        <v>19</v>
      </c>
      <c r="Y119" s="221">
        <f t="shared" si="129"/>
        <v>100.14000000000003</v>
      </c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</row>
    <row r="120" spans="2:35" ht="15.75" customHeight="1">
      <c r="B120" s="95" t="s">
        <v>20</v>
      </c>
      <c r="C120" s="218">
        <f t="shared" si="127"/>
        <v>66.349999999999994</v>
      </c>
      <c r="D120" s="83"/>
      <c r="E120" s="83"/>
      <c r="F120" s="83"/>
      <c r="G120" s="83"/>
      <c r="H120" s="83"/>
      <c r="I120" s="83"/>
      <c r="J120" s="170"/>
      <c r="K120" s="83"/>
      <c r="L120" s="83"/>
      <c r="M120" s="206" t="s">
        <v>20</v>
      </c>
      <c r="N120" s="219">
        <f t="shared" si="128"/>
        <v>68.040000000000006</v>
      </c>
      <c r="O120" s="170"/>
      <c r="P120" s="170"/>
      <c r="Q120" s="83"/>
      <c r="R120" s="83"/>
      <c r="S120" s="83"/>
      <c r="T120" s="83"/>
      <c r="U120" s="83"/>
      <c r="V120" s="83"/>
      <c r="W120" s="80"/>
      <c r="X120" s="208" t="s">
        <v>20</v>
      </c>
      <c r="Y120" s="221">
        <f t="shared" si="129"/>
        <v>111.8</v>
      </c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</row>
    <row r="121" spans="2:35" ht="15.75" customHeight="1">
      <c r="B121" s="95" t="s">
        <v>21</v>
      </c>
      <c r="C121" s="218">
        <f t="shared" si="127"/>
        <v>0</v>
      </c>
      <c r="D121" s="83"/>
      <c r="E121" s="191"/>
      <c r="F121" s="83"/>
      <c r="G121" s="83"/>
      <c r="H121" s="83"/>
      <c r="I121" s="83"/>
      <c r="J121" s="170"/>
      <c r="K121" s="83"/>
      <c r="L121" s="83"/>
      <c r="M121" s="206" t="s">
        <v>21</v>
      </c>
      <c r="N121" s="219">
        <f t="shared" si="128"/>
        <v>0</v>
      </c>
      <c r="O121" s="170"/>
      <c r="P121" s="170"/>
      <c r="Q121" s="83"/>
      <c r="R121" s="83"/>
      <c r="S121" s="83"/>
      <c r="T121" s="83"/>
      <c r="U121" s="83"/>
      <c r="V121" s="83"/>
      <c r="W121" s="80"/>
      <c r="X121" s="208" t="s">
        <v>21</v>
      </c>
      <c r="Y121" s="221">
        <f t="shared" si="129"/>
        <v>0</v>
      </c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</row>
    <row r="122" spans="2:35" ht="15.75" customHeight="1">
      <c r="B122" s="95" t="s">
        <v>22</v>
      </c>
      <c r="C122" s="218">
        <f t="shared" si="127"/>
        <v>13.15</v>
      </c>
      <c r="D122" s="83"/>
      <c r="E122" s="83"/>
      <c r="F122" s="83"/>
      <c r="G122" s="83"/>
      <c r="H122" s="83"/>
      <c r="I122" s="83"/>
      <c r="J122" s="170"/>
      <c r="K122" s="83"/>
      <c r="L122" s="83"/>
      <c r="M122" s="206" t="s">
        <v>22</v>
      </c>
      <c r="N122" s="219">
        <f t="shared" si="128"/>
        <v>0</v>
      </c>
      <c r="O122" s="170"/>
      <c r="P122" s="170"/>
      <c r="Q122" s="83"/>
      <c r="R122" s="83"/>
      <c r="S122" s="83"/>
      <c r="T122" s="83"/>
      <c r="U122" s="83"/>
      <c r="V122" s="83"/>
      <c r="W122" s="80"/>
      <c r="X122" s="208" t="s">
        <v>22</v>
      </c>
      <c r="Y122" s="221">
        <f t="shared" si="129"/>
        <v>0</v>
      </c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</row>
    <row r="123" spans="2:35" ht="15.75" customHeight="1">
      <c r="B123" s="95" t="s">
        <v>23</v>
      </c>
      <c r="C123" s="218">
        <f t="shared" si="127"/>
        <v>0</v>
      </c>
      <c r="D123" s="83"/>
      <c r="E123" s="83"/>
      <c r="F123" s="83"/>
      <c r="G123" s="83"/>
      <c r="H123" s="83"/>
      <c r="I123" s="83"/>
      <c r="J123" s="170"/>
      <c r="K123" s="83"/>
      <c r="L123" s="83"/>
      <c r="M123" s="206" t="s">
        <v>23</v>
      </c>
      <c r="N123" s="219">
        <f t="shared" si="128"/>
        <v>0</v>
      </c>
      <c r="O123" s="170"/>
      <c r="P123" s="170"/>
      <c r="Q123" s="83"/>
      <c r="R123" s="83"/>
      <c r="S123" s="83"/>
      <c r="T123" s="83"/>
      <c r="U123" s="83"/>
      <c r="V123" s="83"/>
      <c r="W123" s="80"/>
      <c r="X123" s="208" t="s">
        <v>23</v>
      </c>
      <c r="Y123" s="221">
        <f t="shared" si="129"/>
        <v>0</v>
      </c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</row>
    <row r="124" spans="2:35" ht="15.75" customHeight="1">
      <c r="B124" s="95" t="s">
        <v>24</v>
      </c>
      <c r="C124" s="218">
        <f t="shared" si="127"/>
        <v>131.22</v>
      </c>
      <c r="D124" s="83"/>
      <c r="E124" s="83"/>
      <c r="F124" s="83"/>
      <c r="G124" s="83"/>
      <c r="H124" s="83"/>
      <c r="I124" s="83"/>
      <c r="J124" s="170"/>
      <c r="K124" s="83"/>
      <c r="L124" s="83"/>
      <c r="M124" s="206" t="s">
        <v>24</v>
      </c>
      <c r="N124" s="219">
        <f t="shared" si="128"/>
        <v>308.90999999999997</v>
      </c>
      <c r="O124" s="170"/>
      <c r="P124" s="170"/>
      <c r="Q124" s="83"/>
      <c r="R124" s="83"/>
      <c r="S124" s="83"/>
      <c r="T124" s="83"/>
      <c r="U124" s="83"/>
      <c r="V124" s="83"/>
      <c r="W124" s="80"/>
      <c r="X124" s="208" t="s">
        <v>24</v>
      </c>
      <c r="Y124" s="221">
        <f t="shared" si="129"/>
        <v>154.41</v>
      </c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</row>
    <row r="125" spans="2:35" ht="15.75" customHeight="1">
      <c r="B125" s="95" t="s">
        <v>25</v>
      </c>
      <c r="C125" s="218">
        <f t="shared" si="127"/>
        <v>0</v>
      </c>
      <c r="D125" s="83"/>
      <c r="E125" s="83"/>
      <c r="F125" s="83"/>
      <c r="G125" s="83"/>
      <c r="H125" s="83"/>
      <c r="I125" s="83"/>
      <c r="J125" s="170"/>
      <c r="K125" s="83"/>
      <c r="L125" s="83"/>
      <c r="M125" s="206" t="s">
        <v>25</v>
      </c>
      <c r="N125" s="219">
        <f t="shared" si="128"/>
        <v>0</v>
      </c>
      <c r="O125" s="170"/>
      <c r="P125" s="170"/>
      <c r="Q125" s="83"/>
      <c r="R125" s="83"/>
      <c r="S125" s="83"/>
      <c r="T125" s="83"/>
      <c r="U125" s="83"/>
      <c r="V125" s="83"/>
      <c r="W125" s="80"/>
      <c r="X125" s="208" t="s">
        <v>25</v>
      </c>
      <c r="Y125" s="221">
        <f t="shared" si="129"/>
        <v>0</v>
      </c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</row>
    <row r="126" spans="2:35" ht="15.75" customHeight="1">
      <c r="B126" s="95" t="s">
        <v>26</v>
      </c>
      <c r="C126" s="218">
        <f t="shared" si="127"/>
        <v>0</v>
      </c>
      <c r="D126" s="83"/>
      <c r="E126" s="83"/>
      <c r="F126" s="83"/>
      <c r="G126" s="83"/>
      <c r="H126" s="83"/>
      <c r="I126" s="83"/>
      <c r="J126" s="170"/>
      <c r="K126" s="83"/>
      <c r="L126" s="83"/>
      <c r="M126" s="206" t="s">
        <v>26</v>
      </c>
      <c r="N126" s="219">
        <f t="shared" si="128"/>
        <v>0</v>
      </c>
      <c r="O126" s="170"/>
      <c r="P126" s="170"/>
      <c r="Q126" s="83"/>
      <c r="R126" s="83"/>
      <c r="S126" s="83"/>
      <c r="T126" s="83"/>
      <c r="U126" s="83"/>
      <c r="V126" s="83"/>
      <c r="W126" s="80"/>
      <c r="X126" s="208" t="s">
        <v>26</v>
      </c>
      <c r="Y126" s="221">
        <f t="shared" si="129"/>
        <v>0</v>
      </c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</row>
    <row r="127" spans="2:35" ht="15.75" customHeight="1">
      <c r="B127" s="95" t="s">
        <v>27</v>
      </c>
      <c r="C127" s="218">
        <f t="shared" si="127"/>
        <v>0</v>
      </c>
      <c r="D127" s="83"/>
      <c r="E127" s="83"/>
      <c r="F127" s="83"/>
      <c r="G127" s="83"/>
      <c r="H127" s="83"/>
      <c r="I127" s="83"/>
      <c r="J127" s="170"/>
      <c r="K127" s="83"/>
      <c r="L127" s="83"/>
      <c r="M127" s="206" t="s">
        <v>27</v>
      </c>
      <c r="N127" s="219">
        <f t="shared" si="128"/>
        <v>0</v>
      </c>
      <c r="O127" s="170"/>
      <c r="P127" s="170"/>
      <c r="Q127" s="83"/>
      <c r="R127" s="83"/>
      <c r="S127" s="83"/>
      <c r="T127" s="83"/>
      <c r="U127" s="83"/>
      <c r="V127" s="83"/>
      <c r="W127" s="80"/>
      <c r="X127" s="187"/>
      <c r="Y127" s="190">
        <f>SUM(Y117:Y126)</f>
        <v>1521.8700000000001</v>
      </c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</row>
    <row r="128" spans="2:35" ht="15.75" customHeight="1">
      <c r="B128" s="95" t="s">
        <v>337</v>
      </c>
      <c r="C128" s="218">
        <f t="shared" si="127"/>
        <v>0</v>
      </c>
      <c r="D128" s="83"/>
      <c r="E128" s="83"/>
      <c r="F128" s="83"/>
      <c r="G128" s="83"/>
      <c r="H128" s="83"/>
      <c r="I128" s="83"/>
      <c r="J128" s="170"/>
      <c r="K128" s="83"/>
      <c r="L128" s="83"/>
      <c r="M128" s="206" t="s">
        <v>337</v>
      </c>
      <c r="N128" s="219">
        <f t="shared" si="128"/>
        <v>0</v>
      </c>
      <c r="O128" s="170"/>
      <c r="P128" s="170"/>
      <c r="Q128" s="83"/>
      <c r="R128" s="83"/>
      <c r="S128" s="83"/>
      <c r="T128" s="83"/>
      <c r="U128" s="83"/>
      <c r="V128" s="83"/>
      <c r="W128" s="80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</row>
    <row r="129" spans="2:35" ht="15.75" customHeight="1">
      <c r="B129" s="95" t="s">
        <v>338</v>
      </c>
      <c r="C129" s="218">
        <f t="shared" si="127"/>
        <v>0</v>
      </c>
      <c r="D129" s="83"/>
      <c r="E129" s="83"/>
      <c r="F129" s="83"/>
      <c r="G129" s="83"/>
      <c r="H129" s="83"/>
      <c r="I129" s="83"/>
      <c r="J129" s="170"/>
      <c r="K129" s="83"/>
      <c r="L129" s="83"/>
      <c r="M129" s="206" t="s">
        <v>338</v>
      </c>
      <c r="N129" s="219">
        <f t="shared" si="128"/>
        <v>0</v>
      </c>
      <c r="O129" s="170"/>
      <c r="P129" s="170"/>
      <c r="Q129" s="83"/>
      <c r="R129" s="83"/>
      <c r="S129" s="83"/>
      <c r="T129" s="83"/>
      <c r="U129" s="83"/>
      <c r="V129" s="83"/>
      <c r="W129" s="80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</row>
    <row r="130" spans="2:35" ht="15.75" customHeight="1">
      <c r="B130" s="95" t="s">
        <v>339</v>
      </c>
      <c r="C130" s="218">
        <f t="shared" si="127"/>
        <v>0</v>
      </c>
      <c r="D130" s="83"/>
      <c r="E130" s="83"/>
      <c r="F130" s="83"/>
      <c r="G130" s="83"/>
      <c r="H130" s="83"/>
      <c r="I130" s="83"/>
      <c r="J130" s="170"/>
      <c r="K130" s="83"/>
      <c r="L130" s="83"/>
      <c r="M130" s="206" t="s">
        <v>339</v>
      </c>
      <c r="N130" s="219">
        <f t="shared" si="128"/>
        <v>0</v>
      </c>
      <c r="O130" s="170"/>
      <c r="P130" s="170"/>
      <c r="Q130" s="83"/>
      <c r="R130" s="83"/>
      <c r="S130" s="83"/>
      <c r="T130" s="83"/>
      <c r="U130" s="83"/>
      <c r="V130" s="83"/>
      <c r="W130" s="80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</row>
    <row r="131" spans="2:35" ht="15.75" customHeight="1">
      <c r="B131" s="210"/>
      <c r="C131" s="211">
        <f>SUM(C117:C130)</f>
        <v>1286.74</v>
      </c>
      <c r="D131" s="170"/>
      <c r="E131" s="83"/>
      <c r="F131" s="83"/>
      <c r="G131" s="83"/>
      <c r="H131" s="83"/>
      <c r="I131" s="83"/>
      <c r="J131" s="170"/>
      <c r="K131" s="83"/>
      <c r="L131" s="83"/>
      <c r="M131" s="206" t="s">
        <v>28</v>
      </c>
      <c r="N131" s="219">
        <f t="shared" si="128"/>
        <v>0</v>
      </c>
      <c r="O131" s="170"/>
      <c r="P131" s="170"/>
      <c r="Q131" s="83"/>
      <c r="R131" s="83"/>
      <c r="S131" s="83"/>
      <c r="T131" s="83"/>
      <c r="U131" s="83"/>
      <c r="V131" s="83"/>
      <c r="W131" s="80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</row>
    <row r="132" spans="2:35" ht="15.75" customHeight="1">
      <c r="B132" s="187"/>
      <c r="C132" s="83"/>
      <c r="D132" s="83"/>
      <c r="E132" s="83"/>
      <c r="F132" s="83"/>
      <c r="G132" s="83"/>
      <c r="H132" s="83"/>
      <c r="I132" s="83"/>
      <c r="J132" s="170"/>
      <c r="K132" s="83"/>
      <c r="L132" s="83"/>
      <c r="M132" s="206" t="s">
        <v>29</v>
      </c>
      <c r="N132" s="219">
        <f t="shared" si="128"/>
        <v>0</v>
      </c>
      <c r="O132" s="170"/>
      <c r="P132" s="170"/>
      <c r="Q132" s="83"/>
      <c r="R132" s="83"/>
      <c r="S132" s="83"/>
      <c r="T132" s="83"/>
      <c r="U132" s="83"/>
      <c r="V132" s="83"/>
      <c r="W132" s="80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</row>
    <row r="133" spans="2:35" ht="15.75" customHeight="1">
      <c r="B133" s="187"/>
      <c r="C133" s="83"/>
      <c r="D133" s="83"/>
      <c r="E133" s="83"/>
      <c r="F133" s="83"/>
      <c r="G133" s="83"/>
      <c r="H133" s="83"/>
      <c r="I133" s="83"/>
      <c r="J133" s="170"/>
      <c r="K133" s="83"/>
      <c r="L133" s="83"/>
      <c r="M133" s="206" t="s">
        <v>30</v>
      </c>
      <c r="N133" s="219">
        <f t="shared" si="128"/>
        <v>0</v>
      </c>
      <c r="O133" s="170"/>
      <c r="P133" s="170"/>
      <c r="Q133" s="83"/>
      <c r="R133" s="83"/>
      <c r="S133" s="83"/>
      <c r="T133" s="83"/>
      <c r="U133" s="83"/>
      <c r="V133" s="83"/>
      <c r="W133" s="80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</row>
    <row r="134" spans="2:35" ht="15.75" customHeight="1">
      <c r="B134" s="187"/>
      <c r="C134" s="83"/>
      <c r="D134" s="83"/>
      <c r="E134" s="83"/>
      <c r="F134" s="83"/>
      <c r="G134" s="83"/>
      <c r="H134" s="83"/>
      <c r="I134" s="83"/>
      <c r="J134" s="170"/>
      <c r="K134" s="83"/>
      <c r="L134" s="83"/>
      <c r="M134" s="206" t="s">
        <v>340</v>
      </c>
      <c r="N134" s="219">
        <f t="shared" si="128"/>
        <v>0</v>
      </c>
      <c r="O134" s="170"/>
      <c r="P134" s="170"/>
      <c r="Q134" s="83"/>
      <c r="R134" s="83"/>
      <c r="S134" s="83"/>
      <c r="T134" s="83"/>
      <c r="U134" s="83"/>
      <c r="V134" s="83"/>
      <c r="W134" s="80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</row>
    <row r="135" spans="2:35" ht="15.75" customHeight="1">
      <c r="B135" s="187"/>
      <c r="C135" s="83"/>
      <c r="D135" s="83"/>
      <c r="E135" s="83"/>
      <c r="F135" s="83"/>
      <c r="G135" s="83"/>
      <c r="H135" s="83"/>
      <c r="I135" s="83"/>
      <c r="J135" s="170"/>
      <c r="K135" s="83"/>
      <c r="L135" s="83"/>
      <c r="M135" s="206" t="s">
        <v>341</v>
      </c>
      <c r="N135" s="219">
        <f t="shared" si="128"/>
        <v>164.5325</v>
      </c>
      <c r="O135" s="170"/>
      <c r="P135" s="170"/>
      <c r="Q135" s="83"/>
      <c r="R135" s="83"/>
      <c r="S135" s="83"/>
      <c r="T135" s="83"/>
      <c r="U135" s="83"/>
      <c r="V135" s="83"/>
      <c r="W135" s="80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</row>
    <row r="136" spans="2:35" ht="15.75" customHeight="1">
      <c r="B136" s="187"/>
      <c r="C136" s="83"/>
      <c r="D136" s="83"/>
      <c r="E136" s="83"/>
      <c r="F136" s="83"/>
      <c r="G136" s="83"/>
      <c r="H136" s="83"/>
      <c r="I136" s="83"/>
      <c r="J136" s="170"/>
      <c r="K136" s="83"/>
      <c r="L136" s="83"/>
      <c r="M136" s="206" t="s">
        <v>31</v>
      </c>
      <c r="N136" s="219">
        <f t="shared" si="128"/>
        <v>0</v>
      </c>
      <c r="O136" s="170"/>
      <c r="P136" s="170"/>
      <c r="Q136" s="83"/>
      <c r="R136" s="83"/>
      <c r="S136" s="83"/>
      <c r="T136" s="83"/>
      <c r="U136" s="83"/>
      <c r="V136" s="83"/>
      <c r="W136" s="80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</row>
    <row r="137" spans="2:35" ht="15.75" customHeight="1">
      <c r="B137" s="187"/>
      <c r="C137" s="83"/>
      <c r="D137" s="83"/>
      <c r="E137" s="83"/>
      <c r="F137" s="83"/>
      <c r="G137" s="83"/>
      <c r="H137" s="83"/>
      <c r="I137" s="83"/>
      <c r="J137" s="170"/>
      <c r="K137" s="83"/>
      <c r="L137" s="83"/>
      <c r="M137" s="187"/>
      <c r="N137" s="190">
        <f>SUM(N117:N136)</f>
        <v>3666.4064999999996</v>
      </c>
      <c r="O137" s="170"/>
      <c r="P137" s="170"/>
      <c r="Q137" s="83"/>
      <c r="R137" s="83"/>
      <c r="S137" s="83"/>
      <c r="T137" s="83"/>
      <c r="U137" s="83"/>
      <c r="V137" s="83"/>
      <c r="W137" s="80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</row>
    <row r="138" spans="2:35" ht="15.75" customHeight="1">
      <c r="B138" s="205" t="s">
        <v>33</v>
      </c>
      <c r="C138" s="80"/>
      <c r="D138" s="80"/>
      <c r="E138" s="80"/>
      <c r="F138" s="188"/>
      <c r="G138" s="83"/>
      <c r="H138" s="83"/>
      <c r="I138" s="83"/>
      <c r="J138" s="170"/>
      <c r="K138" s="83"/>
      <c r="L138" s="83"/>
      <c r="M138" s="170"/>
      <c r="N138" s="170"/>
      <c r="O138" s="170"/>
      <c r="P138" s="170"/>
      <c r="Q138" s="83"/>
      <c r="R138" s="83"/>
      <c r="S138" s="83"/>
      <c r="T138" s="83"/>
      <c r="U138" s="83"/>
      <c r="V138" s="83"/>
      <c r="W138" s="80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</row>
    <row r="139" spans="2:35" ht="15.75" customHeight="1">
      <c r="B139" s="187"/>
      <c r="C139" s="80"/>
      <c r="D139" s="80"/>
      <c r="E139" s="80"/>
      <c r="F139" s="188"/>
      <c r="G139" s="83"/>
      <c r="H139" s="83"/>
      <c r="I139" s="83"/>
      <c r="J139" s="170"/>
      <c r="K139" s="83"/>
      <c r="L139" s="83"/>
      <c r="M139" s="170"/>
      <c r="N139" s="170"/>
      <c r="O139" s="170"/>
      <c r="P139" s="170"/>
      <c r="Q139" s="83"/>
      <c r="R139" s="83"/>
      <c r="S139" s="83"/>
      <c r="T139" s="83"/>
      <c r="U139" s="83"/>
      <c r="V139" s="83"/>
      <c r="W139" s="80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</row>
    <row r="140" spans="2:35" ht="60" customHeight="1">
      <c r="B140" s="212" t="s">
        <v>357</v>
      </c>
      <c r="C140" s="323" t="s">
        <v>359</v>
      </c>
      <c r="D140" s="323"/>
      <c r="E140" s="323"/>
      <c r="F140" s="213">
        <f>SUM(U20,U24,U26,U37,U44,U47,U48,U50,U51,U52,U53,U54,U57,U58,U59,U60,U61,U62,U64,U65,U67,U72,U87,U90,U93:U95,U101:U103,U107)</f>
        <v>547.7399999999999</v>
      </c>
      <c r="G140" s="83"/>
      <c r="H140" s="191"/>
      <c r="I140" s="83"/>
      <c r="J140" s="170"/>
      <c r="K140" s="83"/>
      <c r="L140" s="83"/>
      <c r="M140" s="170"/>
      <c r="N140" s="170"/>
      <c r="O140" s="170"/>
      <c r="P140" s="170"/>
      <c r="Q140" s="83"/>
      <c r="R140" s="83"/>
      <c r="S140" s="83"/>
      <c r="T140" s="83"/>
      <c r="U140" s="83"/>
      <c r="V140" s="83"/>
      <c r="W140" s="80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</row>
    <row r="141" spans="2:35" ht="60" customHeight="1">
      <c r="B141" s="212" t="s">
        <v>366</v>
      </c>
      <c r="C141" s="323" t="s">
        <v>360</v>
      </c>
      <c r="D141" s="323"/>
      <c r="E141" s="323"/>
      <c r="F141" s="213">
        <f>SUM(U16,U17,U55:U56,U76,U77,U78,U83:U86,U98:U99,U105:U106)</f>
        <v>138.61000000000001</v>
      </c>
      <c r="G141" s="83"/>
      <c r="H141" s="191"/>
      <c r="I141" s="83"/>
      <c r="J141" s="170"/>
      <c r="K141" s="83"/>
      <c r="L141" s="83"/>
      <c r="M141" s="170"/>
      <c r="N141" s="170"/>
      <c r="O141" s="170"/>
      <c r="P141" s="170"/>
      <c r="Q141" s="83"/>
      <c r="R141" s="83"/>
      <c r="S141" s="83"/>
      <c r="T141" s="83"/>
      <c r="U141" s="83"/>
      <c r="V141" s="83"/>
      <c r="W141" s="80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</row>
    <row r="142" spans="2:35" ht="40.049999999999997" customHeight="1">
      <c r="B142" s="212" t="s">
        <v>358</v>
      </c>
      <c r="C142" s="323" t="s">
        <v>361</v>
      </c>
      <c r="D142" s="323"/>
      <c r="E142" s="323"/>
      <c r="F142" s="213"/>
      <c r="G142" s="83"/>
      <c r="H142" s="191"/>
      <c r="I142" s="83"/>
      <c r="J142" s="170"/>
      <c r="K142" s="83"/>
      <c r="L142" s="83"/>
      <c r="M142" s="170"/>
      <c r="N142" s="170"/>
      <c r="O142" s="170"/>
      <c r="P142" s="170"/>
      <c r="Q142" s="83"/>
      <c r="R142" s="83"/>
      <c r="S142" s="83"/>
      <c r="T142" s="83"/>
      <c r="U142" s="83"/>
      <c r="V142" s="83"/>
      <c r="W142" s="80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</row>
    <row r="143" spans="2:35" ht="60" customHeight="1">
      <c r="B143" s="212" t="s">
        <v>356</v>
      </c>
      <c r="C143" s="323" t="s">
        <v>362</v>
      </c>
      <c r="D143" s="323"/>
      <c r="E143" s="323"/>
      <c r="F143" s="213">
        <f>SUM(U23,U25,U27,U108)</f>
        <v>84.580000000000013</v>
      </c>
      <c r="G143" s="83"/>
      <c r="H143" s="191"/>
      <c r="I143" s="83"/>
      <c r="J143" s="170"/>
      <c r="K143" s="83"/>
      <c r="L143" s="83"/>
      <c r="M143" s="170"/>
      <c r="N143" s="170"/>
      <c r="O143" s="170"/>
      <c r="P143" s="170"/>
      <c r="Q143" s="83"/>
      <c r="R143" s="83"/>
      <c r="S143" s="83"/>
      <c r="T143" s="83"/>
      <c r="U143" s="83"/>
      <c r="V143" s="83"/>
      <c r="W143" s="80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</row>
    <row r="144" spans="2:35" ht="60" customHeight="1">
      <c r="B144" s="212" t="s">
        <v>530</v>
      </c>
      <c r="C144" s="323" t="s">
        <v>532</v>
      </c>
      <c r="D144" s="323"/>
      <c r="E144" s="323"/>
      <c r="F144" s="213">
        <f>SUM(U12:U14,U15,U29:U34,U36,U38,U41,U43,U69,U75,U79,U80,U81,U82,U88,U91,U96,U100,U110)</f>
        <v>523.81999999999994</v>
      </c>
      <c r="G144" s="83"/>
      <c r="H144" s="191"/>
      <c r="I144" s="83"/>
      <c r="J144" s="170"/>
      <c r="K144" s="83"/>
      <c r="L144" s="83"/>
      <c r="M144" s="170"/>
      <c r="N144" s="170"/>
      <c r="O144" s="170"/>
      <c r="P144" s="170"/>
      <c r="Q144" s="83"/>
      <c r="R144" s="83"/>
      <c r="S144" s="83"/>
      <c r="T144" s="83"/>
      <c r="U144" s="83"/>
      <c r="V144" s="83"/>
      <c r="W144" s="80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</row>
    <row r="145" spans="2:35" ht="15.75" customHeight="1">
      <c r="B145" s="187"/>
      <c r="C145" s="80"/>
      <c r="D145" s="80"/>
      <c r="E145" s="80"/>
      <c r="F145" s="214">
        <f>SUM(F140:F144)</f>
        <v>1294.75</v>
      </c>
      <c r="G145" s="83"/>
      <c r="H145" s="83"/>
      <c r="I145" s="83"/>
      <c r="J145" s="170"/>
      <c r="K145" s="83"/>
      <c r="L145" s="83"/>
      <c r="M145" s="170"/>
      <c r="N145" s="170"/>
      <c r="O145" s="170"/>
      <c r="P145" s="170"/>
      <c r="Q145" s="83"/>
      <c r="R145" s="83"/>
      <c r="S145" s="83"/>
      <c r="T145" s="83"/>
      <c r="U145" s="83"/>
      <c r="V145" s="83"/>
      <c r="W145" s="80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</row>
    <row r="146" spans="2:35" ht="15.75" customHeight="1">
      <c r="B146" s="187"/>
      <c r="C146" s="83"/>
      <c r="D146" s="83"/>
      <c r="E146" s="83"/>
      <c r="F146" s="83"/>
      <c r="G146" s="83"/>
      <c r="H146" s="83"/>
      <c r="I146" s="83"/>
      <c r="J146" s="170"/>
      <c r="K146" s="83"/>
      <c r="L146" s="83"/>
      <c r="M146" s="170"/>
      <c r="N146" s="170"/>
      <c r="O146" s="170"/>
      <c r="P146" s="170"/>
      <c r="Q146" s="83"/>
      <c r="R146" s="83"/>
      <c r="S146" s="83"/>
      <c r="T146" s="83"/>
      <c r="U146" s="83"/>
      <c r="V146" s="83"/>
      <c r="W146" s="80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</row>
    <row r="147" spans="2:35" ht="15.75" customHeight="1">
      <c r="B147" s="187"/>
      <c r="C147" s="83"/>
      <c r="D147" s="83"/>
      <c r="E147" s="83"/>
      <c r="F147" s="83"/>
      <c r="G147" s="83"/>
      <c r="H147" s="83"/>
      <c r="I147" s="83"/>
      <c r="J147" s="170"/>
      <c r="K147" s="83"/>
      <c r="L147" s="83"/>
      <c r="M147" s="170"/>
      <c r="N147" s="170"/>
      <c r="O147" s="170"/>
      <c r="P147" s="170"/>
      <c r="Q147" s="83"/>
      <c r="R147" s="83"/>
      <c r="S147" s="83"/>
      <c r="T147" s="83"/>
      <c r="U147" s="83"/>
      <c r="V147" s="83"/>
      <c r="W147" s="80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</row>
    <row r="148" spans="2:35" ht="15.75" customHeight="1">
      <c r="B148" s="187"/>
      <c r="C148" s="83"/>
      <c r="D148" s="83"/>
      <c r="E148" s="83"/>
      <c r="F148" s="83"/>
      <c r="G148" s="83"/>
      <c r="H148" s="83"/>
      <c r="I148" s="83"/>
      <c r="J148" s="170"/>
      <c r="K148" s="83"/>
      <c r="L148" s="83"/>
      <c r="M148" s="170"/>
      <c r="N148" s="170"/>
      <c r="O148" s="170"/>
      <c r="P148" s="170"/>
      <c r="Q148" s="83"/>
      <c r="R148" s="83"/>
      <c r="S148" s="83"/>
      <c r="T148" s="83"/>
      <c r="U148" s="83"/>
      <c r="V148" s="83"/>
      <c r="W148" s="80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</row>
    <row r="149" spans="2:35" ht="15.75" customHeight="1">
      <c r="B149" s="187"/>
      <c r="C149" s="83"/>
      <c r="D149" s="83"/>
      <c r="E149" s="83"/>
      <c r="F149" s="83"/>
      <c r="G149" s="83"/>
      <c r="H149" s="83"/>
      <c r="I149" s="83"/>
      <c r="J149" s="170"/>
      <c r="K149" s="83"/>
      <c r="L149" s="83"/>
      <c r="M149" s="170"/>
      <c r="N149" s="170"/>
      <c r="O149" s="170"/>
      <c r="P149" s="170"/>
      <c r="Q149" s="83"/>
      <c r="R149" s="83"/>
      <c r="S149" s="83"/>
      <c r="T149" s="83"/>
      <c r="U149" s="83"/>
      <c r="V149" s="83"/>
      <c r="W149" s="80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</row>
    <row r="150" spans="2:35" ht="15.75" customHeight="1">
      <c r="B150" s="187"/>
      <c r="C150" s="83"/>
      <c r="D150" s="83"/>
      <c r="E150" s="83"/>
      <c r="F150" s="83"/>
      <c r="G150" s="83"/>
      <c r="H150" s="83"/>
      <c r="I150" s="83"/>
      <c r="J150" s="170"/>
      <c r="K150" s="83"/>
      <c r="L150" s="83"/>
      <c r="M150" s="170"/>
      <c r="N150" s="170"/>
      <c r="O150" s="170"/>
      <c r="P150" s="170"/>
      <c r="Q150" s="83"/>
      <c r="R150" s="83"/>
      <c r="S150" s="83"/>
      <c r="T150" s="83"/>
      <c r="U150" s="83"/>
      <c r="V150" s="83"/>
      <c r="W150" s="80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</row>
    <row r="151" spans="2:35" ht="15.75" customHeight="1">
      <c r="B151" s="187"/>
      <c r="C151" s="83"/>
      <c r="D151" s="83"/>
      <c r="E151" s="83"/>
      <c r="F151" s="83"/>
      <c r="G151" s="83"/>
      <c r="H151" s="83"/>
      <c r="I151" s="83"/>
      <c r="J151" s="170"/>
      <c r="K151" s="83"/>
      <c r="L151" s="83"/>
      <c r="M151" s="170"/>
      <c r="N151" s="170"/>
      <c r="O151" s="170"/>
      <c r="P151" s="170"/>
      <c r="Q151" s="83"/>
      <c r="R151" s="83"/>
      <c r="S151" s="83"/>
      <c r="T151" s="83"/>
      <c r="U151" s="83"/>
      <c r="V151" s="83"/>
      <c r="W151" s="80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</row>
    <row r="152" spans="2:35" ht="15.75" customHeight="1">
      <c r="B152" s="187"/>
      <c r="C152" s="83"/>
      <c r="D152" s="83"/>
      <c r="E152" s="83"/>
      <c r="F152" s="83"/>
      <c r="G152" s="83"/>
      <c r="H152" s="83"/>
      <c r="I152" s="83"/>
      <c r="J152" s="170"/>
      <c r="K152" s="83"/>
      <c r="L152" s="83"/>
      <c r="M152" s="170"/>
      <c r="N152" s="170"/>
      <c r="O152" s="170"/>
      <c r="P152" s="170"/>
      <c r="Q152" s="83"/>
      <c r="R152" s="83"/>
      <c r="S152" s="83"/>
      <c r="T152" s="83"/>
      <c r="U152" s="83"/>
      <c r="V152" s="83"/>
      <c r="W152" s="80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</row>
    <row r="153" spans="2:35" ht="15.75" customHeight="1">
      <c r="B153" s="187"/>
      <c r="C153" s="83"/>
      <c r="D153" s="83"/>
      <c r="E153" s="83"/>
      <c r="F153" s="83"/>
      <c r="G153" s="83"/>
      <c r="H153" s="83"/>
      <c r="I153" s="83"/>
      <c r="J153" s="170"/>
      <c r="K153" s="83"/>
      <c r="L153" s="83"/>
      <c r="M153" s="170"/>
      <c r="N153" s="170"/>
      <c r="O153" s="170"/>
      <c r="P153" s="170"/>
      <c r="Q153" s="83"/>
      <c r="R153" s="83"/>
      <c r="S153" s="83"/>
      <c r="T153" s="83"/>
      <c r="U153" s="83"/>
      <c r="V153" s="83"/>
      <c r="W153" s="80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</row>
    <row r="154" spans="2:35" ht="15.75" customHeight="1">
      <c r="B154" s="187"/>
      <c r="C154" s="83"/>
      <c r="D154" s="83"/>
      <c r="E154" s="83"/>
      <c r="F154" s="83"/>
      <c r="G154" s="83"/>
      <c r="H154" s="83"/>
      <c r="I154" s="83"/>
      <c r="J154" s="170"/>
      <c r="K154" s="83"/>
      <c r="L154" s="83"/>
      <c r="M154" s="170"/>
      <c r="N154" s="170"/>
      <c r="O154" s="170"/>
      <c r="P154" s="170"/>
      <c r="Q154" s="83"/>
      <c r="R154" s="83"/>
      <c r="S154" s="83"/>
      <c r="T154" s="83"/>
      <c r="U154" s="83"/>
      <c r="V154" s="83"/>
      <c r="W154" s="80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</row>
    <row r="155" spans="2:35" ht="15.75" customHeight="1">
      <c r="B155" s="187"/>
      <c r="C155" s="83"/>
      <c r="D155" s="170"/>
      <c r="E155" s="83"/>
      <c r="F155" s="83"/>
      <c r="G155" s="83"/>
      <c r="H155" s="83"/>
      <c r="I155" s="83"/>
      <c r="J155" s="170"/>
      <c r="K155" s="83"/>
      <c r="L155" s="83"/>
      <c r="M155" s="170"/>
      <c r="N155" s="170"/>
      <c r="O155" s="170"/>
      <c r="P155" s="170"/>
      <c r="Q155" s="83"/>
      <c r="R155" s="83"/>
      <c r="S155" s="83"/>
      <c r="T155" s="83"/>
      <c r="U155" s="83"/>
      <c r="V155" s="83"/>
      <c r="W155" s="80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</row>
    <row r="156" spans="2:35" ht="15.75" customHeight="1">
      <c r="B156" s="187"/>
      <c r="C156" s="83"/>
      <c r="D156" s="83"/>
      <c r="E156" s="83"/>
      <c r="F156" s="83"/>
      <c r="G156" s="83"/>
      <c r="H156" s="83"/>
      <c r="I156" s="83"/>
      <c r="J156" s="170"/>
      <c r="K156" s="83"/>
      <c r="L156" s="83"/>
      <c r="M156" s="170"/>
      <c r="N156" s="170"/>
      <c r="O156" s="170"/>
      <c r="P156" s="170"/>
      <c r="Q156" s="83"/>
      <c r="R156" s="83"/>
      <c r="S156" s="83"/>
      <c r="T156" s="83"/>
      <c r="U156" s="83"/>
      <c r="V156" s="83"/>
      <c r="W156" s="80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</row>
    <row r="157" spans="2:35" ht="15.75" customHeight="1">
      <c r="B157" s="187"/>
      <c r="C157" s="83"/>
      <c r="D157" s="83"/>
      <c r="E157" s="83"/>
      <c r="F157" s="83"/>
      <c r="G157" s="83"/>
      <c r="H157" s="83"/>
      <c r="I157" s="83"/>
      <c r="J157" s="170"/>
      <c r="K157" s="83"/>
      <c r="L157" s="83"/>
      <c r="M157" s="170"/>
      <c r="N157" s="170"/>
      <c r="O157" s="170"/>
      <c r="P157" s="170"/>
      <c r="Q157" s="83"/>
      <c r="R157" s="83"/>
      <c r="S157" s="83"/>
      <c r="T157" s="83"/>
      <c r="U157" s="83"/>
      <c r="V157" s="83"/>
      <c r="W157" s="80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</row>
    <row r="158" spans="2:35" ht="15.75" customHeight="1">
      <c r="B158" s="187"/>
      <c r="C158" s="83"/>
      <c r="D158" s="83"/>
      <c r="E158" s="83"/>
      <c r="F158" s="83"/>
      <c r="G158" s="83"/>
      <c r="H158" s="83"/>
      <c r="I158" s="83"/>
      <c r="J158" s="170"/>
      <c r="K158" s="83"/>
      <c r="L158" s="83"/>
      <c r="M158" s="170"/>
      <c r="N158" s="170"/>
      <c r="O158" s="170"/>
      <c r="P158" s="170"/>
      <c r="Q158" s="83"/>
      <c r="R158" s="83"/>
      <c r="S158" s="83"/>
      <c r="T158" s="83"/>
      <c r="U158" s="83"/>
      <c r="V158" s="83"/>
      <c r="W158" s="80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</row>
    <row r="159" spans="2:35" ht="15.75" customHeight="1">
      <c r="B159" s="187"/>
      <c r="C159" s="83"/>
      <c r="D159" s="83"/>
      <c r="E159" s="83"/>
      <c r="F159" s="83"/>
      <c r="G159" s="83"/>
      <c r="H159" s="83"/>
      <c r="I159" s="83"/>
      <c r="J159" s="170"/>
      <c r="K159" s="83"/>
      <c r="L159" s="83"/>
      <c r="M159" s="170"/>
      <c r="N159" s="170"/>
      <c r="O159" s="170"/>
      <c r="P159" s="170"/>
      <c r="Q159" s="83"/>
      <c r="R159" s="83"/>
      <c r="S159" s="83"/>
      <c r="T159" s="83"/>
      <c r="U159" s="83"/>
      <c r="V159" s="83"/>
      <c r="W159" s="80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</row>
    <row r="160" spans="2:35" ht="15.75" customHeight="1">
      <c r="B160" s="187"/>
      <c r="C160" s="83"/>
      <c r="D160" s="83"/>
      <c r="E160" s="83"/>
      <c r="F160" s="83"/>
      <c r="G160" s="83"/>
      <c r="H160" s="83"/>
      <c r="I160" s="83"/>
      <c r="J160" s="170"/>
      <c r="K160" s="83"/>
      <c r="L160" s="83"/>
      <c r="M160" s="170"/>
      <c r="N160" s="170"/>
      <c r="O160" s="170"/>
      <c r="P160" s="170"/>
      <c r="Q160" s="83"/>
      <c r="R160" s="83"/>
      <c r="S160" s="83"/>
      <c r="T160" s="83"/>
      <c r="U160" s="83"/>
      <c r="V160" s="83"/>
      <c r="W160" s="80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</row>
    <row r="161" spans="2:35" ht="15.75" customHeight="1">
      <c r="B161" s="187"/>
      <c r="C161" s="83"/>
      <c r="D161" s="83"/>
      <c r="E161" s="83"/>
      <c r="F161" s="83"/>
      <c r="G161" s="191"/>
      <c r="H161" s="83"/>
      <c r="I161" s="83"/>
      <c r="J161" s="170"/>
      <c r="K161" s="83"/>
      <c r="L161" s="83"/>
      <c r="M161" s="170"/>
      <c r="N161" s="170"/>
      <c r="O161" s="170"/>
      <c r="P161" s="170"/>
      <c r="Q161" s="83"/>
      <c r="R161" s="83"/>
      <c r="S161" s="83"/>
      <c r="T161" s="83"/>
      <c r="U161" s="83"/>
      <c r="V161" s="83"/>
      <c r="W161" s="80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</row>
    <row r="162" spans="2:35" ht="15.75" customHeight="1">
      <c r="B162" s="187"/>
      <c r="C162" s="83"/>
      <c r="D162" s="83"/>
      <c r="E162" s="83"/>
      <c r="F162" s="83"/>
      <c r="G162" s="191"/>
      <c r="H162" s="83"/>
      <c r="I162" s="83"/>
      <c r="J162" s="170"/>
      <c r="K162" s="83"/>
      <c r="L162" s="83"/>
      <c r="M162" s="170"/>
      <c r="N162" s="170"/>
      <c r="O162" s="170"/>
      <c r="P162" s="170"/>
      <c r="Q162" s="83"/>
      <c r="R162" s="83"/>
      <c r="S162" s="83"/>
      <c r="T162" s="83"/>
      <c r="U162" s="83"/>
      <c r="V162" s="83"/>
      <c r="W162" s="80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</row>
    <row r="163" spans="2:35" ht="15.75" customHeight="1">
      <c r="B163" s="187"/>
      <c r="C163" s="83"/>
      <c r="D163" s="83"/>
      <c r="E163" s="83"/>
      <c r="F163" s="83"/>
      <c r="G163" s="191"/>
      <c r="H163" s="83"/>
      <c r="I163" s="83"/>
      <c r="J163" s="170"/>
      <c r="K163" s="83"/>
      <c r="L163" s="83"/>
      <c r="M163" s="170"/>
      <c r="N163" s="170"/>
      <c r="O163" s="170"/>
      <c r="P163" s="170"/>
      <c r="Q163" s="83"/>
      <c r="R163" s="83"/>
      <c r="S163" s="83"/>
      <c r="T163" s="83"/>
      <c r="U163" s="83"/>
      <c r="V163" s="83"/>
      <c r="W163" s="80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</row>
    <row r="164" spans="2:35" ht="15.75" customHeight="1">
      <c r="B164" s="187"/>
      <c r="C164" s="83"/>
      <c r="D164" s="83"/>
      <c r="E164" s="83"/>
      <c r="F164" s="83"/>
      <c r="G164" s="191"/>
      <c r="H164" s="83"/>
      <c r="I164" s="83"/>
      <c r="J164" s="170"/>
      <c r="K164" s="83"/>
      <c r="L164" s="83"/>
      <c r="M164" s="170"/>
      <c r="N164" s="170"/>
      <c r="O164" s="170"/>
      <c r="P164" s="170"/>
      <c r="Q164" s="83"/>
      <c r="R164" s="83"/>
      <c r="S164" s="83"/>
      <c r="T164" s="83"/>
      <c r="U164" s="83"/>
      <c r="V164" s="83"/>
      <c r="W164" s="80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</row>
    <row r="165" spans="2:35" ht="15.75" customHeight="1">
      <c r="B165" s="187"/>
      <c r="C165" s="83"/>
      <c r="D165" s="83"/>
      <c r="E165" s="83"/>
      <c r="F165" s="83"/>
      <c r="G165" s="191"/>
      <c r="H165" s="83"/>
      <c r="I165" s="83"/>
      <c r="J165" s="170"/>
      <c r="K165" s="83"/>
      <c r="L165" s="83"/>
      <c r="M165" s="170"/>
      <c r="N165" s="170"/>
      <c r="O165" s="170"/>
      <c r="P165" s="170"/>
      <c r="Q165" s="83"/>
      <c r="R165" s="83"/>
      <c r="S165" s="83"/>
      <c r="T165" s="83"/>
      <c r="U165" s="83"/>
      <c r="V165" s="83"/>
      <c r="W165" s="80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</row>
    <row r="166" spans="2:35" ht="15.75" customHeight="1">
      <c r="B166" s="187"/>
      <c r="C166" s="83"/>
      <c r="D166" s="83"/>
      <c r="E166" s="83"/>
      <c r="F166" s="83"/>
      <c r="G166" s="191"/>
      <c r="H166" s="83"/>
      <c r="I166" s="83"/>
      <c r="J166" s="170"/>
      <c r="K166" s="83"/>
      <c r="L166" s="83"/>
      <c r="M166" s="170"/>
      <c r="N166" s="170"/>
      <c r="O166" s="170"/>
      <c r="P166" s="170"/>
      <c r="Q166" s="83"/>
      <c r="R166" s="83"/>
      <c r="S166" s="83"/>
      <c r="T166" s="83"/>
      <c r="U166" s="83"/>
      <c r="V166" s="83"/>
      <c r="W166" s="80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</row>
    <row r="167" spans="2:35" ht="15.75" customHeight="1">
      <c r="B167" s="187"/>
      <c r="C167" s="83"/>
      <c r="D167" s="83"/>
      <c r="E167" s="83"/>
      <c r="F167" s="83"/>
      <c r="G167" s="83"/>
      <c r="H167" s="83"/>
      <c r="I167" s="83"/>
      <c r="J167" s="170"/>
      <c r="K167" s="83"/>
      <c r="L167" s="83"/>
      <c r="M167" s="170"/>
      <c r="N167" s="170"/>
      <c r="O167" s="170"/>
      <c r="P167" s="170"/>
      <c r="Q167" s="83"/>
      <c r="R167" s="83"/>
      <c r="S167" s="83"/>
      <c r="T167" s="83"/>
      <c r="U167" s="83"/>
      <c r="V167" s="83"/>
      <c r="W167" s="80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</row>
    <row r="168" spans="2:35" ht="15.75" customHeight="1">
      <c r="B168" s="187"/>
      <c r="C168" s="83"/>
      <c r="D168" s="83"/>
      <c r="E168" s="83"/>
      <c r="F168" s="83"/>
      <c r="G168" s="83"/>
      <c r="H168" s="83"/>
      <c r="I168" s="83"/>
      <c r="J168" s="170"/>
      <c r="K168" s="83"/>
      <c r="L168" s="83"/>
      <c r="M168" s="170"/>
      <c r="N168" s="170"/>
      <c r="O168" s="170"/>
      <c r="P168" s="170"/>
      <c r="Q168" s="83"/>
      <c r="R168" s="83"/>
      <c r="S168" s="83"/>
      <c r="T168" s="83"/>
      <c r="U168" s="83"/>
      <c r="V168" s="83"/>
      <c r="W168" s="80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</row>
    <row r="169" spans="2:35" ht="15.75" customHeight="1">
      <c r="B169" s="187"/>
      <c r="C169" s="83"/>
      <c r="D169" s="170"/>
      <c r="E169" s="83"/>
      <c r="F169" s="83"/>
      <c r="G169" s="83"/>
      <c r="H169" s="83"/>
      <c r="I169" s="83"/>
      <c r="J169" s="170"/>
      <c r="K169" s="83"/>
      <c r="L169" s="83"/>
      <c r="M169" s="170"/>
      <c r="N169" s="170"/>
      <c r="O169" s="170"/>
      <c r="P169" s="170"/>
      <c r="Q169" s="83"/>
      <c r="R169" s="83"/>
      <c r="S169" s="83"/>
      <c r="T169" s="83"/>
      <c r="U169" s="83"/>
      <c r="V169" s="83"/>
      <c r="W169" s="80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</row>
    <row r="170" spans="2:35" ht="15.75" customHeight="1">
      <c r="B170" s="187"/>
      <c r="C170" s="83"/>
      <c r="D170" s="83"/>
      <c r="E170" s="83"/>
      <c r="F170" s="83"/>
      <c r="G170" s="83"/>
      <c r="H170" s="83"/>
      <c r="I170" s="83"/>
      <c r="J170" s="170"/>
      <c r="K170" s="83"/>
      <c r="L170" s="83"/>
      <c r="M170" s="170"/>
      <c r="N170" s="170"/>
      <c r="O170" s="170"/>
      <c r="P170" s="170"/>
      <c r="Q170" s="83"/>
      <c r="R170" s="83"/>
      <c r="S170" s="83"/>
      <c r="T170" s="83"/>
      <c r="U170" s="83"/>
      <c r="V170" s="83"/>
      <c r="W170" s="80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</row>
    <row r="171" spans="2:35" ht="15.75" customHeight="1">
      <c r="B171" s="187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0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</row>
    <row r="172" spans="2:35" ht="15.75" customHeight="1">
      <c r="B172" s="187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0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</row>
    <row r="173" spans="2:35" ht="15.75" customHeight="1">
      <c r="B173" s="187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0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</row>
    <row r="174" spans="2:35" ht="70.05" customHeight="1">
      <c r="B174" s="187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0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</row>
    <row r="175" spans="2:35" ht="70.05" customHeight="1">
      <c r="B175" s="187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0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</row>
    <row r="176" spans="2:35" ht="39" customHeight="1">
      <c r="B176" s="187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0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</row>
    <row r="177" spans="2:35" ht="43.5" customHeight="1">
      <c r="B177" s="187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0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</row>
    <row r="178" spans="2:35" ht="43.5" customHeight="1">
      <c r="B178" s="187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0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</row>
    <row r="179" spans="2:35" ht="15.75" customHeight="1">
      <c r="B179" s="187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0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</row>
    <row r="180" spans="2:35" ht="15.75" customHeight="1">
      <c r="B180" s="187"/>
      <c r="C180" s="80"/>
      <c r="D180" s="80"/>
      <c r="E180" s="80"/>
      <c r="F180" s="188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0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</row>
    <row r="181" spans="2:35" ht="15.75" customHeight="1">
      <c r="B181" s="205"/>
      <c r="C181" s="80"/>
      <c r="D181" s="80"/>
      <c r="E181" s="80"/>
      <c r="F181" s="188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0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</row>
    <row r="182" spans="2:35" ht="15.75" customHeight="1">
      <c r="B182" s="187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0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</row>
    <row r="183" spans="2:35" ht="15.75" customHeight="1">
      <c r="B183" s="187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0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</row>
    <row r="184" spans="2:35" ht="24" customHeight="1">
      <c r="B184" s="187"/>
      <c r="C184" s="83"/>
      <c r="D184" s="83"/>
      <c r="E184" s="83"/>
      <c r="F184" s="83"/>
      <c r="G184" s="83"/>
      <c r="H184" s="83"/>
      <c r="I184" s="191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0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</row>
    <row r="185" spans="2:35" ht="15.75" customHeight="1">
      <c r="B185" s="187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0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</row>
    <row r="186" spans="2:35" ht="15.75" customHeight="1">
      <c r="B186" s="187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0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</row>
    <row r="187" spans="2:35" ht="15.75" customHeight="1">
      <c r="B187" s="187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0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</row>
    <row r="188" spans="2:35" ht="15.75" customHeight="1">
      <c r="B188" s="187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0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</row>
    <row r="189" spans="2:35" ht="15.75" customHeight="1">
      <c r="B189" s="187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0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</row>
    <row r="190" spans="2:35" ht="15.75" customHeight="1">
      <c r="B190" s="187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0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</row>
    <row r="191" spans="2:35" ht="15.75" customHeight="1">
      <c r="B191" s="187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0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</row>
    <row r="192" spans="2:35" ht="15.75" customHeight="1">
      <c r="B192" s="187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0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</row>
    <row r="193" spans="2:35" ht="15.75" customHeight="1">
      <c r="B193" s="187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0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</row>
    <row r="194" spans="2:35" ht="15.75" customHeight="1">
      <c r="B194" s="187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0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</row>
    <row r="195" spans="2:35" ht="15.75" customHeight="1">
      <c r="B195" s="187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0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</row>
    <row r="196" spans="2:35" ht="15.75" customHeight="1">
      <c r="B196" s="187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0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</row>
    <row r="197" spans="2:35" ht="15.75" customHeight="1">
      <c r="B197" s="187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0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</row>
    <row r="198" spans="2:35" ht="15.75" customHeight="1">
      <c r="B198" s="187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0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</row>
    <row r="199" spans="2:35" ht="15.75" customHeight="1">
      <c r="B199" s="187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0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</row>
    <row r="200" spans="2:35" ht="15.75" customHeight="1">
      <c r="B200" s="187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0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</row>
    <row r="201" spans="2:35" ht="15.75" customHeight="1">
      <c r="B201" s="187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0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</row>
    <row r="202" spans="2:35" ht="15.75" customHeight="1">
      <c r="B202" s="187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0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</row>
    <row r="203" spans="2:35" ht="15.75" customHeight="1">
      <c r="B203" s="187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0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</row>
    <row r="204" spans="2:35" ht="15.75" customHeight="1">
      <c r="B204" s="187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0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</row>
    <row r="205" spans="2:35" ht="15.75" customHeight="1">
      <c r="B205" s="187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0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</row>
    <row r="206" spans="2:35" ht="15.75" customHeight="1">
      <c r="B206" s="187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0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</row>
    <row r="207" spans="2:35" ht="15.75" customHeight="1">
      <c r="B207" s="187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0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</row>
    <row r="208" spans="2:35" ht="15.75" customHeight="1">
      <c r="B208" s="187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0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</row>
    <row r="209" spans="2:35" ht="15.75" customHeight="1">
      <c r="B209" s="187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0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</row>
    <row r="210" spans="2:35" ht="15.75" customHeight="1">
      <c r="B210" s="187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0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</row>
    <row r="211" spans="2:35" ht="15.75" customHeight="1">
      <c r="B211" s="187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0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</row>
    <row r="212" spans="2:35" ht="15.75" customHeight="1">
      <c r="B212" s="187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0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</row>
    <row r="213" spans="2:35" ht="15.75" customHeight="1">
      <c r="B213" s="187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0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</row>
    <row r="214" spans="2:35" ht="15.75" customHeight="1">
      <c r="B214" s="187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0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</row>
    <row r="215" spans="2:35" ht="15.75" customHeight="1">
      <c r="B215" s="187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0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</row>
    <row r="216" spans="2:35" ht="15.75" customHeight="1">
      <c r="B216" s="187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0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</row>
    <row r="217" spans="2:35" ht="15.75" customHeight="1">
      <c r="B217" s="187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0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</row>
    <row r="218" spans="2:35" ht="15.75" customHeight="1">
      <c r="B218" s="187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0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</row>
    <row r="219" spans="2:35" ht="15.75" customHeight="1">
      <c r="B219" s="187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0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</row>
    <row r="220" spans="2:35" ht="15.75" customHeight="1">
      <c r="B220" s="187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0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</row>
    <row r="221" spans="2:35" ht="15.75" customHeight="1">
      <c r="B221" s="187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0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</row>
    <row r="222" spans="2:35" ht="15.75" customHeight="1">
      <c r="B222" s="187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0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</row>
    <row r="223" spans="2:35" ht="15.75" customHeight="1">
      <c r="B223" s="187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0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</row>
    <row r="224" spans="2:35" ht="15.75" customHeight="1">
      <c r="B224" s="187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0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</row>
    <row r="225" spans="2:35" ht="15.75" customHeight="1">
      <c r="B225" s="187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0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</row>
    <row r="226" spans="2:35" ht="15.75" customHeight="1">
      <c r="B226" s="187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0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</row>
    <row r="227" spans="2:35" ht="15.75" customHeight="1">
      <c r="B227" s="187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0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</row>
    <row r="228" spans="2:35" ht="15.75" customHeight="1">
      <c r="B228" s="187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0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</row>
    <row r="229" spans="2:35" ht="15.75" customHeight="1">
      <c r="B229" s="187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0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</row>
    <row r="230" spans="2:35" ht="15.75" customHeight="1">
      <c r="B230" s="187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0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</row>
    <row r="231" spans="2:35" ht="15.75" customHeight="1">
      <c r="B231" s="187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0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</row>
    <row r="232" spans="2:35" ht="15.75" customHeight="1">
      <c r="B232" s="187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0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</row>
    <row r="233" spans="2:35" ht="15.75" customHeight="1">
      <c r="B233" s="187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0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</row>
    <row r="234" spans="2:35" ht="15.75" customHeight="1"/>
    <row r="235" spans="2:35" ht="15.75" customHeight="1"/>
    <row r="236" spans="2:35" ht="15.75" customHeight="1"/>
    <row r="237" spans="2:35" ht="15.75" customHeight="1"/>
    <row r="238" spans="2:35" ht="15.75" customHeight="1"/>
    <row r="239" spans="2:35" ht="15.75" customHeight="1"/>
    <row r="240" spans="2:3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</sheetData>
  <mergeCells count="7">
    <mergeCell ref="AF117:AH117"/>
    <mergeCell ref="C144:E144"/>
    <mergeCell ref="AF118:AH118"/>
    <mergeCell ref="C140:E140"/>
    <mergeCell ref="C141:E141"/>
    <mergeCell ref="C142:E142"/>
    <mergeCell ref="C143:E143"/>
  </mergeCells>
  <phoneticPr fontId="19" type="noConversion"/>
  <pageMargins left="0.51181102362204722" right="0.51181102362204722" top="1.1811023622047243" bottom="1.1811023622047243" header="0.78740157480314954" footer="0.78740157480314954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48506"/>
  <sheetViews>
    <sheetView zoomScale="110" zoomScaleNormal="110" workbookViewId="0">
      <selection activeCell="AC110" sqref="AC110"/>
    </sheetView>
  </sheetViews>
  <sheetFormatPr defaultRowHeight="15" customHeight="1"/>
  <cols>
    <col min="1" max="1" width="4.296875" style="5" customWidth="1"/>
    <col min="2" max="2" width="24.59765625" style="35" customWidth="1"/>
    <col min="3" max="3" width="7.69921875" style="5" customWidth="1"/>
    <col min="4" max="4" width="6.796875" style="5" customWidth="1"/>
    <col min="5" max="5" width="7.3984375" style="5" bestFit="1" customWidth="1"/>
    <col min="6" max="6" width="8.69921875" style="5" customWidth="1"/>
    <col min="7" max="7" width="7.69921875" style="5" customWidth="1"/>
    <col min="8" max="8" width="8.69921875" style="5" customWidth="1"/>
    <col min="9" max="9" width="8.19921875" style="5" customWidth="1"/>
    <col min="10" max="10" width="9.69921875" style="5" customWidth="1"/>
    <col min="11" max="11" width="2.59765625" style="5" customWidth="1"/>
    <col min="12" max="12" width="7.69921875" style="5" customWidth="1"/>
    <col min="13" max="13" width="7.296875" style="5" customWidth="1"/>
    <col min="14" max="14" width="9" style="5" customWidth="1"/>
    <col min="15" max="15" width="8.69921875" style="5" customWidth="1"/>
    <col min="16" max="16" width="9.69921875" style="5" customWidth="1"/>
    <col min="17" max="17" width="8" style="5" customWidth="1"/>
    <col min="18" max="18" width="10.3984375" style="5" customWidth="1"/>
    <col min="19" max="19" width="2.69921875" style="5" customWidth="1"/>
    <col min="20" max="20" width="7.69921875" style="5" customWidth="1"/>
    <col min="21" max="21" width="9.69921875" style="5" customWidth="1"/>
    <col min="22" max="22" width="2.69921875" style="5" customWidth="1"/>
    <col min="23" max="23" width="7.69921875" style="34" customWidth="1"/>
    <col min="24" max="25" width="8.69921875" style="5" customWidth="1"/>
    <col min="26" max="26" width="7" style="5" customWidth="1"/>
    <col min="27" max="28" width="8.69921875" style="5" customWidth="1"/>
    <col min="29" max="29" width="9.69921875" style="5" customWidth="1"/>
    <col min="30" max="30" width="2.796875" style="5" customWidth="1"/>
    <col min="31" max="31" width="8.69921875" style="5" customWidth="1"/>
    <col min="32" max="32" width="9.69921875" style="5" customWidth="1"/>
    <col min="33" max="33" width="13.3984375" customWidth="1"/>
    <col min="34" max="34" width="12.296875" customWidth="1"/>
    <col min="35" max="35" width="8.296875" customWidth="1"/>
    <col min="36" max="1024" width="13.3984375" customWidth="1"/>
  </cols>
  <sheetData>
    <row r="1" spans="1:35" ht="15" customHeight="1">
      <c r="F1" s="6"/>
    </row>
    <row r="2" spans="1:35" ht="15" customHeight="1">
      <c r="A2" s="279" t="s">
        <v>281</v>
      </c>
      <c r="B2" s="282" t="s">
        <v>282</v>
      </c>
      <c r="C2" s="191"/>
      <c r="D2" s="191"/>
      <c r="E2" s="191"/>
      <c r="F2" s="191"/>
      <c r="I2" s="66" t="s">
        <v>423</v>
      </c>
    </row>
    <row r="3" spans="1:35" ht="15" customHeight="1">
      <c r="A3" s="279" t="s">
        <v>283</v>
      </c>
      <c r="B3" s="282" t="s">
        <v>284</v>
      </c>
      <c r="C3" s="191"/>
      <c r="D3" s="191"/>
      <c r="E3" s="191"/>
      <c r="F3" s="191"/>
      <c r="I3" s="67" t="s">
        <v>391</v>
      </c>
    </row>
    <row r="4" spans="1:35" ht="15" customHeight="1">
      <c r="A4" s="191"/>
      <c r="B4" s="283" t="s">
        <v>636</v>
      </c>
      <c r="C4" s="191"/>
      <c r="D4" s="191"/>
      <c r="E4" s="191"/>
      <c r="F4" s="191"/>
      <c r="I4" s="68" t="s">
        <v>392</v>
      </c>
    </row>
    <row r="5" spans="1:35" ht="15" customHeight="1">
      <c r="I5" s="71" t="s">
        <v>526</v>
      </c>
    </row>
    <row r="6" spans="1:35" ht="13.8">
      <c r="B6" s="64"/>
      <c r="L6" s="47"/>
      <c r="M6" s="47"/>
      <c r="T6" s="47"/>
      <c r="U6" s="47"/>
      <c r="W6" s="48"/>
      <c r="AE6" s="47"/>
      <c r="AF6" s="47"/>
    </row>
    <row r="7" spans="1:35" ht="13.8">
      <c r="B7" s="276" t="s">
        <v>35</v>
      </c>
      <c r="C7" s="191"/>
      <c r="D7" s="191"/>
      <c r="E7" s="191"/>
      <c r="F7" s="191"/>
      <c r="G7" s="191"/>
      <c r="H7" s="191"/>
      <c r="I7" s="191"/>
      <c r="J7" s="191"/>
      <c r="K7" s="191"/>
      <c r="L7" s="273" t="s">
        <v>36</v>
      </c>
      <c r="M7" s="273"/>
      <c r="N7" s="191"/>
      <c r="O7" s="191"/>
      <c r="P7" s="191"/>
      <c r="Q7" s="191"/>
      <c r="R7" s="191"/>
      <c r="S7" s="191"/>
      <c r="T7" s="273" t="s">
        <v>33</v>
      </c>
      <c r="U7" s="273"/>
      <c r="V7" s="191"/>
      <c r="W7" s="275" t="s">
        <v>37</v>
      </c>
      <c r="X7" s="191"/>
      <c r="Y7" s="191"/>
      <c r="Z7" s="191"/>
      <c r="AA7" s="191"/>
      <c r="AB7" s="191"/>
      <c r="AC7" s="191"/>
      <c r="AD7" s="191"/>
      <c r="AE7" s="273" t="s">
        <v>34</v>
      </c>
      <c r="AF7" s="273"/>
    </row>
    <row r="8" spans="1:35" ht="15" customHeight="1">
      <c r="A8" s="5" t="s">
        <v>348</v>
      </c>
    </row>
    <row r="9" spans="1:35" ht="14.4">
      <c r="A9" s="5" t="s">
        <v>344</v>
      </c>
      <c r="B9" s="79" t="s">
        <v>38</v>
      </c>
      <c r="C9" s="79" t="s">
        <v>39</v>
      </c>
      <c r="D9" s="79" t="s">
        <v>40</v>
      </c>
      <c r="E9" s="79" t="s">
        <v>41</v>
      </c>
      <c r="F9" s="79" t="s">
        <v>42</v>
      </c>
      <c r="G9" s="79" t="s">
        <v>43</v>
      </c>
      <c r="H9" s="79" t="s">
        <v>44</v>
      </c>
      <c r="I9" s="79" t="s">
        <v>45</v>
      </c>
      <c r="J9" s="79" t="s">
        <v>46</v>
      </c>
      <c r="K9" s="83"/>
      <c r="L9" s="82" t="s">
        <v>39</v>
      </c>
      <c r="M9" s="82" t="s">
        <v>40</v>
      </c>
      <c r="N9" s="82" t="s">
        <v>47</v>
      </c>
      <c r="O9" s="82" t="s">
        <v>48</v>
      </c>
      <c r="P9" s="82" t="s">
        <v>44</v>
      </c>
      <c r="Q9" s="82" t="s">
        <v>49</v>
      </c>
      <c r="R9" s="82" t="s">
        <v>46</v>
      </c>
      <c r="S9" s="83"/>
      <c r="T9" s="84" t="s">
        <v>39</v>
      </c>
      <c r="U9" s="84" t="s">
        <v>47</v>
      </c>
      <c r="V9" s="83"/>
      <c r="W9" s="88" t="s">
        <v>39</v>
      </c>
      <c r="X9" s="88" t="s">
        <v>41</v>
      </c>
      <c r="Y9" s="88" t="s">
        <v>42</v>
      </c>
      <c r="Z9" s="88" t="s">
        <v>43</v>
      </c>
      <c r="AA9" s="88" t="s">
        <v>44</v>
      </c>
      <c r="AB9" s="88" t="s">
        <v>45</v>
      </c>
      <c r="AC9" s="88" t="s">
        <v>46</v>
      </c>
      <c r="AD9" s="83"/>
      <c r="AE9" s="84" t="s">
        <v>39</v>
      </c>
      <c r="AF9" s="84" t="s">
        <v>47</v>
      </c>
      <c r="AG9" s="83"/>
      <c r="AH9" s="83"/>
      <c r="AI9" s="83"/>
    </row>
    <row r="10" spans="1:35" ht="14.4">
      <c r="B10" s="192"/>
      <c r="C10" s="79" t="s">
        <v>50</v>
      </c>
      <c r="D10" s="79"/>
      <c r="E10" s="79" t="s">
        <v>51</v>
      </c>
      <c r="F10" s="79" t="s">
        <v>52</v>
      </c>
      <c r="G10" s="79" t="s">
        <v>51</v>
      </c>
      <c r="H10" s="79" t="s">
        <v>51</v>
      </c>
      <c r="I10" s="79" t="s">
        <v>51</v>
      </c>
      <c r="J10" s="79" t="s">
        <v>51</v>
      </c>
      <c r="K10" s="83"/>
      <c r="L10" s="82" t="s">
        <v>53</v>
      </c>
      <c r="M10" s="82"/>
      <c r="N10" s="82"/>
      <c r="O10" s="82" t="s">
        <v>51</v>
      </c>
      <c r="P10" s="82" t="s">
        <v>51</v>
      </c>
      <c r="Q10" s="82" t="s">
        <v>51</v>
      </c>
      <c r="R10" s="82" t="s">
        <v>51</v>
      </c>
      <c r="S10" s="83"/>
      <c r="T10" s="84"/>
      <c r="U10" s="84" t="s">
        <v>52</v>
      </c>
      <c r="V10" s="83"/>
      <c r="W10" s="88" t="s">
        <v>54</v>
      </c>
      <c r="X10" s="88" t="s">
        <v>51</v>
      </c>
      <c r="Y10" s="88" t="s">
        <v>52</v>
      </c>
      <c r="Z10" s="88" t="s">
        <v>51</v>
      </c>
      <c r="AA10" s="88" t="s">
        <v>51</v>
      </c>
      <c r="AB10" s="88" t="s">
        <v>51</v>
      </c>
      <c r="AC10" s="88" t="s">
        <v>51</v>
      </c>
      <c r="AD10" s="83"/>
      <c r="AE10" s="84"/>
      <c r="AF10" s="84" t="s">
        <v>52</v>
      </c>
      <c r="AG10" s="83"/>
      <c r="AH10" s="83"/>
      <c r="AI10" s="83"/>
    </row>
    <row r="11" spans="1:35" s="11" customFormat="1" ht="14.4">
      <c r="A11" s="5"/>
      <c r="B11" s="167" t="s">
        <v>534</v>
      </c>
      <c r="C11" s="318" t="s">
        <v>17</v>
      </c>
      <c r="D11" s="95">
        <v>1</v>
      </c>
      <c r="E11" s="95" t="s">
        <v>57</v>
      </c>
      <c r="F11" s="95" t="s">
        <v>57</v>
      </c>
      <c r="G11" s="168">
        <v>22.03</v>
      </c>
      <c r="H11" s="118"/>
      <c r="I11" s="95">
        <f t="shared" ref="I11:I13" si="0">(G11-H11)</f>
        <v>22.03</v>
      </c>
      <c r="J11" s="95">
        <f t="shared" ref="J11:J13" si="1">I11*D11</f>
        <v>22.03</v>
      </c>
      <c r="K11" s="90"/>
      <c r="L11" s="162" t="s">
        <v>17</v>
      </c>
      <c r="M11" s="108">
        <v>1</v>
      </c>
      <c r="N11" s="169">
        <v>20.059999999999999</v>
      </c>
      <c r="O11" s="168">
        <v>3</v>
      </c>
      <c r="P11" s="92"/>
      <c r="Q11" s="92"/>
      <c r="R11" s="108">
        <f t="shared" ref="R11:R84" si="2">(N11*O11-P11)*M11</f>
        <v>60.179999999999993</v>
      </c>
      <c r="S11" s="110"/>
      <c r="T11" s="108" t="s">
        <v>21</v>
      </c>
      <c r="U11" s="92">
        <f t="shared" ref="U11:U15" si="3">N11*M11</f>
        <v>20.059999999999999</v>
      </c>
      <c r="V11" s="90"/>
      <c r="W11" s="162" t="s">
        <v>17</v>
      </c>
      <c r="X11" s="108" t="str">
        <f t="shared" ref="X11:X13" si="4">E11</f>
        <v>cad</v>
      </c>
      <c r="Y11" s="108" t="str">
        <f t="shared" ref="Y11:Y13" si="5">F11</f>
        <v>cad</v>
      </c>
      <c r="Z11" s="108">
        <f t="shared" ref="Z11:Z13" si="6">G11</f>
        <v>22.03</v>
      </c>
      <c r="AA11" s="108">
        <f t="shared" ref="AA11:AA13" si="7">H11</f>
        <v>0</v>
      </c>
      <c r="AB11" s="108">
        <f t="shared" ref="AB11:AB13" si="8">I11</f>
        <v>22.03</v>
      </c>
      <c r="AC11" s="108">
        <f t="shared" ref="AC11:AC13" si="9">J11</f>
        <v>22.03</v>
      </c>
      <c r="AD11" s="90"/>
      <c r="AE11" s="92" t="s">
        <v>17</v>
      </c>
      <c r="AF11" s="108">
        <f>N11*M11</f>
        <v>20.059999999999999</v>
      </c>
      <c r="AG11" s="90"/>
      <c r="AH11" s="90"/>
      <c r="AI11" s="90"/>
    </row>
    <row r="12" spans="1:35" s="11" customFormat="1" ht="14.4">
      <c r="A12" s="5"/>
      <c r="B12" s="167"/>
      <c r="C12" s="95"/>
      <c r="D12" s="95"/>
      <c r="E12" s="95"/>
      <c r="F12" s="95"/>
      <c r="G12" s="168"/>
      <c r="H12" s="118"/>
      <c r="I12" s="95"/>
      <c r="J12" s="95"/>
      <c r="K12" s="90"/>
      <c r="L12" s="162" t="s">
        <v>571</v>
      </c>
      <c r="M12" s="108">
        <v>1</v>
      </c>
      <c r="N12" s="169">
        <v>6.44</v>
      </c>
      <c r="O12" s="168">
        <v>3</v>
      </c>
      <c r="P12" s="92"/>
      <c r="Q12" s="92"/>
      <c r="R12" s="108">
        <f t="shared" si="2"/>
        <v>19.32</v>
      </c>
      <c r="S12" s="110"/>
      <c r="T12" s="108"/>
      <c r="U12" s="92"/>
      <c r="V12" s="90"/>
      <c r="W12" s="162"/>
      <c r="X12" s="108"/>
      <c r="Y12" s="108"/>
      <c r="Z12" s="108"/>
      <c r="AA12" s="108"/>
      <c r="AB12" s="108"/>
      <c r="AC12" s="108"/>
      <c r="AD12" s="90"/>
      <c r="AE12" s="92"/>
      <c r="AF12" s="108"/>
      <c r="AG12" s="90"/>
      <c r="AH12" s="90"/>
      <c r="AI12" s="90"/>
    </row>
    <row r="13" spans="1:35" s="11" customFormat="1" ht="14.4">
      <c r="A13" s="5"/>
      <c r="B13" s="167" t="s">
        <v>538</v>
      </c>
      <c r="C13" s="318" t="s">
        <v>17</v>
      </c>
      <c r="D13" s="95">
        <v>1</v>
      </c>
      <c r="E13" s="95" t="s">
        <v>57</v>
      </c>
      <c r="F13" s="95" t="s">
        <v>57</v>
      </c>
      <c r="G13" s="168">
        <v>18.940000000000001</v>
      </c>
      <c r="H13" s="118"/>
      <c r="I13" s="95">
        <f t="shared" si="0"/>
        <v>18.940000000000001</v>
      </c>
      <c r="J13" s="95">
        <f t="shared" si="1"/>
        <v>18.940000000000001</v>
      </c>
      <c r="K13" s="90"/>
      <c r="L13" s="162" t="s">
        <v>17</v>
      </c>
      <c r="M13" s="108">
        <v>1</v>
      </c>
      <c r="N13" s="169">
        <v>17.78</v>
      </c>
      <c r="O13" s="168">
        <v>3</v>
      </c>
      <c r="P13" s="92"/>
      <c r="Q13" s="92"/>
      <c r="R13" s="108">
        <f t="shared" si="2"/>
        <v>53.34</v>
      </c>
      <c r="S13" s="110"/>
      <c r="T13" s="108" t="s">
        <v>21</v>
      </c>
      <c r="U13" s="92">
        <f t="shared" si="3"/>
        <v>17.78</v>
      </c>
      <c r="V13" s="90"/>
      <c r="W13" s="162" t="s">
        <v>17</v>
      </c>
      <c r="X13" s="108" t="str">
        <f t="shared" si="4"/>
        <v>cad</v>
      </c>
      <c r="Y13" s="108" t="str">
        <f t="shared" si="5"/>
        <v>cad</v>
      </c>
      <c r="Z13" s="108">
        <f t="shared" si="6"/>
        <v>18.940000000000001</v>
      </c>
      <c r="AA13" s="108">
        <f t="shared" si="7"/>
        <v>0</v>
      </c>
      <c r="AB13" s="108">
        <f t="shared" si="8"/>
        <v>18.940000000000001</v>
      </c>
      <c r="AC13" s="108">
        <f t="shared" si="9"/>
        <v>18.940000000000001</v>
      </c>
      <c r="AD13" s="90"/>
      <c r="AE13" s="92" t="s">
        <v>17</v>
      </c>
      <c r="AF13" s="108">
        <f t="shared" ref="AF13:AF83" si="10">N13*M13</f>
        <v>17.78</v>
      </c>
      <c r="AG13" s="90"/>
      <c r="AH13" s="90"/>
      <c r="AI13" s="90"/>
    </row>
    <row r="14" spans="1:35" s="11" customFormat="1" ht="14.4">
      <c r="A14" s="5"/>
      <c r="B14" s="167"/>
      <c r="C14" s="95"/>
      <c r="D14" s="95"/>
      <c r="E14" s="95"/>
      <c r="F14" s="95"/>
      <c r="G14" s="168"/>
      <c r="H14" s="118"/>
      <c r="I14" s="95"/>
      <c r="J14" s="95"/>
      <c r="K14" s="90"/>
      <c r="L14" s="162" t="s">
        <v>571</v>
      </c>
      <c r="M14" s="108">
        <v>1</v>
      </c>
      <c r="N14" s="169">
        <v>4.41</v>
      </c>
      <c r="O14" s="168">
        <v>3</v>
      </c>
      <c r="P14" s="92"/>
      <c r="Q14" s="92"/>
      <c r="R14" s="108">
        <f t="shared" si="2"/>
        <v>13.23</v>
      </c>
      <c r="S14" s="110"/>
      <c r="T14" s="108"/>
      <c r="U14" s="92"/>
      <c r="V14" s="90"/>
      <c r="W14" s="162"/>
      <c r="X14" s="108"/>
      <c r="Y14" s="108"/>
      <c r="Z14" s="108"/>
      <c r="AA14" s="108"/>
      <c r="AB14" s="108"/>
      <c r="AC14" s="108"/>
      <c r="AD14" s="90"/>
      <c r="AE14" s="92"/>
      <c r="AF14" s="108"/>
      <c r="AG14" s="90"/>
      <c r="AH14" s="90"/>
      <c r="AI14" s="90"/>
    </row>
    <row r="15" spans="1:35" s="11" customFormat="1" ht="14.4">
      <c r="A15" s="5"/>
      <c r="B15" s="167" t="s">
        <v>570</v>
      </c>
      <c r="C15" s="318" t="s">
        <v>17</v>
      </c>
      <c r="D15" s="95">
        <v>2</v>
      </c>
      <c r="E15" s="95" t="s">
        <v>57</v>
      </c>
      <c r="F15" s="95" t="s">
        <v>57</v>
      </c>
      <c r="G15" s="168">
        <v>22.03</v>
      </c>
      <c r="H15" s="118"/>
      <c r="I15" s="95">
        <f t="shared" ref="I15" si="11">(G15-H15)</f>
        <v>22.03</v>
      </c>
      <c r="J15" s="95">
        <f t="shared" ref="J15" si="12">I15*D15</f>
        <v>44.06</v>
      </c>
      <c r="K15" s="90"/>
      <c r="L15" s="162" t="s">
        <v>17</v>
      </c>
      <c r="M15" s="108">
        <v>2</v>
      </c>
      <c r="N15" s="169">
        <v>20.059999999999999</v>
      </c>
      <c r="O15" s="168">
        <v>3</v>
      </c>
      <c r="P15" s="92"/>
      <c r="Q15" s="92"/>
      <c r="R15" s="108">
        <f t="shared" si="2"/>
        <v>120.35999999999999</v>
      </c>
      <c r="S15" s="110"/>
      <c r="T15" s="108" t="s">
        <v>21</v>
      </c>
      <c r="U15" s="92">
        <f t="shared" si="3"/>
        <v>40.119999999999997</v>
      </c>
      <c r="V15" s="90"/>
      <c r="W15" s="162" t="s">
        <v>17</v>
      </c>
      <c r="X15" s="108" t="str">
        <f t="shared" ref="X15" si="13">E15</f>
        <v>cad</v>
      </c>
      <c r="Y15" s="108" t="str">
        <f t="shared" ref="Y15" si="14">F15</f>
        <v>cad</v>
      </c>
      <c r="Z15" s="108">
        <f t="shared" ref="Z15" si="15">G15</f>
        <v>22.03</v>
      </c>
      <c r="AA15" s="108">
        <f t="shared" ref="AA15" si="16">H15</f>
        <v>0</v>
      </c>
      <c r="AB15" s="108">
        <f t="shared" ref="AB15" si="17">I15</f>
        <v>22.03</v>
      </c>
      <c r="AC15" s="108">
        <f t="shared" ref="AC15" si="18">J15</f>
        <v>44.06</v>
      </c>
      <c r="AD15" s="90"/>
      <c r="AE15" s="92" t="s">
        <v>17</v>
      </c>
      <c r="AF15" s="108">
        <f t="shared" si="10"/>
        <v>40.119999999999997</v>
      </c>
      <c r="AG15" s="90"/>
      <c r="AH15" s="90"/>
      <c r="AI15" s="90"/>
    </row>
    <row r="16" spans="1:35" s="11" customFormat="1" ht="14.4">
      <c r="A16" s="5"/>
      <c r="B16" s="167"/>
      <c r="C16" s="95"/>
      <c r="D16" s="95"/>
      <c r="E16" s="95"/>
      <c r="F16" s="95"/>
      <c r="G16" s="168"/>
      <c r="H16" s="118"/>
      <c r="I16" s="95"/>
      <c r="J16" s="95"/>
      <c r="K16" s="90"/>
      <c r="L16" s="162" t="s">
        <v>571</v>
      </c>
      <c r="M16" s="108">
        <v>2</v>
      </c>
      <c r="N16" s="169">
        <v>6.44</v>
      </c>
      <c r="O16" s="168">
        <v>3</v>
      </c>
      <c r="P16" s="92"/>
      <c r="Q16" s="92"/>
      <c r="R16" s="108">
        <f t="shared" si="2"/>
        <v>38.64</v>
      </c>
      <c r="S16" s="110"/>
      <c r="T16" s="108"/>
      <c r="U16" s="92"/>
      <c r="V16" s="90"/>
      <c r="W16" s="162"/>
      <c r="X16" s="108"/>
      <c r="Y16" s="108"/>
      <c r="Z16" s="108"/>
      <c r="AA16" s="108"/>
      <c r="AB16" s="108"/>
      <c r="AC16" s="108"/>
      <c r="AD16" s="90"/>
      <c r="AE16" s="92"/>
      <c r="AF16" s="108"/>
      <c r="AG16" s="90"/>
      <c r="AH16" s="90"/>
      <c r="AI16" s="90"/>
    </row>
    <row r="17" spans="1:35" s="11" customFormat="1" ht="41.4">
      <c r="A17" s="5"/>
      <c r="B17" s="237" t="s">
        <v>552</v>
      </c>
      <c r="C17" s="318" t="s">
        <v>17</v>
      </c>
      <c r="D17" s="95">
        <v>10</v>
      </c>
      <c r="E17" s="95" t="s">
        <v>57</v>
      </c>
      <c r="F17" s="95" t="s">
        <v>57</v>
      </c>
      <c r="G17" s="168">
        <v>26.03</v>
      </c>
      <c r="H17" s="118"/>
      <c r="I17" s="95">
        <f t="shared" ref="I17:I21" si="19">(G17-H17)</f>
        <v>26.03</v>
      </c>
      <c r="J17" s="95">
        <f t="shared" ref="J17:J21" si="20">I17*D17</f>
        <v>260.3</v>
      </c>
      <c r="K17" s="90"/>
      <c r="L17" s="162" t="s">
        <v>17</v>
      </c>
      <c r="M17" s="108">
        <v>10</v>
      </c>
      <c r="N17" s="169">
        <v>25.13</v>
      </c>
      <c r="O17" s="168">
        <v>3</v>
      </c>
      <c r="P17" s="92"/>
      <c r="Q17" s="92"/>
      <c r="R17" s="108">
        <f t="shared" si="2"/>
        <v>753.9</v>
      </c>
      <c r="S17" s="110"/>
      <c r="T17" s="108" t="s">
        <v>21</v>
      </c>
      <c r="U17" s="92">
        <f t="shared" ref="U17:U23" si="21">N17*M17</f>
        <v>251.29999999999998</v>
      </c>
      <c r="V17" s="90"/>
      <c r="W17" s="162" t="s">
        <v>17</v>
      </c>
      <c r="X17" s="108" t="str">
        <f t="shared" ref="X17" si="22">E17</f>
        <v>cad</v>
      </c>
      <c r="Y17" s="108" t="str">
        <f t="shared" ref="Y17" si="23">F17</f>
        <v>cad</v>
      </c>
      <c r="Z17" s="108">
        <f t="shared" ref="Z17" si="24">G17</f>
        <v>26.03</v>
      </c>
      <c r="AA17" s="108">
        <f t="shared" ref="AA17" si="25">H17</f>
        <v>0</v>
      </c>
      <c r="AB17" s="108">
        <f t="shared" ref="AB17" si="26">I17</f>
        <v>26.03</v>
      </c>
      <c r="AC17" s="108">
        <f t="shared" ref="AC17" si="27">J17</f>
        <v>260.3</v>
      </c>
      <c r="AD17" s="90"/>
      <c r="AE17" s="92" t="s">
        <v>17</v>
      </c>
      <c r="AF17" s="108">
        <f t="shared" si="10"/>
        <v>251.29999999999998</v>
      </c>
      <c r="AG17" s="90"/>
      <c r="AH17" s="90"/>
      <c r="AI17" s="90"/>
    </row>
    <row r="18" spans="1:35" s="11" customFormat="1" ht="14.4">
      <c r="A18" s="5"/>
      <c r="B18" s="237"/>
      <c r="C18" s="95"/>
      <c r="D18" s="95"/>
      <c r="E18" s="95"/>
      <c r="F18" s="95"/>
      <c r="G18" s="168"/>
      <c r="H18" s="118"/>
      <c r="I18" s="95"/>
      <c r="J18" s="95"/>
      <c r="K18" s="90"/>
      <c r="L18" s="162" t="s">
        <v>571</v>
      </c>
      <c r="M18" s="108">
        <v>10</v>
      </c>
      <c r="N18" s="169">
        <v>6.47</v>
      </c>
      <c r="O18" s="168">
        <v>3</v>
      </c>
      <c r="P18" s="92"/>
      <c r="Q18" s="92"/>
      <c r="R18" s="108">
        <f t="shared" si="2"/>
        <v>194.1</v>
      </c>
      <c r="S18" s="110"/>
      <c r="T18" s="108"/>
      <c r="U18" s="92"/>
      <c r="V18" s="90"/>
      <c r="W18" s="162"/>
      <c r="X18" s="108"/>
      <c r="Y18" s="108"/>
      <c r="Z18" s="108"/>
      <c r="AA18" s="108"/>
      <c r="AB18" s="108"/>
      <c r="AC18" s="108"/>
      <c r="AD18" s="90"/>
      <c r="AE18" s="92"/>
      <c r="AF18" s="108"/>
      <c r="AG18" s="90"/>
      <c r="AH18" s="90"/>
      <c r="AI18" s="90"/>
    </row>
    <row r="19" spans="1:35" s="11" customFormat="1" ht="14.4">
      <c r="A19" s="5"/>
      <c r="B19" s="167" t="s">
        <v>549</v>
      </c>
      <c r="C19" s="318" t="s">
        <v>17</v>
      </c>
      <c r="D19" s="95">
        <v>1</v>
      </c>
      <c r="E19" s="95" t="s">
        <v>57</v>
      </c>
      <c r="F19" s="95" t="s">
        <v>57</v>
      </c>
      <c r="G19" s="168">
        <v>30.57</v>
      </c>
      <c r="H19" s="118"/>
      <c r="I19" s="95">
        <f t="shared" si="19"/>
        <v>30.57</v>
      </c>
      <c r="J19" s="95">
        <f t="shared" si="20"/>
        <v>30.57</v>
      </c>
      <c r="K19" s="90"/>
      <c r="L19" s="162" t="s">
        <v>17</v>
      </c>
      <c r="M19" s="108">
        <v>1</v>
      </c>
      <c r="N19" s="169">
        <v>25.05</v>
      </c>
      <c r="O19" s="168">
        <v>3</v>
      </c>
      <c r="P19" s="92"/>
      <c r="Q19" s="92"/>
      <c r="R19" s="108">
        <f t="shared" si="2"/>
        <v>75.150000000000006</v>
      </c>
      <c r="S19" s="110"/>
      <c r="T19" s="108" t="s">
        <v>21</v>
      </c>
      <c r="U19" s="92">
        <f t="shared" si="21"/>
        <v>25.05</v>
      </c>
      <c r="V19" s="90"/>
      <c r="W19" s="162" t="s">
        <v>17</v>
      </c>
      <c r="X19" s="108" t="str">
        <f t="shared" ref="X19" si="28">E19</f>
        <v>cad</v>
      </c>
      <c r="Y19" s="108" t="str">
        <f t="shared" ref="Y19" si="29">F19</f>
        <v>cad</v>
      </c>
      <c r="Z19" s="108">
        <f t="shared" ref="Z19:Z22" si="30">G19</f>
        <v>30.57</v>
      </c>
      <c r="AA19" s="108">
        <f t="shared" ref="AA19" si="31">H19</f>
        <v>0</v>
      </c>
      <c r="AB19" s="108">
        <f t="shared" ref="AB19:AB22" si="32">I19</f>
        <v>30.57</v>
      </c>
      <c r="AC19" s="108">
        <f t="shared" ref="AC19:AC22" si="33">J19</f>
        <v>30.57</v>
      </c>
      <c r="AD19" s="90"/>
      <c r="AE19" s="92" t="s">
        <v>17</v>
      </c>
      <c r="AF19" s="108">
        <f t="shared" si="10"/>
        <v>25.05</v>
      </c>
      <c r="AG19" s="90"/>
      <c r="AH19" s="90"/>
      <c r="AI19" s="90"/>
    </row>
    <row r="20" spans="1:35" s="11" customFormat="1" ht="14.4">
      <c r="A20" s="5"/>
      <c r="B20" s="167"/>
      <c r="C20" s="95"/>
      <c r="D20" s="95"/>
      <c r="E20" s="95"/>
      <c r="F20" s="95"/>
      <c r="G20" s="168"/>
      <c r="H20" s="118"/>
      <c r="I20" s="95"/>
      <c r="J20" s="95"/>
      <c r="K20" s="90"/>
      <c r="L20" s="162" t="s">
        <v>571</v>
      </c>
      <c r="M20" s="108">
        <v>1</v>
      </c>
      <c r="N20" s="169">
        <v>8.9700000000000006</v>
      </c>
      <c r="O20" s="168">
        <v>3</v>
      </c>
      <c r="P20" s="92"/>
      <c r="Q20" s="92"/>
      <c r="R20" s="108">
        <f t="shared" si="2"/>
        <v>26.910000000000004</v>
      </c>
      <c r="S20" s="110"/>
      <c r="T20" s="108"/>
      <c r="U20" s="92"/>
      <c r="V20" s="90"/>
      <c r="W20" s="162"/>
      <c r="X20" s="108"/>
      <c r="Y20" s="108"/>
      <c r="Z20" s="108"/>
      <c r="AA20" s="108"/>
      <c r="AB20" s="108"/>
      <c r="AC20" s="108"/>
      <c r="AD20" s="90"/>
      <c r="AE20" s="92"/>
      <c r="AF20" s="108"/>
      <c r="AG20" s="90"/>
      <c r="AH20" s="90"/>
      <c r="AI20" s="90"/>
    </row>
    <row r="21" spans="1:35" s="11" customFormat="1" ht="14.4">
      <c r="A21" s="5"/>
      <c r="B21" s="167" t="s">
        <v>550</v>
      </c>
      <c r="C21" s="95" t="s">
        <v>20</v>
      </c>
      <c r="D21" s="95">
        <v>8</v>
      </c>
      <c r="E21" s="95" t="s">
        <v>57</v>
      </c>
      <c r="F21" s="95" t="s">
        <v>57</v>
      </c>
      <c r="G21" s="168">
        <v>3.99</v>
      </c>
      <c r="H21" s="118"/>
      <c r="I21" s="95">
        <f t="shared" si="19"/>
        <v>3.99</v>
      </c>
      <c r="J21" s="95">
        <f t="shared" si="20"/>
        <v>31.92</v>
      </c>
      <c r="K21" s="90"/>
      <c r="L21" s="162" t="s">
        <v>18</v>
      </c>
      <c r="M21" s="108">
        <v>8</v>
      </c>
      <c r="N21" s="169">
        <v>8.1</v>
      </c>
      <c r="O21" s="168">
        <v>2.7</v>
      </c>
      <c r="P21" s="92"/>
      <c r="Q21" s="92"/>
      <c r="R21" s="108">
        <f t="shared" ref="R21:R23" si="34">(N21*O21-P21)*M21</f>
        <v>174.96</v>
      </c>
      <c r="S21" s="110"/>
      <c r="T21" s="108" t="s">
        <v>18</v>
      </c>
      <c r="U21" s="163">
        <f t="shared" si="21"/>
        <v>64.8</v>
      </c>
      <c r="V21" s="90"/>
      <c r="W21" s="162" t="s">
        <v>18</v>
      </c>
      <c r="X21" s="108" t="str">
        <f t="shared" ref="X21:X22" si="35">E21</f>
        <v>cad</v>
      </c>
      <c r="Y21" s="108" t="str">
        <f t="shared" ref="Y21:Y22" si="36">F21</f>
        <v>cad</v>
      </c>
      <c r="Z21" s="108">
        <f t="shared" si="30"/>
        <v>3.99</v>
      </c>
      <c r="AA21" s="108"/>
      <c r="AB21" s="108">
        <f t="shared" si="32"/>
        <v>3.99</v>
      </c>
      <c r="AC21" s="108">
        <f t="shared" si="33"/>
        <v>31.92</v>
      </c>
      <c r="AD21" s="90"/>
      <c r="AE21" s="92" t="s">
        <v>17</v>
      </c>
      <c r="AF21" s="108">
        <f t="shared" si="10"/>
        <v>64.8</v>
      </c>
      <c r="AG21" s="90"/>
      <c r="AH21" s="90"/>
      <c r="AI21" s="90"/>
    </row>
    <row r="22" spans="1:35" s="11" customFormat="1" ht="14.4">
      <c r="A22" s="5"/>
      <c r="B22" s="167" t="s">
        <v>550</v>
      </c>
      <c r="C22" s="95" t="s">
        <v>20</v>
      </c>
      <c r="D22" s="95">
        <v>2</v>
      </c>
      <c r="E22" s="95" t="s">
        <v>57</v>
      </c>
      <c r="F22" s="95" t="s">
        <v>57</v>
      </c>
      <c r="G22" s="168">
        <v>4.1100000000000003</v>
      </c>
      <c r="H22" s="118"/>
      <c r="I22" s="95">
        <f t="shared" ref="I22" si="37">(G22-H22)</f>
        <v>4.1100000000000003</v>
      </c>
      <c r="J22" s="95">
        <f t="shared" ref="J22" si="38">I22*D22</f>
        <v>8.2200000000000006</v>
      </c>
      <c r="K22" s="90"/>
      <c r="L22" s="162" t="s">
        <v>18</v>
      </c>
      <c r="M22" s="108">
        <v>2</v>
      </c>
      <c r="N22" s="169">
        <v>8.1999999999999993</v>
      </c>
      <c r="O22" s="168">
        <v>2.7</v>
      </c>
      <c r="P22" s="92"/>
      <c r="Q22" s="92"/>
      <c r="R22" s="108">
        <f t="shared" si="34"/>
        <v>44.28</v>
      </c>
      <c r="S22" s="110"/>
      <c r="T22" s="108" t="s">
        <v>18</v>
      </c>
      <c r="U22" s="163">
        <f t="shared" si="21"/>
        <v>16.399999999999999</v>
      </c>
      <c r="V22" s="90"/>
      <c r="W22" s="162" t="s">
        <v>18</v>
      </c>
      <c r="X22" s="108" t="str">
        <f t="shared" si="35"/>
        <v>cad</v>
      </c>
      <c r="Y22" s="108" t="str">
        <f t="shared" si="36"/>
        <v>cad</v>
      </c>
      <c r="Z22" s="108">
        <f t="shared" si="30"/>
        <v>4.1100000000000003</v>
      </c>
      <c r="AA22" s="108"/>
      <c r="AB22" s="108">
        <f t="shared" si="32"/>
        <v>4.1100000000000003</v>
      </c>
      <c r="AC22" s="108">
        <f t="shared" si="33"/>
        <v>8.2200000000000006</v>
      </c>
      <c r="AD22" s="90"/>
      <c r="AE22" s="92" t="s">
        <v>17</v>
      </c>
      <c r="AF22" s="108">
        <f t="shared" si="10"/>
        <v>16.399999999999999</v>
      </c>
      <c r="AG22" s="90"/>
      <c r="AH22" s="90"/>
      <c r="AI22" s="90"/>
    </row>
    <row r="23" spans="1:35" s="11" customFormat="1" ht="14.4">
      <c r="A23" s="5"/>
      <c r="B23" s="167" t="s">
        <v>551</v>
      </c>
      <c r="C23" s="95" t="s">
        <v>20</v>
      </c>
      <c r="D23" s="95">
        <v>1</v>
      </c>
      <c r="E23" s="95" t="s">
        <v>57</v>
      </c>
      <c r="F23" s="95" t="s">
        <v>57</v>
      </c>
      <c r="G23" s="168">
        <v>4.32</v>
      </c>
      <c r="H23" s="118"/>
      <c r="I23" s="95">
        <f t="shared" ref="I23" si="39">(G23-H23)</f>
        <v>4.32</v>
      </c>
      <c r="J23" s="95">
        <f t="shared" ref="J23" si="40">I23*D23</f>
        <v>4.32</v>
      </c>
      <c r="K23" s="90"/>
      <c r="L23" s="162" t="s">
        <v>18</v>
      </c>
      <c r="M23" s="108">
        <v>1</v>
      </c>
      <c r="N23" s="169">
        <v>8.4</v>
      </c>
      <c r="O23" s="168">
        <v>2.7</v>
      </c>
      <c r="P23" s="92"/>
      <c r="Q23" s="92"/>
      <c r="R23" s="108">
        <f t="shared" si="34"/>
        <v>22.680000000000003</v>
      </c>
      <c r="S23" s="110"/>
      <c r="T23" s="108" t="s">
        <v>18</v>
      </c>
      <c r="U23" s="163">
        <f t="shared" si="21"/>
        <v>8.4</v>
      </c>
      <c r="V23" s="90"/>
      <c r="W23" s="162" t="s">
        <v>18</v>
      </c>
      <c r="X23" s="108" t="str">
        <f t="shared" ref="X23" si="41">E23</f>
        <v>cad</v>
      </c>
      <c r="Y23" s="108" t="str">
        <f t="shared" ref="Y23" si="42">F23</f>
        <v>cad</v>
      </c>
      <c r="Z23" s="108">
        <f t="shared" ref="Z23" si="43">G23</f>
        <v>4.32</v>
      </c>
      <c r="AA23" s="108"/>
      <c r="AB23" s="108">
        <f t="shared" ref="AB23" si="44">I23</f>
        <v>4.32</v>
      </c>
      <c r="AC23" s="108">
        <f t="shared" ref="AC23" si="45">J23</f>
        <v>4.32</v>
      </c>
      <c r="AD23" s="90"/>
      <c r="AE23" s="92" t="s">
        <v>17</v>
      </c>
      <c r="AF23" s="108">
        <f t="shared" si="10"/>
        <v>8.4</v>
      </c>
      <c r="AG23" s="90"/>
      <c r="AH23" s="90"/>
      <c r="AI23" s="90"/>
    </row>
    <row r="24" spans="1:35" s="11" customFormat="1" ht="14.4">
      <c r="A24" s="5"/>
      <c r="B24" s="167" t="s">
        <v>539</v>
      </c>
      <c r="C24" s="95" t="s">
        <v>17</v>
      </c>
      <c r="D24" s="95">
        <v>1</v>
      </c>
      <c r="E24" s="95" t="s">
        <v>57</v>
      </c>
      <c r="F24" s="95" t="s">
        <v>57</v>
      </c>
      <c r="G24" s="168">
        <v>6.88</v>
      </c>
      <c r="H24" s="118"/>
      <c r="I24" s="95">
        <f t="shared" ref="I24:I43" si="46">(G24-H24)</f>
        <v>6.88</v>
      </c>
      <c r="J24" s="95">
        <f t="shared" ref="J24:J43" si="47">I24*D24</f>
        <v>6.88</v>
      </c>
      <c r="K24" s="90"/>
      <c r="L24" s="162" t="s">
        <v>17</v>
      </c>
      <c r="M24" s="108">
        <v>1</v>
      </c>
      <c r="N24" s="169">
        <v>11.07</v>
      </c>
      <c r="O24" s="168">
        <v>2.7</v>
      </c>
      <c r="P24" s="92"/>
      <c r="Q24" s="92"/>
      <c r="R24" s="108">
        <f t="shared" ref="R24:R57" si="48">(N24*O24-P24)*M24</f>
        <v>29.889000000000003</v>
      </c>
      <c r="S24" s="110"/>
      <c r="T24" s="108" t="s">
        <v>17</v>
      </c>
      <c r="U24" s="92">
        <f t="shared" ref="U24:U57" si="49">N24*M24</f>
        <v>11.07</v>
      </c>
      <c r="V24" s="90"/>
      <c r="W24" s="162" t="s">
        <v>17</v>
      </c>
      <c r="X24" s="108" t="str">
        <f t="shared" ref="X24:X25" si="50">E24</f>
        <v>cad</v>
      </c>
      <c r="Y24" s="108" t="str">
        <f t="shared" ref="Y24:Y25" si="51">F24</f>
        <v>cad</v>
      </c>
      <c r="Z24" s="108">
        <f t="shared" ref="Z24:Z25" si="52">G24</f>
        <v>6.88</v>
      </c>
      <c r="AA24" s="108">
        <f t="shared" ref="AA24:AA25" si="53">H24</f>
        <v>0</v>
      </c>
      <c r="AB24" s="108">
        <f t="shared" ref="AB24:AB25" si="54">I24</f>
        <v>6.88</v>
      </c>
      <c r="AC24" s="108">
        <f t="shared" ref="AC24:AC25" si="55">J24</f>
        <v>6.88</v>
      </c>
      <c r="AD24" s="90"/>
      <c r="AE24" s="92" t="s">
        <v>17</v>
      </c>
      <c r="AF24" s="108">
        <f t="shared" si="10"/>
        <v>11.07</v>
      </c>
      <c r="AG24" s="90"/>
      <c r="AH24" s="90"/>
      <c r="AI24" s="90"/>
    </row>
    <row r="25" spans="1:35" s="11" customFormat="1" ht="14.4">
      <c r="A25" s="5"/>
      <c r="B25" s="167" t="s">
        <v>540</v>
      </c>
      <c r="C25" s="95" t="s">
        <v>17</v>
      </c>
      <c r="D25" s="95">
        <v>1</v>
      </c>
      <c r="E25" s="95" t="s">
        <v>57</v>
      </c>
      <c r="F25" s="95" t="s">
        <v>57</v>
      </c>
      <c r="G25" s="168">
        <v>17.760000000000002</v>
      </c>
      <c r="H25" s="118"/>
      <c r="I25" s="95">
        <f t="shared" si="46"/>
        <v>17.760000000000002</v>
      </c>
      <c r="J25" s="95">
        <f t="shared" si="47"/>
        <v>17.760000000000002</v>
      </c>
      <c r="K25" s="90"/>
      <c r="L25" s="162" t="s">
        <v>17</v>
      </c>
      <c r="M25" s="108">
        <v>1</v>
      </c>
      <c r="N25" s="169">
        <v>16.89</v>
      </c>
      <c r="O25" s="168">
        <v>2.7</v>
      </c>
      <c r="P25" s="92"/>
      <c r="Q25" s="92"/>
      <c r="R25" s="108">
        <f t="shared" si="48"/>
        <v>45.603000000000002</v>
      </c>
      <c r="S25" s="110"/>
      <c r="T25" s="108" t="s">
        <v>17</v>
      </c>
      <c r="U25" s="92">
        <f t="shared" si="49"/>
        <v>16.89</v>
      </c>
      <c r="V25" s="90"/>
      <c r="W25" s="162" t="s">
        <v>17</v>
      </c>
      <c r="X25" s="108" t="str">
        <f t="shared" si="50"/>
        <v>cad</v>
      </c>
      <c r="Y25" s="108" t="str">
        <f t="shared" si="51"/>
        <v>cad</v>
      </c>
      <c r="Z25" s="108">
        <f t="shared" si="52"/>
        <v>17.760000000000002</v>
      </c>
      <c r="AA25" s="108">
        <f t="shared" si="53"/>
        <v>0</v>
      </c>
      <c r="AB25" s="108">
        <f t="shared" si="54"/>
        <v>17.760000000000002</v>
      </c>
      <c r="AC25" s="108">
        <f t="shared" si="55"/>
        <v>17.760000000000002</v>
      </c>
      <c r="AD25" s="90"/>
      <c r="AE25" s="92" t="s">
        <v>17</v>
      </c>
      <c r="AF25" s="108">
        <f t="shared" si="10"/>
        <v>16.89</v>
      </c>
      <c r="AG25" s="90"/>
      <c r="AH25" s="90"/>
      <c r="AI25" s="90"/>
    </row>
    <row r="26" spans="1:35" s="11" customFormat="1" ht="14.4">
      <c r="A26" s="5"/>
      <c r="B26" s="167" t="s">
        <v>541</v>
      </c>
      <c r="C26" s="95" t="s">
        <v>17</v>
      </c>
      <c r="D26" s="95">
        <v>1</v>
      </c>
      <c r="E26" s="95" t="s">
        <v>57</v>
      </c>
      <c r="F26" s="95" t="s">
        <v>57</v>
      </c>
      <c r="G26" s="168">
        <v>11.34</v>
      </c>
      <c r="H26" s="118"/>
      <c r="I26" s="95">
        <f t="shared" si="46"/>
        <v>11.34</v>
      </c>
      <c r="J26" s="95">
        <f t="shared" si="47"/>
        <v>11.34</v>
      </c>
      <c r="K26" s="90"/>
      <c r="L26" s="162" t="s">
        <v>17</v>
      </c>
      <c r="M26" s="108">
        <v>1</v>
      </c>
      <c r="N26" s="169">
        <v>14.41</v>
      </c>
      <c r="O26" s="168">
        <v>2.7</v>
      </c>
      <c r="P26" s="92"/>
      <c r="Q26" s="92"/>
      <c r="R26" s="108">
        <f t="shared" si="48"/>
        <v>38.907000000000004</v>
      </c>
      <c r="S26" s="110"/>
      <c r="T26" s="108" t="s">
        <v>17</v>
      </c>
      <c r="U26" s="92">
        <f t="shared" si="49"/>
        <v>14.41</v>
      </c>
      <c r="V26" s="90"/>
      <c r="W26" s="162" t="s">
        <v>17</v>
      </c>
      <c r="X26" s="108" t="str">
        <f t="shared" ref="X26" si="56">E26</f>
        <v>cad</v>
      </c>
      <c r="Y26" s="108" t="str">
        <f t="shared" ref="Y26" si="57">F26</f>
        <v>cad</v>
      </c>
      <c r="Z26" s="108">
        <f t="shared" ref="Z26:Z43" si="58">G26</f>
        <v>11.34</v>
      </c>
      <c r="AA26" s="108">
        <f t="shared" ref="AA26" si="59">H26</f>
        <v>0</v>
      </c>
      <c r="AB26" s="108">
        <f t="shared" ref="AB26:AB43" si="60">I26</f>
        <v>11.34</v>
      </c>
      <c r="AC26" s="108">
        <f t="shared" ref="AC26:AC43" si="61">J26</f>
        <v>11.34</v>
      </c>
      <c r="AD26" s="90"/>
      <c r="AE26" s="92" t="s">
        <v>17</v>
      </c>
      <c r="AF26" s="108">
        <f t="shared" si="10"/>
        <v>14.41</v>
      </c>
      <c r="AG26" s="90"/>
      <c r="AH26" s="90"/>
      <c r="AI26" s="90"/>
    </row>
    <row r="27" spans="1:35" s="11" customFormat="1" ht="14.4">
      <c r="A27" s="5"/>
      <c r="B27" s="167" t="s">
        <v>558</v>
      </c>
      <c r="C27" s="318" t="s">
        <v>17</v>
      </c>
      <c r="D27" s="95">
        <v>1</v>
      </c>
      <c r="E27" s="95" t="s">
        <v>57</v>
      </c>
      <c r="F27" s="95" t="s">
        <v>57</v>
      </c>
      <c r="G27" s="168">
        <v>15.4</v>
      </c>
      <c r="H27" s="118"/>
      <c r="I27" s="95">
        <f t="shared" ref="I27:I41" si="62">(G27-H27)</f>
        <v>15.4</v>
      </c>
      <c r="J27" s="95">
        <f t="shared" ref="J27:J41" si="63">I27*D27</f>
        <v>15.4</v>
      </c>
      <c r="K27" s="90"/>
      <c r="L27" s="162" t="s">
        <v>17</v>
      </c>
      <c r="M27" s="108">
        <v>1</v>
      </c>
      <c r="N27" s="169">
        <v>16.100000000000001</v>
      </c>
      <c r="O27" s="168">
        <v>3</v>
      </c>
      <c r="P27" s="92"/>
      <c r="Q27" s="92"/>
      <c r="R27" s="108">
        <f t="shared" si="48"/>
        <v>48.300000000000004</v>
      </c>
      <c r="S27" s="110"/>
      <c r="T27" s="108" t="s">
        <v>21</v>
      </c>
      <c r="U27" s="92">
        <f t="shared" ref="U27:U41" si="64">N27*M27</f>
        <v>16.100000000000001</v>
      </c>
      <c r="V27" s="90"/>
      <c r="W27" s="162" t="s">
        <v>17</v>
      </c>
      <c r="X27" s="108" t="str">
        <f t="shared" ref="X27:X37" si="65">E27</f>
        <v>cad</v>
      </c>
      <c r="Y27" s="108" t="str">
        <f t="shared" ref="Y27:Y37" si="66">F27</f>
        <v>cad</v>
      </c>
      <c r="Z27" s="108">
        <f t="shared" ref="Z27:Z37" si="67">G27</f>
        <v>15.4</v>
      </c>
      <c r="AA27" s="108">
        <f t="shared" ref="AA27:AA37" si="68">H27</f>
        <v>0</v>
      </c>
      <c r="AB27" s="108">
        <f t="shared" ref="AB27:AB37" si="69">I27</f>
        <v>15.4</v>
      </c>
      <c r="AC27" s="108">
        <f t="shared" ref="AC27:AC37" si="70">J27</f>
        <v>15.4</v>
      </c>
      <c r="AD27" s="90"/>
      <c r="AE27" s="92" t="s">
        <v>17</v>
      </c>
      <c r="AF27" s="108">
        <f t="shared" ref="AF27:AF38" si="71">N27*M27</f>
        <v>16.100000000000001</v>
      </c>
      <c r="AG27" s="90"/>
      <c r="AH27" s="90"/>
      <c r="AI27" s="90"/>
    </row>
    <row r="28" spans="1:35" s="11" customFormat="1" ht="14.4">
      <c r="A28" s="5"/>
      <c r="B28" s="167"/>
      <c r="C28" s="95"/>
      <c r="D28" s="95"/>
      <c r="E28" s="95"/>
      <c r="F28" s="95"/>
      <c r="G28" s="168"/>
      <c r="H28" s="118"/>
      <c r="I28" s="95"/>
      <c r="J28" s="95"/>
      <c r="K28" s="90"/>
      <c r="L28" s="162" t="s">
        <v>571</v>
      </c>
      <c r="M28" s="108">
        <v>1</v>
      </c>
      <c r="N28" s="169">
        <v>3.45</v>
      </c>
      <c r="O28" s="168">
        <v>3</v>
      </c>
      <c r="P28" s="92"/>
      <c r="Q28" s="92"/>
      <c r="R28" s="108">
        <f t="shared" si="48"/>
        <v>10.350000000000001</v>
      </c>
      <c r="S28" s="110"/>
      <c r="T28" s="108"/>
      <c r="U28" s="92"/>
      <c r="V28" s="90"/>
      <c r="W28" s="162"/>
      <c r="X28" s="108"/>
      <c r="Y28" s="108"/>
      <c r="Z28" s="108"/>
      <c r="AA28" s="108"/>
      <c r="AB28" s="108"/>
      <c r="AC28" s="108"/>
      <c r="AD28" s="90"/>
      <c r="AE28" s="92"/>
      <c r="AF28" s="108">
        <f t="shared" si="71"/>
        <v>3.45</v>
      </c>
      <c r="AG28" s="90"/>
      <c r="AH28" s="90"/>
      <c r="AI28" s="90"/>
    </row>
    <row r="29" spans="1:35" s="11" customFormat="1" ht="14.4">
      <c r="A29" s="5"/>
      <c r="B29" s="167" t="s">
        <v>559</v>
      </c>
      <c r="C29" s="95" t="s">
        <v>17</v>
      </c>
      <c r="D29" s="95">
        <v>1</v>
      </c>
      <c r="E29" s="95" t="s">
        <v>57</v>
      </c>
      <c r="F29" s="95" t="s">
        <v>57</v>
      </c>
      <c r="G29" s="168">
        <v>8.44</v>
      </c>
      <c r="H29" s="118"/>
      <c r="I29" s="95">
        <f t="shared" si="62"/>
        <v>8.44</v>
      </c>
      <c r="J29" s="95">
        <f t="shared" si="63"/>
        <v>8.44</v>
      </c>
      <c r="K29" s="90"/>
      <c r="L29" s="162" t="s">
        <v>17</v>
      </c>
      <c r="M29" s="108">
        <v>1</v>
      </c>
      <c r="N29" s="169">
        <v>12.13</v>
      </c>
      <c r="O29" s="168">
        <v>2.7</v>
      </c>
      <c r="P29" s="92"/>
      <c r="Q29" s="92"/>
      <c r="R29" s="108">
        <f t="shared" si="48"/>
        <v>32.751000000000005</v>
      </c>
      <c r="S29" s="110"/>
      <c r="T29" s="108" t="s">
        <v>17</v>
      </c>
      <c r="U29" s="92">
        <f t="shared" si="64"/>
        <v>12.13</v>
      </c>
      <c r="V29" s="90"/>
      <c r="W29" s="162" t="s">
        <v>17</v>
      </c>
      <c r="X29" s="108" t="str">
        <f t="shared" si="65"/>
        <v>cad</v>
      </c>
      <c r="Y29" s="108" t="str">
        <f t="shared" si="66"/>
        <v>cad</v>
      </c>
      <c r="Z29" s="108">
        <f t="shared" si="67"/>
        <v>8.44</v>
      </c>
      <c r="AA29" s="108">
        <f t="shared" si="68"/>
        <v>0</v>
      </c>
      <c r="AB29" s="108">
        <f t="shared" si="69"/>
        <v>8.44</v>
      </c>
      <c r="AC29" s="108">
        <f t="shared" si="70"/>
        <v>8.44</v>
      </c>
      <c r="AD29" s="90"/>
      <c r="AE29" s="92" t="s">
        <v>17</v>
      </c>
      <c r="AF29" s="108">
        <f t="shared" si="71"/>
        <v>12.13</v>
      </c>
      <c r="AG29" s="90"/>
      <c r="AH29" s="90"/>
      <c r="AI29" s="90"/>
    </row>
    <row r="30" spans="1:35" s="11" customFormat="1" ht="14.4">
      <c r="A30" s="5"/>
      <c r="B30" s="167" t="s">
        <v>560</v>
      </c>
      <c r="C30" s="95" t="s">
        <v>17</v>
      </c>
      <c r="D30" s="95">
        <v>1</v>
      </c>
      <c r="E30" s="95" t="s">
        <v>57</v>
      </c>
      <c r="F30" s="95" t="s">
        <v>57</v>
      </c>
      <c r="G30" s="168">
        <v>9.31</v>
      </c>
      <c r="H30" s="118"/>
      <c r="I30" s="95">
        <f t="shared" si="62"/>
        <v>9.31</v>
      </c>
      <c r="J30" s="95">
        <f t="shared" si="63"/>
        <v>9.31</v>
      </c>
      <c r="K30" s="90"/>
      <c r="L30" s="162" t="s">
        <v>17</v>
      </c>
      <c r="M30" s="108">
        <v>1</v>
      </c>
      <c r="N30" s="169">
        <v>12.3</v>
      </c>
      <c r="O30" s="168">
        <v>2.7</v>
      </c>
      <c r="P30" s="92"/>
      <c r="Q30" s="92"/>
      <c r="R30" s="108">
        <f t="shared" si="48"/>
        <v>33.21</v>
      </c>
      <c r="S30" s="110"/>
      <c r="T30" s="108" t="s">
        <v>17</v>
      </c>
      <c r="U30" s="163">
        <f t="shared" si="64"/>
        <v>12.3</v>
      </c>
      <c r="V30" s="90"/>
      <c r="W30" s="162" t="s">
        <v>17</v>
      </c>
      <c r="X30" s="108" t="str">
        <f t="shared" si="65"/>
        <v>cad</v>
      </c>
      <c r="Y30" s="108" t="str">
        <f t="shared" si="66"/>
        <v>cad</v>
      </c>
      <c r="Z30" s="108">
        <f t="shared" si="67"/>
        <v>9.31</v>
      </c>
      <c r="AA30" s="108">
        <f t="shared" si="68"/>
        <v>0</v>
      </c>
      <c r="AB30" s="108">
        <f t="shared" si="69"/>
        <v>9.31</v>
      </c>
      <c r="AC30" s="108">
        <f t="shared" si="70"/>
        <v>9.31</v>
      </c>
      <c r="AD30" s="90"/>
      <c r="AE30" s="92" t="s">
        <v>17</v>
      </c>
      <c r="AF30" s="108">
        <f t="shared" si="71"/>
        <v>12.3</v>
      </c>
      <c r="AG30" s="90"/>
      <c r="AH30" s="90"/>
      <c r="AI30" s="90"/>
    </row>
    <row r="31" spans="1:35" s="11" customFormat="1" ht="14.4">
      <c r="A31" s="5"/>
      <c r="B31" s="167" t="s">
        <v>561</v>
      </c>
      <c r="C31" s="95" t="s">
        <v>17</v>
      </c>
      <c r="D31" s="95">
        <v>1</v>
      </c>
      <c r="E31" s="95" t="s">
        <v>57</v>
      </c>
      <c r="F31" s="95" t="s">
        <v>57</v>
      </c>
      <c r="G31" s="168">
        <v>7.8</v>
      </c>
      <c r="H31" s="118"/>
      <c r="I31" s="95">
        <f t="shared" si="62"/>
        <v>7.8</v>
      </c>
      <c r="J31" s="95">
        <f t="shared" si="63"/>
        <v>7.8</v>
      </c>
      <c r="K31" s="90"/>
      <c r="L31" s="162" t="s">
        <v>17</v>
      </c>
      <c r="M31" s="108">
        <v>1</v>
      </c>
      <c r="N31" s="169">
        <v>11.71</v>
      </c>
      <c r="O31" s="168">
        <v>2.7</v>
      </c>
      <c r="P31" s="92"/>
      <c r="Q31" s="92"/>
      <c r="R31" s="108">
        <f t="shared" si="48"/>
        <v>31.617000000000004</v>
      </c>
      <c r="S31" s="110"/>
      <c r="T31" s="108" t="s">
        <v>17</v>
      </c>
      <c r="U31" s="92">
        <f t="shared" si="64"/>
        <v>11.71</v>
      </c>
      <c r="V31" s="90"/>
      <c r="W31" s="162" t="s">
        <v>17</v>
      </c>
      <c r="X31" s="108" t="str">
        <f t="shared" si="65"/>
        <v>cad</v>
      </c>
      <c r="Y31" s="108" t="str">
        <f t="shared" si="66"/>
        <v>cad</v>
      </c>
      <c r="Z31" s="108">
        <f t="shared" si="67"/>
        <v>7.8</v>
      </c>
      <c r="AA31" s="108">
        <f t="shared" si="68"/>
        <v>0</v>
      </c>
      <c r="AB31" s="108">
        <f t="shared" si="69"/>
        <v>7.8</v>
      </c>
      <c r="AC31" s="108">
        <f t="shared" si="70"/>
        <v>7.8</v>
      </c>
      <c r="AD31" s="90"/>
      <c r="AE31" s="92" t="s">
        <v>17</v>
      </c>
      <c r="AF31" s="108">
        <f t="shared" si="71"/>
        <v>11.71</v>
      </c>
      <c r="AG31" s="90"/>
      <c r="AH31" s="90"/>
      <c r="AI31" s="90"/>
    </row>
    <row r="32" spans="1:35" s="11" customFormat="1" ht="14.4">
      <c r="A32" s="5"/>
      <c r="B32" s="167" t="s">
        <v>562</v>
      </c>
      <c r="C32" s="95" t="s">
        <v>17</v>
      </c>
      <c r="D32" s="95">
        <v>1</v>
      </c>
      <c r="E32" s="95" t="s">
        <v>57</v>
      </c>
      <c r="F32" s="95" t="s">
        <v>57</v>
      </c>
      <c r="G32" s="168">
        <v>12.22</v>
      </c>
      <c r="H32" s="118"/>
      <c r="I32" s="95">
        <f t="shared" si="62"/>
        <v>12.22</v>
      </c>
      <c r="J32" s="95">
        <f t="shared" si="63"/>
        <v>12.22</v>
      </c>
      <c r="K32" s="90"/>
      <c r="L32" s="162" t="s">
        <v>17</v>
      </c>
      <c r="M32" s="108">
        <v>1</v>
      </c>
      <c r="N32" s="169">
        <f>15.1-1.5</f>
        <v>13.6</v>
      </c>
      <c r="O32" s="168">
        <v>2.7</v>
      </c>
      <c r="P32" s="92"/>
      <c r="Q32" s="92"/>
      <c r="R32" s="108">
        <f t="shared" si="48"/>
        <v>36.72</v>
      </c>
      <c r="S32" s="110"/>
      <c r="T32" s="108" t="s">
        <v>17</v>
      </c>
      <c r="U32" s="163">
        <f t="shared" si="64"/>
        <v>13.6</v>
      </c>
      <c r="V32" s="90"/>
      <c r="W32" s="162" t="s">
        <v>17</v>
      </c>
      <c r="X32" s="108" t="str">
        <f t="shared" si="65"/>
        <v>cad</v>
      </c>
      <c r="Y32" s="108" t="str">
        <f t="shared" si="66"/>
        <v>cad</v>
      </c>
      <c r="Z32" s="108">
        <f t="shared" si="67"/>
        <v>12.22</v>
      </c>
      <c r="AA32" s="108">
        <f t="shared" si="68"/>
        <v>0</v>
      </c>
      <c r="AB32" s="108">
        <f t="shared" si="69"/>
        <v>12.22</v>
      </c>
      <c r="AC32" s="108">
        <f t="shared" si="70"/>
        <v>12.22</v>
      </c>
      <c r="AD32" s="90"/>
      <c r="AE32" s="92" t="s">
        <v>17</v>
      </c>
      <c r="AF32" s="108">
        <f t="shared" si="71"/>
        <v>13.6</v>
      </c>
      <c r="AG32" s="90"/>
      <c r="AH32" s="90"/>
      <c r="AI32" s="90"/>
    </row>
    <row r="33" spans="1:35" s="11" customFormat="1" ht="14.4">
      <c r="A33" s="5"/>
      <c r="B33" s="167" t="s">
        <v>563</v>
      </c>
      <c r="C33" s="95" t="s">
        <v>17</v>
      </c>
      <c r="D33" s="95">
        <v>1</v>
      </c>
      <c r="E33" s="95" t="s">
        <v>57</v>
      </c>
      <c r="F33" s="95" t="s">
        <v>57</v>
      </c>
      <c r="G33" s="168">
        <v>25.18</v>
      </c>
      <c r="H33" s="118"/>
      <c r="I33" s="95">
        <f t="shared" si="62"/>
        <v>25.18</v>
      </c>
      <c r="J33" s="95">
        <f t="shared" si="63"/>
        <v>25.18</v>
      </c>
      <c r="K33" s="90"/>
      <c r="L33" s="162" t="s">
        <v>17</v>
      </c>
      <c r="M33" s="108">
        <v>1</v>
      </c>
      <c r="N33" s="169">
        <f>21.92-2.41</f>
        <v>19.510000000000002</v>
      </c>
      <c r="O33" s="168">
        <v>2.7</v>
      </c>
      <c r="P33" s="92"/>
      <c r="Q33" s="92"/>
      <c r="R33" s="108">
        <f t="shared" si="48"/>
        <v>52.677000000000007</v>
      </c>
      <c r="S33" s="110"/>
      <c r="T33" s="108" t="s">
        <v>17</v>
      </c>
      <c r="U33" s="92">
        <f t="shared" si="64"/>
        <v>19.510000000000002</v>
      </c>
      <c r="V33" s="90"/>
      <c r="W33" s="162" t="s">
        <v>17</v>
      </c>
      <c r="X33" s="108" t="str">
        <f t="shared" si="65"/>
        <v>cad</v>
      </c>
      <c r="Y33" s="108" t="str">
        <f t="shared" si="66"/>
        <v>cad</v>
      </c>
      <c r="Z33" s="108">
        <f t="shared" si="67"/>
        <v>25.18</v>
      </c>
      <c r="AA33" s="108">
        <f t="shared" si="68"/>
        <v>0</v>
      </c>
      <c r="AB33" s="108">
        <f t="shared" si="69"/>
        <v>25.18</v>
      </c>
      <c r="AC33" s="108">
        <f t="shared" si="70"/>
        <v>25.18</v>
      </c>
      <c r="AD33" s="90"/>
      <c r="AE33" s="92" t="s">
        <v>17</v>
      </c>
      <c r="AF33" s="108">
        <f t="shared" si="71"/>
        <v>19.510000000000002</v>
      </c>
      <c r="AG33" s="90"/>
      <c r="AH33" s="90"/>
      <c r="AI33" s="90"/>
    </row>
    <row r="34" spans="1:35" s="11" customFormat="1" ht="14.4">
      <c r="A34" s="5"/>
      <c r="B34" s="167" t="s">
        <v>564</v>
      </c>
      <c r="C34" s="95" t="s">
        <v>17</v>
      </c>
      <c r="D34" s="95">
        <v>1</v>
      </c>
      <c r="E34" s="95" t="s">
        <v>57</v>
      </c>
      <c r="F34" s="95" t="s">
        <v>57</v>
      </c>
      <c r="G34" s="168">
        <v>9.0299999999999994</v>
      </c>
      <c r="H34" s="118"/>
      <c r="I34" s="95">
        <f t="shared" si="62"/>
        <v>9.0299999999999994</v>
      </c>
      <c r="J34" s="95">
        <f t="shared" si="63"/>
        <v>9.0299999999999994</v>
      </c>
      <c r="K34" s="90"/>
      <c r="L34" s="162" t="s">
        <v>17</v>
      </c>
      <c r="M34" s="108">
        <v>1</v>
      </c>
      <c r="N34" s="169">
        <v>12.09</v>
      </c>
      <c r="O34" s="168">
        <v>2.7</v>
      </c>
      <c r="P34" s="92"/>
      <c r="Q34" s="92"/>
      <c r="R34" s="108">
        <f t="shared" si="48"/>
        <v>32.643000000000001</v>
      </c>
      <c r="S34" s="110"/>
      <c r="T34" s="108" t="s">
        <v>17</v>
      </c>
      <c r="U34" s="92">
        <f t="shared" si="64"/>
        <v>12.09</v>
      </c>
      <c r="V34" s="90"/>
      <c r="W34" s="162" t="s">
        <v>17</v>
      </c>
      <c r="X34" s="108" t="str">
        <f t="shared" si="65"/>
        <v>cad</v>
      </c>
      <c r="Y34" s="108" t="str">
        <f t="shared" si="66"/>
        <v>cad</v>
      </c>
      <c r="Z34" s="108">
        <f t="shared" si="67"/>
        <v>9.0299999999999994</v>
      </c>
      <c r="AA34" s="108">
        <f t="shared" si="68"/>
        <v>0</v>
      </c>
      <c r="AB34" s="108">
        <f t="shared" si="69"/>
        <v>9.0299999999999994</v>
      </c>
      <c r="AC34" s="108">
        <f t="shared" si="70"/>
        <v>9.0299999999999994</v>
      </c>
      <c r="AD34" s="90"/>
      <c r="AE34" s="92" t="s">
        <v>17</v>
      </c>
      <c r="AF34" s="108">
        <f t="shared" si="71"/>
        <v>12.09</v>
      </c>
      <c r="AG34" s="90"/>
      <c r="AH34" s="90"/>
      <c r="AI34" s="90"/>
    </row>
    <row r="35" spans="1:35" s="11" customFormat="1" ht="14.4">
      <c r="A35" s="5"/>
      <c r="B35" s="167" t="s">
        <v>565</v>
      </c>
      <c r="C35" s="95" t="s">
        <v>17</v>
      </c>
      <c r="D35" s="95">
        <v>1</v>
      </c>
      <c r="E35" s="95" t="s">
        <v>57</v>
      </c>
      <c r="F35" s="95" t="s">
        <v>57</v>
      </c>
      <c r="G35" s="168">
        <v>5.52</v>
      </c>
      <c r="H35" s="118"/>
      <c r="I35" s="95">
        <f t="shared" si="62"/>
        <v>5.52</v>
      </c>
      <c r="J35" s="95">
        <f t="shared" si="63"/>
        <v>5.52</v>
      </c>
      <c r="K35" s="90"/>
      <c r="L35" s="162" t="s">
        <v>17</v>
      </c>
      <c r="M35" s="108">
        <v>1</v>
      </c>
      <c r="N35" s="169">
        <v>10.1</v>
      </c>
      <c r="O35" s="168">
        <v>2.7</v>
      </c>
      <c r="P35" s="92"/>
      <c r="Q35" s="92"/>
      <c r="R35" s="108">
        <f t="shared" si="48"/>
        <v>27.27</v>
      </c>
      <c r="S35" s="110"/>
      <c r="T35" s="108" t="s">
        <v>17</v>
      </c>
      <c r="U35" s="163">
        <f t="shared" si="64"/>
        <v>10.1</v>
      </c>
      <c r="V35" s="90"/>
      <c r="W35" s="162" t="s">
        <v>17</v>
      </c>
      <c r="X35" s="108" t="str">
        <f t="shared" si="65"/>
        <v>cad</v>
      </c>
      <c r="Y35" s="108" t="str">
        <f t="shared" si="66"/>
        <v>cad</v>
      </c>
      <c r="Z35" s="108">
        <f t="shared" si="67"/>
        <v>5.52</v>
      </c>
      <c r="AA35" s="108">
        <f t="shared" si="68"/>
        <v>0</v>
      </c>
      <c r="AB35" s="108">
        <f t="shared" si="69"/>
        <v>5.52</v>
      </c>
      <c r="AC35" s="108">
        <f t="shared" si="70"/>
        <v>5.52</v>
      </c>
      <c r="AD35" s="90"/>
      <c r="AE35" s="92" t="s">
        <v>17</v>
      </c>
      <c r="AF35" s="108">
        <f t="shared" si="71"/>
        <v>10.1</v>
      </c>
      <c r="AG35" s="90"/>
      <c r="AH35" s="90"/>
      <c r="AI35" s="90"/>
    </row>
    <row r="36" spans="1:35" s="11" customFormat="1" ht="14.4">
      <c r="A36" s="5"/>
      <c r="B36" s="167" t="s">
        <v>146</v>
      </c>
      <c r="C36" s="318" t="s">
        <v>17</v>
      </c>
      <c r="D36" s="95">
        <v>1</v>
      </c>
      <c r="E36" s="95" t="s">
        <v>57</v>
      </c>
      <c r="F36" s="95" t="s">
        <v>57</v>
      </c>
      <c r="G36" s="168">
        <v>14.05</v>
      </c>
      <c r="H36" s="118"/>
      <c r="I36" s="95">
        <f t="shared" si="62"/>
        <v>14.05</v>
      </c>
      <c r="J36" s="95">
        <f t="shared" si="63"/>
        <v>14.05</v>
      </c>
      <c r="K36" s="90"/>
      <c r="L36" s="162" t="s">
        <v>17</v>
      </c>
      <c r="M36" s="108">
        <v>1</v>
      </c>
      <c r="N36" s="169">
        <f>17.11-5.33</f>
        <v>11.78</v>
      </c>
      <c r="O36" s="168">
        <v>2.7</v>
      </c>
      <c r="P36" s="92"/>
      <c r="Q36" s="92"/>
      <c r="R36" s="108">
        <f t="shared" si="48"/>
        <v>31.806000000000001</v>
      </c>
      <c r="S36" s="110"/>
      <c r="T36" s="108" t="s">
        <v>21</v>
      </c>
      <c r="U36" s="92">
        <f t="shared" si="64"/>
        <v>11.78</v>
      </c>
      <c r="V36" s="90"/>
      <c r="W36" s="162" t="s">
        <v>17</v>
      </c>
      <c r="X36" s="108" t="str">
        <f t="shared" si="65"/>
        <v>cad</v>
      </c>
      <c r="Y36" s="108" t="str">
        <f t="shared" si="66"/>
        <v>cad</v>
      </c>
      <c r="Z36" s="108">
        <f t="shared" si="67"/>
        <v>14.05</v>
      </c>
      <c r="AA36" s="108">
        <f t="shared" si="68"/>
        <v>0</v>
      </c>
      <c r="AB36" s="108">
        <f t="shared" si="69"/>
        <v>14.05</v>
      </c>
      <c r="AC36" s="108">
        <f t="shared" si="70"/>
        <v>14.05</v>
      </c>
      <c r="AD36" s="90"/>
      <c r="AE36" s="92" t="s">
        <v>17</v>
      </c>
      <c r="AF36" s="108">
        <f t="shared" si="71"/>
        <v>11.78</v>
      </c>
      <c r="AG36" s="90"/>
      <c r="AH36" s="90"/>
      <c r="AI36" s="90"/>
    </row>
    <row r="37" spans="1:35" s="11" customFormat="1" ht="14.4">
      <c r="A37" s="5"/>
      <c r="B37" s="167" t="s">
        <v>567</v>
      </c>
      <c r="C37" s="95" t="s">
        <v>17</v>
      </c>
      <c r="D37" s="95">
        <v>1</v>
      </c>
      <c r="E37" s="95" t="s">
        <v>57</v>
      </c>
      <c r="F37" s="95" t="s">
        <v>57</v>
      </c>
      <c r="G37" s="168">
        <v>10.43</v>
      </c>
      <c r="H37" s="118"/>
      <c r="I37" s="95">
        <f t="shared" si="62"/>
        <v>10.43</v>
      </c>
      <c r="J37" s="95">
        <f t="shared" si="63"/>
        <v>10.43</v>
      </c>
      <c r="K37" s="90"/>
      <c r="L37" s="162" t="s">
        <v>17</v>
      </c>
      <c r="M37" s="108">
        <v>1</v>
      </c>
      <c r="N37" s="169">
        <v>13.31</v>
      </c>
      <c r="O37" s="168">
        <v>2.7</v>
      </c>
      <c r="P37" s="92"/>
      <c r="Q37" s="92"/>
      <c r="R37" s="108">
        <f t="shared" si="48"/>
        <v>35.937000000000005</v>
      </c>
      <c r="S37" s="110"/>
      <c r="T37" s="108" t="s">
        <v>17</v>
      </c>
      <c r="U37" s="92">
        <f t="shared" si="64"/>
        <v>13.31</v>
      </c>
      <c r="V37" s="90"/>
      <c r="W37" s="162" t="s">
        <v>17</v>
      </c>
      <c r="X37" s="108" t="str">
        <f t="shared" si="65"/>
        <v>cad</v>
      </c>
      <c r="Y37" s="108" t="str">
        <f t="shared" si="66"/>
        <v>cad</v>
      </c>
      <c r="Z37" s="108">
        <f t="shared" si="67"/>
        <v>10.43</v>
      </c>
      <c r="AA37" s="108">
        <f t="shared" si="68"/>
        <v>0</v>
      </c>
      <c r="AB37" s="108">
        <f t="shared" si="69"/>
        <v>10.43</v>
      </c>
      <c r="AC37" s="108">
        <f t="shared" si="70"/>
        <v>10.43</v>
      </c>
      <c r="AD37" s="90"/>
      <c r="AE37" s="92" t="s">
        <v>17</v>
      </c>
      <c r="AF37" s="108">
        <f t="shared" si="71"/>
        <v>13.31</v>
      </c>
      <c r="AG37" s="90"/>
      <c r="AH37" s="90"/>
      <c r="AI37" s="90"/>
    </row>
    <row r="38" spans="1:35" s="11" customFormat="1" ht="14.4">
      <c r="A38" s="5"/>
      <c r="B38" s="167" t="s">
        <v>84</v>
      </c>
      <c r="C38" s="95" t="s">
        <v>20</v>
      </c>
      <c r="D38" s="95">
        <v>1</v>
      </c>
      <c r="E38" s="95" t="s">
        <v>57</v>
      </c>
      <c r="F38" s="95" t="s">
        <v>57</v>
      </c>
      <c r="G38" s="168">
        <v>5.34</v>
      </c>
      <c r="H38" s="118"/>
      <c r="I38" s="95">
        <f t="shared" si="62"/>
        <v>5.34</v>
      </c>
      <c r="J38" s="95">
        <f t="shared" si="63"/>
        <v>5.34</v>
      </c>
      <c r="K38" s="90"/>
      <c r="L38" s="162" t="s">
        <v>17</v>
      </c>
      <c r="M38" s="108">
        <v>1</v>
      </c>
      <c r="N38" s="169">
        <v>9.8800000000000008</v>
      </c>
      <c r="O38" s="168">
        <v>2.7</v>
      </c>
      <c r="P38" s="92"/>
      <c r="Q38" s="92"/>
      <c r="R38" s="108">
        <f t="shared" si="48"/>
        <v>26.676000000000005</v>
      </c>
      <c r="S38" s="110"/>
      <c r="T38" s="108" t="s">
        <v>18</v>
      </c>
      <c r="U38" s="108" t="s">
        <v>21</v>
      </c>
      <c r="V38" s="90"/>
      <c r="W38" s="162" t="s">
        <v>18</v>
      </c>
      <c r="X38" s="108" t="str">
        <f t="shared" ref="X38" si="72">E38</f>
        <v>cad</v>
      </c>
      <c r="Y38" s="108" t="str">
        <f t="shared" ref="Y38" si="73">F38</f>
        <v>cad</v>
      </c>
      <c r="Z38" s="108">
        <f t="shared" ref="Z38" si="74">G38</f>
        <v>5.34</v>
      </c>
      <c r="AA38" s="108">
        <f t="shared" ref="AA38" si="75">H38</f>
        <v>0</v>
      </c>
      <c r="AB38" s="108">
        <f t="shared" ref="AB38" si="76">I38</f>
        <v>5.34</v>
      </c>
      <c r="AC38" s="108">
        <f t="shared" ref="AC38" si="77">J38</f>
        <v>5.34</v>
      </c>
      <c r="AD38" s="90"/>
      <c r="AE38" s="92" t="s">
        <v>17</v>
      </c>
      <c r="AF38" s="108">
        <f t="shared" si="71"/>
        <v>9.8800000000000008</v>
      </c>
      <c r="AG38" s="90"/>
      <c r="AH38" s="90"/>
      <c r="AI38" s="90"/>
    </row>
    <row r="39" spans="1:35" s="11" customFormat="1" ht="14.4">
      <c r="A39" s="5"/>
      <c r="B39" s="167" t="s">
        <v>444</v>
      </c>
      <c r="C39" s="95" t="s">
        <v>17</v>
      </c>
      <c r="D39" s="95">
        <v>1</v>
      </c>
      <c r="E39" s="95" t="s">
        <v>57</v>
      </c>
      <c r="F39" s="95" t="s">
        <v>57</v>
      </c>
      <c r="G39" s="168">
        <v>15.7</v>
      </c>
      <c r="H39" s="118"/>
      <c r="I39" s="95">
        <f t="shared" si="62"/>
        <v>15.7</v>
      </c>
      <c r="J39" s="95">
        <f t="shared" si="63"/>
        <v>15.7</v>
      </c>
      <c r="K39" s="90"/>
      <c r="L39" s="162" t="s">
        <v>17</v>
      </c>
      <c r="M39" s="108">
        <v>1</v>
      </c>
      <c r="N39" s="169">
        <v>16.079999999999998</v>
      </c>
      <c r="O39" s="168">
        <v>2.7</v>
      </c>
      <c r="P39" s="92"/>
      <c r="Q39" s="92"/>
      <c r="R39" s="108">
        <f t="shared" si="48"/>
        <v>43.415999999999997</v>
      </c>
      <c r="S39" s="110"/>
      <c r="T39" s="108" t="s">
        <v>17</v>
      </c>
      <c r="U39" s="92">
        <f t="shared" si="64"/>
        <v>16.079999999999998</v>
      </c>
      <c r="V39" s="90"/>
      <c r="W39" s="162" t="s">
        <v>17</v>
      </c>
      <c r="X39" s="108" t="str">
        <f t="shared" ref="X39:X41" si="78">E39</f>
        <v>cad</v>
      </c>
      <c r="Y39" s="108" t="str">
        <f t="shared" ref="Y39:Y41" si="79">F39</f>
        <v>cad</v>
      </c>
      <c r="Z39" s="108">
        <f t="shared" ref="Z39:Z41" si="80">G39</f>
        <v>15.7</v>
      </c>
      <c r="AA39" s="108">
        <f t="shared" ref="AA39:AA41" si="81">H39</f>
        <v>0</v>
      </c>
      <c r="AB39" s="108">
        <f t="shared" ref="AB39:AB41" si="82">I39</f>
        <v>15.7</v>
      </c>
      <c r="AC39" s="108">
        <f t="shared" ref="AC39:AC41" si="83">J39</f>
        <v>15.7</v>
      </c>
      <c r="AD39" s="90"/>
      <c r="AE39" s="92" t="s">
        <v>17</v>
      </c>
      <c r="AF39" s="108">
        <f t="shared" ref="AF39:AF41" si="84">N39*M39</f>
        <v>16.079999999999998</v>
      </c>
      <c r="AG39" s="90"/>
      <c r="AH39" s="90"/>
      <c r="AI39" s="90"/>
    </row>
    <row r="40" spans="1:35" s="11" customFormat="1" ht="14.4">
      <c r="A40" s="5"/>
      <c r="B40" s="167" t="s">
        <v>568</v>
      </c>
      <c r="C40" s="95" t="s">
        <v>17</v>
      </c>
      <c r="D40" s="95">
        <v>2</v>
      </c>
      <c r="E40" s="95" t="s">
        <v>57</v>
      </c>
      <c r="F40" s="95" t="s">
        <v>57</v>
      </c>
      <c r="G40" s="168">
        <v>15.37</v>
      </c>
      <c r="H40" s="118"/>
      <c r="I40" s="95">
        <f t="shared" si="62"/>
        <v>15.37</v>
      </c>
      <c r="J40" s="95">
        <f t="shared" si="63"/>
        <v>30.74</v>
      </c>
      <c r="K40" s="90"/>
      <c r="L40" s="162" t="s">
        <v>17</v>
      </c>
      <c r="M40" s="108">
        <v>2</v>
      </c>
      <c r="N40" s="169">
        <v>15.88</v>
      </c>
      <c r="O40" s="168">
        <v>2.7</v>
      </c>
      <c r="P40" s="92"/>
      <c r="Q40" s="92"/>
      <c r="R40" s="108">
        <f t="shared" si="48"/>
        <v>85.75200000000001</v>
      </c>
      <c r="S40" s="110"/>
      <c r="T40" s="108" t="s">
        <v>17</v>
      </c>
      <c r="U40" s="92">
        <f t="shared" si="64"/>
        <v>31.76</v>
      </c>
      <c r="V40" s="90"/>
      <c r="W40" s="162" t="s">
        <v>17</v>
      </c>
      <c r="X40" s="108" t="str">
        <f t="shared" si="78"/>
        <v>cad</v>
      </c>
      <c r="Y40" s="108" t="str">
        <f t="shared" si="79"/>
        <v>cad</v>
      </c>
      <c r="Z40" s="108">
        <f t="shared" si="80"/>
        <v>15.37</v>
      </c>
      <c r="AA40" s="108">
        <f t="shared" si="81"/>
        <v>0</v>
      </c>
      <c r="AB40" s="108">
        <f t="shared" si="82"/>
        <v>15.37</v>
      </c>
      <c r="AC40" s="108">
        <f t="shared" si="83"/>
        <v>30.74</v>
      </c>
      <c r="AD40" s="90"/>
      <c r="AE40" s="92" t="s">
        <v>17</v>
      </c>
      <c r="AF40" s="108">
        <f t="shared" si="84"/>
        <v>31.76</v>
      </c>
      <c r="AG40" s="90"/>
      <c r="AH40" s="90"/>
      <c r="AI40" s="90"/>
    </row>
    <row r="41" spans="1:35" s="11" customFormat="1" ht="14.4">
      <c r="A41" s="5"/>
      <c r="B41" s="167" t="s">
        <v>569</v>
      </c>
      <c r="C41" s="95" t="s">
        <v>17</v>
      </c>
      <c r="D41" s="95">
        <v>1</v>
      </c>
      <c r="E41" s="95" t="s">
        <v>57</v>
      </c>
      <c r="F41" s="95" t="s">
        <v>57</v>
      </c>
      <c r="G41" s="168">
        <v>4.8</v>
      </c>
      <c r="H41" s="118"/>
      <c r="I41" s="95">
        <f t="shared" si="62"/>
        <v>4.8</v>
      </c>
      <c r="J41" s="95">
        <f t="shared" si="63"/>
        <v>4.8</v>
      </c>
      <c r="K41" s="90"/>
      <c r="L41" s="162" t="s">
        <v>17</v>
      </c>
      <c r="M41" s="108">
        <v>1</v>
      </c>
      <c r="N41" s="169">
        <f>9.73-1.36</f>
        <v>8.370000000000001</v>
      </c>
      <c r="O41" s="168">
        <v>2.7</v>
      </c>
      <c r="P41" s="92"/>
      <c r="Q41" s="92"/>
      <c r="R41" s="108">
        <f t="shared" si="48"/>
        <v>22.599000000000004</v>
      </c>
      <c r="S41" s="110"/>
      <c r="T41" s="108" t="s">
        <v>17</v>
      </c>
      <c r="U41" s="92">
        <f t="shared" si="64"/>
        <v>8.370000000000001</v>
      </c>
      <c r="V41" s="90"/>
      <c r="W41" s="162" t="s">
        <v>17</v>
      </c>
      <c r="X41" s="108" t="str">
        <f t="shared" si="78"/>
        <v>cad</v>
      </c>
      <c r="Y41" s="108" t="str">
        <f t="shared" si="79"/>
        <v>cad</v>
      </c>
      <c r="Z41" s="108">
        <f t="shared" si="80"/>
        <v>4.8</v>
      </c>
      <c r="AA41" s="108">
        <f t="shared" si="81"/>
        <v>0</v>
      </c>
      <c r="AB41" s="108">
        <f t="shared" si="82"/>
        <v>4.8</v>
      </c>
      <c r="AC41" s="108">
        <f t="shared" si="83"/>
        <v>4.8</v>
      </c>
      <c r="AD41" s="90"/>
      <c r="AE41" s="92" t="s">
        <v>17</v>
      </c>
      <c r="AF41" s="108">
        <f t="shared" si="84"/>
        <v>8.370000000000001</v>
      </c>
      <c r="AG41" s="90"/>
      <c r="AH41" s="90"/>
      <c r="AI41" s="90"/>
    </row>
    <row r="42" spans="1:35" s="11" customFormat="1" ht="14.4">
      <c r="A42" s="5"/>
      <c r="B42" s="167" t="s">
        <v>542</v>
      </c>
      <c r="C42" s="95" t="s">
        <v>20</v>
      </c>
      <c r="D42" s="95">
        <v>1</v>
      </c>
      <c r="E42" s="95" t="s">
        <v>57</v>
      </c>
      <c r="F42" s="95" t="s">
        <v>57</v>
      </c>
      <c r="G42" s="168">
        <v>6.35</v>
      </c>
      <c r="H42" s="118"/>
      <c r="I42" s="95">
        <f t="shared" si="46"/>
        <v>6.35</v>
      </c>
      <c r="J42" s="95">
        <f t="shared" si="47"/>
        <v>6.35</v>
      </c>
      <c r="K42" s="90"/>
      <c r="L42" s="162" t="s">
        <v>18</v>
      </c>
      <c r="M42" s="108">
        <v>1</v>
      </c>
      <c r="N42" s="169">
        <v>11.34</v>
      </c>
      <c r="O42" s="168">
        <v>2.7</v>
      </c>
      <c r="P42" s="92"/>
      <c r="Q42" s="92"/>
      <c r="R42" s="108">
        <f t="shared" si="48"/>
        <v>30.618000000000002</v>
      </c>
      <c r="S42" s="110"/>
      <c r="T42" s="108" t="s">
        <v>18</v>
      </c>
      <c r="U42" s="92">
        <f t="shared" si="49"/>
        <v>11.34</v>
      </c>
      <c r="V42" s="90"/>
      <c r="W42" s="162" t="s">
        <v>18</v>
      </c>
      <c r="X42" s="108" t="str">
        <f t="shared" ref="X42" si="85">E42</f>
        <v>cad</v>
      </c>
      <c r="Y42" s="108" t="str">
        <f t="shared" ref="Y42" si="86">F42</f>
        <v>cad</v>
      </c>
      <c r="Z42" s="108">
        <f t="shared" si="58"/>
        <v>6.35</v>
      </c>
      <c r="AA42" s="108"/>
      <c r="AB42" s="108">
        <f t="shared" si="60"/>
        <v>6.35</v>
      </c>
      <c r="AC42" s="108">
        <f t="shared" si="61"/>
        <v>6.35</v>
      </c>
      <c r="AD42" s="90"/>
      <c r="AE42" s="92" t="s">
        <v>17</v>
      </c>
      <c r="AF42" s="108">
        <f t="shared" si="10"/>
        <v>11.34</v>
      </c>
      <c r="AG42" s="90"/>
      <c r="AH42" s="90"/>
      <c r="AI42" s="90"/>
    </row>
    <row r="43" spans="1:35" s="11" customFormat="1" ht="14.4">
      <c r="A43" s="5"/>
      <c r="B43" s="167" t="s">
        <v>543</v>
      </c>
      <c r="C43" s="95" t="s">
        <v>20</v>
      </c>
      <c r="D43" s="95">
        <v>1</v>
      </c>
      <c r="E43" s="95" t="s">
        <v>57</v>
      </c>
      <c r="F43" s="95" t="s">
        <v>57</v>
      </c>
      <c r="G43" s="168">
        <v>6.3</v>
      </c>
      <c r="H43" s="118"/>
      <c r="I43" s="95">
        <f t="shared" si="46"/>
        <v>6.3</v>
      </c>
      <c r="J43" s="95">
        <f t="shared" si="47"/>
        <v>6.3</v>
      </c>
      <c r="K43" s="90"/>
      <c r="L43" s="162" t="s">
        <v>18</v>
      </c>
      <c r="M43" s="108">
        <v>1</v>
      </c>
      <c r="N43" s="169">
        <v>10.57</v>
      </c>
      <c r="O43" s="168">
        <v>2.7</v>
      </c>
      <c r="P43" s="92"/>
      <c r="Q43" s="92"/>
      <c r="R43" s="108">
        <f t="shared" si="48"/>
        <v>28.539000000000001</v>
      </c>
      <c r="S43" s="110"/>
      <c r="T43" s="108" t="s">
        <v>18</v>
      </c>
      <c r="U43" s="92">
        <f t="shared" si="49"/>
        <v>10.57</v>
      </c>
      <c r="V43" s="90"/>
      <c r="W43" s="162" t="s">
        <v>18</v>
      </c>
      <c r="X43" s="108" t="str">
        <f t="shared" ref="X43" si="87">E43</f>
        <v>cad</v>
      </c>
      <c r="Y43" s="108" t="str">
        <f t="shared" ref="Y43" si="88">F43</f>
        <v>cad</v>
      </c>
      <c r="Z43" s="108">
        <f t="shared" si="58"/>
        <v>6.3</v>
      </c>
      <c r="AA43" s="108"/>
      <c r="AB43" s="108">
        <f t="shared" si="60"/>
        <v>6.3</v>
      </c>
      <c r="AC43" s="108">
        <f t="shared" si="61"/>
        <v>6.3</v>
      </c>
      <c r="AD43" s="90"/>
      <c r="AE43" s="92" t="s">
        <v>17</v>
      </c>
      <c r="AF43" s="108">
        <f t="shared" si="10"/>
        <v>10.57</v>
      </c>
      <c r="AG43" s="90"/>
      <c r="AH43" s="90"/>
      <c r="AI43" s="90"/>
    </row>
    <row r="44" spans="1:35" s="11" customFormat="1" ht="14.4">
      <c r="A44" s="5"/>
      <c r="B44" s="167" t="s">
        <v>544</v>
      </c>
      <c r="C44" s="95" t="s">
        <v>20</v>
      </c>
      <c r="D44" s="95">
        <v>2</v>
      </c>
      <c r="E44" s="95" t="s">
        <v>57</v>
      </c>
      <c r="F44" s="95" t="s">
        <v>57</v>
      </c>
      <c r="G44" s="168">
        <v>6.12</v>
      </c>
      <c r="H44" s="118"/>
      <c r="I44" s="95">
        <f t="shared" ref="I44:I45" si="89">(G44-H44)</f>
        <v>6.12</v>
      </c>
      <c r="J44" s="95">
        <f t="shared" ref="J44:J45" si="90">I44*D44</f>
        <v>12.24</v>
      </c>
      <c r="K44" s="90"/>
      <c r="L44" s="162" t="s">
        <v>18</v>
      </c>
      <c r="M44" s="108">
        <v>1</v>
      </c>
      <c r="N44" s="169">
        <v>10.8</v>
      </c>
      <c r="O44" s="168">
        <v>2.7</v>
      </c>
      <c r="P44" s="92"/>
      <c r="Q44" s="92"/>
      <c r="R44" s="108">
        <f t="shared" si="48"/>
        <v>29.160000000000004</v>
      </c>
      <c r="S44" s="110"/>
      <c r="T44" s="108" t="s">
        <v>18</v>
      </c>
      <c r="U44" s="163">
        <f t="shared" si="49"/>
        <v>10.8</v>
      </c>
      <c r="V44" s="90"/>
      <c r="W44" s="162" t="s">
        <v>18</v>
      </c>
      <c r="X44" s="108" t="str">
        <f t="shared" ref="X44:X45" si="91">E44</f>
        <v>cad</v>
      </c>
      <c r="Y44" s="108" t="str">
        <f t="shared" ref="Y44:Y45" si="92">F44</f>
        <v>cad</v>
      </c>
      <c r="Z44" s="108">
        <f t="shared" ref="Z44:Z45" si="93">G44</f>
        <v>6.12</v>
      </c>
      <c r="AA44" s="108"/>
      <c r="AB44" s="108">
        <f t="shared" ref="AB44:AB45" si="94">I44</f>
        <v>6.12</v>
      </c>
      <c r="AC44" s="108">
        <f t="shared" ref="AC44:AC45" si="95">J44</f>
        <v>12.24</v>
      </c>
      <c r="AD44" s="90"/>
      <c r="AE44" s="92" t="s">
        <v>17</v>
      </c>
      <c r="AF44" s="108">
        <f t="shared" si="10"/>
        <v>10.8</v>
      </c>
      <c r="AG44" s="90"/>
      <c r="AH44" s="90"/>
      <c r="AI44" s="90"/>
    </row>
    <row r="45" spans="1:35" s="11" customFormat="1" ht="14.4">
      <c r="A45" s="5"/>
      <c r="B45" s="167" t="s">
        <v>545</v>
      </c>
      <c r="C45" s="95" t="s">
        <v>20</v>
      </c>
      <c r="D45" s="95">
        <v>1</v>
      </c>
      <c r="E45" s="95" t="s">
        <v>57</v>
      </c>
      <c r="F45" s="95" t="s">
        <v>57</v>
      </c>
      <c r="G45" s="168">
        <v>6.12</v>
      </c>
      <c r="H45" s="118"/>
      <c r="I45" s="95">
        <f t="shared" si="89"/>
        <v>6.12</v>
      </c>
      <c r="J45" s="95">
        <f t="shared" si="90"/>
        <v>6.12</v>
      </c>
      <c r="K45" s="90"/>
      <c r="L45" s="162" t="s">
        <v>18</v>
      </c>
      <c r="M45" s="108">
        <v>1</v>
      </c>
      <c r="N45" s="169">
        <v>10.8</v>
      </c>
      <c r="O45" s="168">
        <v>2.7</v>
      </c>
      <c r="P45" s="92"/>
      <c r="Q45" s="92"/>
      <c r="R45" s="108">
        <f t="shared" si="48"/>
        <v>29.160000000000004</v>
      </c>
      <c r="S45" s="110"/>
      <c r="T45" s="108" t="s">
        <v>18</v>
      </c>
      <c r="U45" s="163">
        <f t="shared" si="49"/>
        <v>10.8</v>
      </c>
      <c r="V45" s="90"/>
      <c r="W45" s="162" t="s">
        <v>18</v>
      </c>
      <c r="X45" s="108" t="str">
        <f t="shared" si="91"/>
        <v>cad</v>
      </c>
      <c r="Y45" s="108" t="str">
        <f t="shared" si="92"/>
        <v>cad</v>
      </c>
      <c r="Z45" s="108">
        <f t="shared" si="93"/>
        <v>6.12</v>
      </c>
      <c r="AA45" s="108"/>
      <c r="AB45" s="108">
        <f t="shared" si="94"/>
        <v>6.12</v>
      </c>
      <c r="AC45" s="108">
        <f t="shared" si="95"/>
        <v>6.12</v>
      </c>
      <c r="AD45" s="90"/>
      <c r="AE45" s="92" t="s">
        <v>17</v>
      </c>
      <c r="AF45" s="108">
        <f t="shared" si="10"/>
        <v>10.8</v>
      </c>
      <c r="AG45" s="90"/>
      <c r="AH45" s="90"/>
      <c r="AI45" s="90"/>
    </row>
    <row r="46" spans="1:35" s="11" customFormat="1" ht="14.4">
      <c r="A46" s="5"/>
      <c r="B46" s="167" t="s">
        <v>553</v>
      </c>
      <c r="C46" s="95" t="s">
        <v>20</v>
      </c>
      <c r="D46" s="95">
        <v>1</v>
      </c>
      <c r="E46" s="95" t="s">
        <v>57</v>
      </c>
      <c r="F46" s="95" t="s">
        <v>57</v>
      </c>
      <c r="G46" s="168">
        <v>5.3</v>
      </c>
      <c r="H46" s="118"/>
      <c r="I46" s="95">
        <f t="shared" ref="I46:I52" si="96">(G46-H46)</f>
        <v>5.3</v>
      </c>
      <c r="J46" s="95">
        <f t="shared" ref="J46:J52" si="97">I46*D46</f>
        <v>5.3</v>
      </c>
      <c r="K46" s="90"/>
      <c r="L46" s="162" t="s">
        <v>18</v>
      </c>
      <c r="M46" s="108">
        <v>1</v>
      </c>
      <c r="N46" s="169">
        <v>9.9600000000000009</v>
      </c>
      <c r="O46" s="168">
        <v>2.7</v>
      </c>
      <c r="P46" s="92"/>
      <c r="Q46" s="92"/>
      <c r="R46" s="108">
        <f t="shared" si="48"/>
        <v>26.892000000000003</v>
      </c>
      <c r="S46" s="110"/>
      <c r="T46" s="108" t="s">
        <v>18</v>
      </c>
      <c r="U46" s="163">
        <f t="shared" ref="U46:U52" si="98">N46*M46</f>
        <v>9.9600000000000009</v>
      </c>
      <c r="V46" s="90"/>
      <c r="W46" s="162" t="s">
        <v>18</v>
      </c>
      <c r="X46" s="108" t="str">
        <f t="shared" ref="X46:X52" si="99">E46</f>
        <v>cad</v>
      </c>
      <c r="Y46" s="108" t="str">
        <f t="shared" ref="Y46:Y52" si="100">F46</f>
        <v>cad</v>
      </c>
      <c r="Z46" s="108">
        <f t="shared" ref="Z46:Z52" si="101">G46</f>
        <v>5.3</v>
      </c>
      <c r="AA46" s="108"/>
      <c r="AB46" s="108">
        <f t="shared" ref="AB46:AB52" si="102">I46</f>
        <v>5.3</v>
      </c>
      <c r="AC46" s="108">
        <f t="shared" ref="AC46:AC52" si="103">J46</f>
        <v>5.3</v>
      </c>
      <c r="AD46" s="90"/>
      <c r="AE46" s="92" t="s">
        <v>17</v>
      </c>
      <c r="AF46" s="108">
        <f t="shared" si="10"/>
        <v>9.9600000000000009</v>
      </c>
      <c r="AG46" s="90"/>
      <c r="AH46" s="90"/>
      <c r="AI46" s="90"/>
    </row>
    <row r="47" spans="1:35" s="11" customFormat="1" ht="14.4">
      <c r="A47" s="5"/>
      <c r="B47" s="167" t="s">
        <v>554</v>
      </c>
      <c r="C47" s="95" t="s">
        <v>20</v>
      </c>
      <c r="D47" s="95">
        <v>2</v>
      </c>
      <c r="E47" s="95" t="s">
        <v>57</v>
      </c>
      <c r="F47" s="95" t="s">
        <v>57</v>
      </c>
      <c r="G47" s="168">
        <v>5.4</v>
      </c>
      <c r="H47" s="118"/>
      <c r="I47" s="95">
        <f t="shared" si="96"/>
        <v>5.4</v>
      </c>
      <c r="J47" s="95">
        <f t="shared" si="97"/>
        <v>10.8</v>
      </c>
      <c r="K47" s="90"/>
      <c r="L47" s="162" t="s">
        <v>18</v>
      </c>
      <c r="M47" s="108">
        <v>2</v>
      </c>
      <c r="N47" s="169">
        <v>10.08</v>
      </c>
      <c r="O47" s="168">
        <v>2.7</v>
      </c>
      <c r="P47" s="92"/>
      <c r="Q47" s="92"/>
      <c r="R47" s="108">
        <f t="shared" si="48"/>
        <v>54.432000000000002</v>
      </c>
      <c r="S47" s="110"/>
      <c r="T47" s="108" t="s">
        <v>18</v>
      </c>
      <c r="U47" s="163">
        <f t="shared" si="98"/>
        <v>20.16</v>
      </c>
      <c r="V47" s="90"/>
      <c r="W47" s="162" t="s">
        <v>18</v>
      </c>
      <c r="X47" s="108" t="str">
        <f t="shared" si="99"/>
        <v>cad</v>
      </c>
      <c r="Y47" s="108" t="str">
        <f t="shared" si="100"/>
        <v>cad</v>
      </c>
      <c r="Z47" s="108">
        <f t="shared" si="101"/>
        <v>5.4</v>
      </c>
      <c r="AA47" s="108"/>
      <c r="AB47" s="108">
        <f t="shared" si="102"/>
        <v>5.4</v>
      </c>
      <c r="AC47" s="108">
        <f t="shared" si="103"/>
        <v>10.8</v>
      </c>
      <c r="AD47" s="90"/>
      <c r="AE47" s="92" t="s">
        <v>17</v>
      </c>
      <c r="AF47" s="108">
        <f t="shared" si="10"/>
        <v>20.16</v>
      </c>
      <c r="AG47" s="90"/>
      <c r="AH47" s="90"/>
      <c r="AI47" s="90"/>
    </row>
    <row r="48" spans="1:35" s="11" customFormat="1" ht="14.4">
      <c r="A48" s="5"/>
      <c r="B48" s="167" t="s">
        <v>555</v>
      </c>
      <c r="C48" s="95" t="s">
        <v>20</v>
      </c>
      <c r="D48" s="95">
        <v>1</v>
      </c>
      <c r="E48" s="95" t="s">
        <v>57</v>
      </c>
      <c r="F48" s="95" t="s">
        <v>57</v>
      </c>
      <c r="G48" s="168">
        <v>5.24</v>
      </c>
      <c r="H48" s="118"/>
      <c r="I48" s="95">
        <f t="shared" si="96"/>
        <v>5.24</v>
      </c>
      <c r="J48" s="95">
        <f t="shared" si="97"/>
        <v>5.24</v>
      </c>
      <c r="K48" s="90"/>
      <c r="L48" s="162" t="s">
        <v>18</v>
      </c>
      <c r="M48" s="108">
        <v>1</v>
      </c>
      <c r="N48" s="169">
        <v>10.06</v>
      </c>
      <c r="O48" s="168">
        <v>2.7</v>
      </c>
      <c r="P48" s="92"/>
      <c r="Q48" s="92"/>
      <c r="R48" s="108">
        <f t="shared" si="48"/>
        <v>27.162000000000003</v>
      </c>
      <c r="S48" s="110"/>
      <c r="T48" s="108" t="s">
        <v>18</v>
      </c>
      <c r="U48" s="163">
        <f t="shared" si="98"/>
        <v>10.06</v>
      </c>
      <c r="V48" s="90"/>
      <c r="W48" s="162" t="s">
        <v>18</v>
      </c>
      <c r="X48" s="108" t="str">
        <f t="shared" si="99"/>
        <v>cad</v>
      </c>
      <c r="Y48" s="108" t="str">
        <f t="shared" si="100"/>
        <v>cad</v>
      </c>
      <c r="Z48" s="108">
        <f t="shared" si="101"/>
        <v>5.24</v>
      </c>
      <c r="AA48" s="108"/>
      <c r="AB48" s="108">
        <f t="shared" si="102"/>
        <v>5.24</v>
      </c>
      <c r="AC48" s="108">
        <f t="shared" si="103"/>
        <v>5.24</v>
      </c>
      <c r="AD48" s="90"/>
      <c r="AE48" s="92" t="s">
        <v>17</v>
      </c>
      <c r="AF48" s="108">
        <f t="shared" si="10"/>
        <v>10.06</v>
      </c>
      <c r="AG48" s="90"/>
      <c r="AH48" s="90"/>
      <c r="AI48" s="90"/>
    </row>
    <row r="49" spans="1:35" s="11" customFormat="1" ht="14.4">
      <c r="A49" s="5"/>
      <c r="B49" s="167" t="s">
        <v>555</v>
      </c>
      <c r="C49" s="95" t="s">
        <v>20</v>
      </c>
      <c r="D49" s="95">
        <v>1</v>
      </c>
      <c r="E49" s="95" t="s">
        <v>57</v>
      </c>
      <c r="F49" s="95" t="s">
        <v>57</v>
      </c>
      <c r="G49" s="168">
        <v>4.6100000000000003</v>
      </c>
      <c r="H49" s="118"/>
      <c r="I49" s="95">
        <f t="shared" si="96"/>
        <v>4.6100000000000003</v>
      </c>
      <c r="J49" s="95">
        <f t="shared" si="97"/>
        <v>4.6100000000000003</v>
      </c>
      <c r="K49" s="90"/>
      <c r="L49" s="162" t="s">
        <v>18</v>
      </c>
      <c r="M49" s="108">
        <v>1</v>
      </c>
      <c r="N49" s="169">
        <v>10.02</v>
      </c>
      <c r="O49" s="168">
        <v>2.7</v>
      </c>
      <c r="P49" s="92"/>
      <c r="Q49" s="92"/>
      <c r="R49" s="108">
        <f t="shared" si="48"/>
        <v>27.054000000000002</v>
      </c>
      <c r="S49" s="110"/>
      <c r="T49" s="108" t="s">
        <v>18</v>
      </c>
      <c r="U49" s="163">
        <f t="shared" si="98"/>
        <v>10.02</v>
      </c>
      <c r="V49" s="90"/>
      <c r="W49" s="162" t="s">
        <v>18</v>
      </c>
      <c r="X49" s="108" t="str">
        <f t="shared" si="99"/>
        <v>cad</v>
      </c>
      <c r="Y49" s="108" t="str">
        <f t="shared" si="100"/>
        <v>cad</v>
      </c>
      <c r="Z49" s="108">
        <f t="shared" si="101"/>
        <v>4.6100000000000003</v>
      </c>
      <c r="AA49" s="108"/>
      <c r="AB49" s="108">
        <f t="shared" si="102"/>
        <v>4.6100000000000003</v>
      </c>
      <c r="AC49" s="108">
        <f t="shared" si="103"/>
        <v>4.6100000000000003</v>
      </c>
      <c r="AD49" s="90"/>
      <c r="AE49" s="92" t="s">
        <v>17</v>
      </c>
      <c r="AF49" s="108">
        <f t="shared" si="10"/>
        <v>10.02</v>
      </c>
      <c r="AG49" s="90"/>
      <c r="AH49" s="90"/>
      <c r="AI49" s="90"/>
    </row>
    <row r="50" spans="1:35" s="11" customFormat="1" ht="14.4">
      <c r="A50" s="5"/>
      <c r="B50" s="167" t="s">
        <v>556</v>
      </c>
      <c r="C50" s="95" t="s">
        <v>20</v>
      </c>
      <c r="D50" s="95">
        <v>1</v>
      </c>
      <c r="E50" s="95" t="s">
        <v>57</v>
      </c>
      <c r="F50" s="95" t="s">
        <v>57</v>
      </c>
      <c r="G50" s="168">
        <v>3.24</v>
      </c>
      <c r="H50" s="118"/>
      <c r="I50" s="95">
        <f t="shared" si="96"/>
        <v>3.24</v>
      </c>
      <c r="J50" s="95">
        <f t="shared" si="97"/>
        <v>3.24</v>
      </c>
      <c r="K50" s="90"/>
      <c r="L50" s="162" t="s">
        <v>18</v>
      </c>
      <c r="M50" s="108">
        <v>1</v>
      </c>
      <c r="N50" s="169">
        <v>7.44</v>
      </c>
      <c r="O50" s="168">
        <v>2.7</v>
      </c>
      <c r="P50" s="92"/>
      <c r="Q50" s="92"/>
      <c r="R50" s="108">
        <f t="shared" si="48"/>
        <v>20.088000000000001</v>
      </c>
      <c r="S50" s="110"/>
      <c r="T50" s="108" t="s">
        <v>18</v>
      </c>
      <c r="U50" s="163">
        <f t="shared" si="98"/>
        <v>7.44</v>
      </c>
      <c r="V50" s="90"/>
      <c r="W50" s="162" t="s">
        <v>18</v>
      </c>
      <c r="X50" s="108" t="str">
        <f t="shared" si="99"/>
        <v>cad</v>
      </c>
      <c r="Y50" s="108" t="str">
        <f t="shared" si="100"/>
        <v>cad</v>
      </c>
      <c r="Z50" s="108">
        <f t="shared" si="101"/>
        <v>3.24</v>
      </c>
      <c r="AA50" s="108"/>
      <c r="AB50" s="108">
        <f t="shared" si="102"/>
        <v>3.24</v>
      </c>
      <c r="AC50" s="108">
        <f t="shared" si="103"/>
        <v>3.24</v>
      </c>
      <c r="AD50" s="90"/>
      <c r="AE50" s="92" t="s">
        <v>17</v>
      </c>
      <c r="AF50" s="108">
        <f t="shared" si="10"/>
        <v>7.44</v>
      </c>
      <c r="AG50" s="90"/>
      <c r="AH50" s="90"/>
      <c r="AI50" s="90"/>
    </row>
    <row r="51" spans="1:35" s="11" customFormat="1" ht="14.4">
      <c r="A51" s="5"/>
      <c r="B51" s="167" t="s">
        <v>556</v>
      </c>
      <c r="C51" s="95" t="s">
        <v>20</v>
      </c>
      <c r="D51" s="95">
        <v>1</v>
      </c>
      <c r="E51" s="95" t="s">
        <v>57</v>
      </c>
      <c r="F51" s="95" t="s">
        <v>57</v>
      </c>
      <c r="G51" s="168">
        <v>2.8</v>
      </c>
      <c r="H51" s="118"/>
      <c r="I51" s="95">
        <f t="shared" si="96"/>
        <v>2.8</v>
      </c>
      <c r="J51" s="95">
        <f t="shared" si="97"/>
        <v>2.8</v>
      </c>
      <c r="K51" s="90"/>
      <c r="L51" s="162" t="s">
        <v>18</v>
      </c>
      <c r="M51" s="108">
        <v>1</v>
      </c>
      <c r="N51" s="169">
        <v>6.85</v>
      </c>
      <c r="O51" s="168">
        <v>2.7</v>
      </c>
      <c r="P51" s="92"/>
      <c r="Q51" s="92"/>
      <c r="R51" s="108">
        <f t="shared" si="48"/>
        <v>18.495000000000001</v>
      </c>
      <c r="S51" s="110"/>
      <c r="T51" s="108" t="s">
        <v>18</v>
      </c>
      <c r="U51" s="163">
        <f t="shared" si="98"/>
        <v>6.85</v>
      </c>
      <c r="V51" s="90"/>
      <c r="W51" s="162" t="s">
        <v>18</v>
      </c>
      <c r="X51" s="108" t="str">
        <f t="shared" si="99"/>
        <v>cad</v>
      </c>
      <c r="Y51" s="108" t="str">
        <f t="shared" si="100"/>
        <v>cad</v>
      </c>
      <c r="Z51" s="108">
        <f t="shared" si="101"/>
        <v>2.8</v>
      </c>
      <c r="AA51" s="108"/>
      <c r="AB51" s="108">
        <f t="shared" si="102"/>
        <v>2.8</v>
      </c>
      <c r="AC51" s="108">
        <f t="shared" si="103"/>
        <v>2.8</v>
      </c>
      <c r="AD51" s="90"/>
      <c r="AE51" s="92" t="s">
        <v>17</v>
      </c>
      <c r="AF51" s="108">
        <f t="shared" si="10"/>
        <v>6.85</v>
      </c>
      <c r="AG51" s="90"/>
      <c r="AH51" s="90"/>
      <c r="AI51" s="90"/>
    </row>
    <row r="52" spans="1:35" s="11" customFormat="1" ht="14.4">
      <c r="A52" s="5"/>
      <c r="B52" s="167" t="s">
        <v>557</v>
      </c>
      <c r="C52" s="95" t="s">
        <v>20</v>
      </c>
      <c r="D52" s="95">
        <v>2</v>
      </c>
      <c r="E52" s="95" t="s">
        <v>57</v>
      </c>
      <c r="F52" s="95" t="s">
        <v>57</v>
      </c>
      <c r="G52" s="168">
        <v>3.06</v>
      </c>
      <c r="H52" s="118"/>
      <c r="I52" s="95">
        <f t="shared" si="96"/>
        <v>3.06</v>
      </c>
      <c r="J52" s="95">
        <f t="shared" si="97"/>
        <v>6.12</v>
      </c>
      <c r="K52" s="90"/>
      <c r="L52" s="162" t="s">
        <v>18</v>
      </c>
      <c r="M52" s="108">
        <v>2</v>
      </c>
      <c r="N52" s="169">
        <v>7</v>
      </c>
      <c r="O52" s="168">
        <v>2.7</v>
      </c>
      <c r="P52" s="92"/>
      <c r="Q52" s="92"/>
      <c r="R52" s="108">
        <f t="shared" si="48"/>
        <v>37.800000000000004</v>
      </c>
      <c r="S52" s="110"/>
      <c r="T52" s="108" t="s">
        <v>18</v>
      </c>
      <c r="U52" s="163">
        <f t="shared" si="98"/>
        <v>14</v>
      </c>
      <c r="V52" s="90"/>
      <c r="W52" s="162" t="s">
        <v>18</v>
      </c>
      <c r="X52" s="108" t="str">
        <f t="shared" si="99"/>
        <v>cad</v>
      </c>
      <c r="Y52" s="108" t="str">
        <f t="shared" si="100"/>
        <v>cad</v>
      </c>
      <c r="Z52" s="108">
        <f t="shared" si="101"/>
        <v>3.06</v>
      </c>
      <c r="AA52" s="108"/>
      <c r="AB52" s="108">
        <f t="shared" si="102"/>
        <v>3.06</v>
      </c>
      <c r="AC52" s="108">
        <f t="shared" si="103"/>
        <v>6.12</v>
      </c>
      <c r="AD52" s="90"/>
      <c r="AE52" s="92" t="s">
        <v>17</v>
      </c>
      <c r="AF52" s="108">
        <f t="shared" si="10"/>
        <v>14</v>
      </c>
      <c r="AG52" s="90"/>
      <c r="AH52" s="90"/>
      <c r="AI52" s="90"/>
    </row>
    <row r="53" spans="1:35" s="11" customFormat="1" ht="14.4">
      <c r="A53" s="5"/>
      <c r="B53" s="167" t="s">
        <v>546</v>
      </c>
      <c r="C53" s="318" t="s">
        <v>17</v>
      </c>
      <c r="D53" s="95">
        <v>1</v>
      </c>
      <c r="E53" s="95" t="s">
        <v>57</v>
      </c>
      <c r="F53" s="95" t="s">
        <v>57</v>
      </c>
      <c r="G53" s="168">
        <v>26.65</v>
      </c>
      <c r="H53" s="118"/>
      <c r="I53" s="95">
        <f t="shared" ref="I53" si="104">(G53-H53)</f>
        <v>26.65</v>
      </c>
      <c r="J53" s="95">
        <f t="shared" ref="J53" si="105">I53*D53</f>
        <v>26.65</v>
      </c>
      <c r="K53" s="90"/>
      <c r="L53" s="162" t="s">
        <v>17</v>
      </c>
      <c r="M53" s="108">
        <v>1</v>
      </c>
      <c r="N53" s="169">
        <f>22.65-10.22</f>
        <v>12.429999999999998</v>
      </c>
      <c r="O53" s="95">
        <v>2.8</v>
      </c>
      <c r="P53" s="92"/>
      <c r="Q53" s="92"/>
      <c r="R53" s="108">
        <f t="shared" si="48"/>
        <v>34.803999999999995</v>
      </c>
      <c r="S53" s="110"/>
      <c r="T53" s="108" t="s">
        <v>21</v>
      </c>
      <c r="U53" s="92">
        <f t="shared" si="49"/>
        <v>12.429999999999998</v>
      </c>
      <c r="V53" s="90"/>
      <c r="W53" s="162" t="s">
        <v>17</v>
      </c>
      <c r="X53" s="108" t="str">
        <f t="shared" ref="X53:X55" si="106">E53</f>
        <v>cad</v>
      </c>
      <c r="Y53" s="108" t="str">
        <f t="shared" ref="Y53:Y55" si="107">F53</f>
        <v>cad</v>
      </c>
      <c r="Z53" s="108">
        <f t="shared" ref="Z53:Z57" si="108">G53</f>
        <v>26.65</v>
      </c>
      <c r="AA53" s="108"/>
      <c r="AB53" s="108">
        <f t="shared" ref="AB53:AB57" si="109">I53</f>
        <v>26.65</v>
      </c>
      <c r="AC53" s="108">
        <f t="shared" ref="AC53:AC57" si="110">J53</f>
        <v>26.65</v>
      </c>
      <c r="AD53" s="90"/>
      <c r="AE53" s="92" t="s">
        <v>17</v>
      </c>
      <c r="AF53" s="108">
        <f t="shared" si="10"/>
        <v>12.429999999999998</v>
      </c>
      <c r="AG53" s="90"/>
      <c r="AH53" s="90"/>
      <c r="AI53" s="90"/>
    </row>
    <row r="54" spans="1:35" s="11" customFormat="1" ht="14.4">
      <c r="A54" s="5"/>
      <c r="B54" s="167"/>
      <c r="C54" s="95"/>
      <c r="D54" s="95"/>
      <c r="E54" s="95"/>
      <c r="F54" s="95"/>
      <c r="G54" s="141"/>
      <c r="H54" s="118"/>
      <c r="I54" s="95"/>
      <c r="J54" s="95"/>
      <c r="K54" s="90"/>
      <c r="L54" s="162"/>
      <c r="M54" s="108"/>
      <c r="N54" s="95"/>
      <c r="O54" s="95"/>
      <c r="P54" s="92"/>
      <c r="Q54" s="92"/>
      <c r="R54" s="108"/>
      <c r="S54" s="110"/>
      <c r="T54" s="108"/>
      <c r="U54" s="92"/>
      <c r="V54" s="90"/>
      <c r="W54" s="162" t="s">
        <v>20</v>
      </c>
      <c r="X54" s="141">
        <f t="shared" si="106"/>
        <v>0</v>
      </c>
      <c r="Y54" s="141">
        <f t="shared" si="107"/>
        <v>0</v>
      </c>
      <c r="Z54" s="141">
        <v>9.26</v>
      </c>
      <c r="AA54" s="108">
        <f t="shared" ref="AA54" si="111">H54</f>
        <v>0</v>
      </c>
      <c r="AB54" s="141">
        <f>Z54</f>
        <v>9.26</v>
      </c>
      <c r="AC54" s="141">
        <f>Z54</f>
        <v>9.26</v>
      </c>
      <c r="AD54" s="90"/>
      <c r="AE54" s="92"/>
      <c r="AF54" s="108">
        <f t="shared" si="10"/>
        <v>0</v>
      </c>
      <c r="AG54" s="90"/>
      <c r="AH54" s="90"/>
      <c r="AI54" s="90"/>
    </row>
    <row r="55" spans="1:35" s="11" customFormat="1" ht="14.4">
      <c r="A55" s="5"/>
      <c r="B55" s="167" t="s">
        <v>157</v>
      </c>
      <c r="C55" s="318" t="s">
        <v>17</v>
      </c>
      <c r="D55" s="95">
        <v>1</v>
      </c>
      <c r="E55" s="95" t="s">
        <v>57</v>
      </c>
      <c r="F55" s="95" t="s">
        <v>57</v>
      </c>
      <c r="G55" s="168">
        <v>28.61</v>
      </c>
      <c r="H55" s="118"/>
      <c r="I55" s="95">
        <f t="shared" ref="I55:I57" si="112">(G55-H55)</f>
        <v>28.61</v>
      </c>
      <c r="J55" s="95">
        <f t="shared" ref="J55:J57" si="113">I55*D55</f>
        <v>28.61</v>
      </c>
      <c r="K55" s="90"/>
      <c r="L55" s="162" t="s">
        <v>17</v>
      </c>
      <c r="M55" s="108">
        <v>1</v>
      </c>
      <c r="N55" s="169">
        <f>38.31-2.56</f>
        <v>35.75</v>
      </c>
      <c r="O55" s="95">
        <v>2.8</v>
      </c>
      <c r="P55" s="92"/>
      <c r="Q55" s="92"/>
      <c r="R55" s="108">
        <f t="shared" si="48"/>
        <v>100.1</v>
      </c>
      <c r="S55" s="110"/>
      <c r="T55" s="108" t="s">
        <v>21</v>
      </c>
      <c r="U55" s="92">
        <f t="shared" si="49"/>
        <v>35.75</v>
      </c>
      <c r="V55" s="90"/>
      <c r="W55" s="162" t="s">
        <v>17</v>
      </c>
      <c r="X55" s="108" t="str">
        <f t="shared" si="106"/>
        <v>cad</v>
      </c>
      <c r="Y55" s="108" t="str">
        <f t="shared" si="107"/>
        <v>cad</v>
      </c>
      <c r="Z55" s="108">
        <f t="shared" si="108"/>
        <v>28.61</v>
      </c>
      <c r="AA55" s="108"/>
      <c r="AB55" s="108">
        <f t="shared" si="109"/>
        <v>28.61</v>
      </c>
      <c r="AC55" s="108">
        <f t="shared" si="110"/>
        <v>28.61</v>
      </c>
      <c r="AD55" s="90"/>
      <c r="AE55" s="92" t="s">
        <v>17</v>
      </c>
      <c r="AF55" s="108">
        <f t="shared" si="10"/>
        <v>35.75</v>
      </c>
      <c r="AG55" s="90"/>
      <c r="AH55" s="90"/>
      <c r="AI55" s="90"/>
    </row>
    <row r="56" spans="1:35" s="11" customFormat="1" ht="14.4">
      <c r="A56" s="5"/>
      <c r="B56" s="167"/>
      <c r="C56" s="95"/>
      <c r="D56" s="95"/>
      <c r="E56" s="95"/>
      <c r="F56" s="95"/>
      <c r="G56" s="141"/>
      <c r="H56" s="118"/>
      <c r="I56" s="95"/>
      <c r="J56" s="95"/>
      <c r="K56" s="90"/>
      <c r="L56" s="162"/>
      <c r="M56" s="108"/>
      <c r="N56" s="95"/>
      <c r="O56" s="95"/>
      <c r="P56" s="92"/>
      <c r="Q56" s="92"/>
      <c r="R56" s="108"/>
      <c r="S56" s="110"/>
      <c r="T56" s="108"/>
      <c r="U56" s="92"/>
      <c r="V56" s="90"/>
      <c r="W56" s="162" t="s">
        <v>19</v>
      </c>
      <c r="X56" s="141">
        <f t="shared" ref="X56:X57" si="114">E56</f>
        <v>0</v>
      </c>
      <c r="Y56" s="141">
        <f t="shared" ref="Y56:Y57" si="115">F56</f>
        <v>0</v>
      </c>
      <c r="Z56" s="141">
        <v>12.51</v>
      </c>
      <c r="AA56" s="108"/>
      <c r="AB56" s="141">
        <f>Z56</f>
        <v>12.51</v>
      </c>
      <c r="AC56" s="141">
        <f>Z56</f>
        <v>12.51</v>
      </c>
      <c r="AD56" s="90"/>
      <c r="AE56" s="92"/>
      <c r="AF56" s="108">
        <f t="shared" si="10"/>
        <v>0</v>
      </c>
      <c r="AG56" s="90"/>
      <c r="AH56" s="90"/>
      <c r="AI56" s="90"/>
    </row>
    <row r="57" spans="1:35" s="11" customFormat="1" ht="14.4">
      <c r="A57" s="5"/>
      <c r="B57" s="167" t="s">
        <v>157</v>
      </c>
      <c r="C57" s="318" t="s">
        <v>17</v>
      </c>
      <c r="D57" s="95">
        <v>1</v>
      </c>
      <c r="E57" s="95" t="s">
        <v>57</v>
      </c>
      <c r="F57" s="95" t="s">
        <v>57</v>
      </c>
      <c r="G57" s="168">
        <v>52.97</v>
      </c>
      <c r="H57" s="118"/>
      <c r="I57" s="95">
        <f t="shared" si="112"/>
        <v>52.97</v>
      </c>
      <c r="J57" s="95">
        <f t="shared" si="113"/>
        <v>52.97</v>
      </c>
      <c r="K57" s="90"/>
      <c r="L57" s="162" t="s">
        <v>17</v>
      </c>
      <c r="M57" s="108">
        <v>1</v>
      </c>
      <c r="N57" s="169">
        <f>42.27-15.61</f>
        <v>26.660000000000004</v>
      </c>
      <c r="O57" s="95">
        <v>2.8</v>
      </c>
      <c r="P57" s="92"/>
      <c r="Q57" s="92"/>
      <c r="R57" s="108">
        <f t="shared" si="48"/>
        <v>74.64800000000001</v>
      </c>
      <c r="S57" s="110"/>
      <c r="T57" s="108" t="s">
        <v>21</v>
      </c>
      <c r="U57" s="92">
        <f t="shared" si="49"/>
        <v>26.660000000000004</v>
      </c>
      <c r="V57" s="90"/>
      <c r="W57" s="162" t="s">
        <v>17</v>
      </c>
      <c r="X57" s="108" t="str">
        <f t="shared" si="114"/>
        <v>cad</v>
      </c>
      <c r="Y57" s="108" t="str">
        <f t="shared" si="115"/>
        <v>cad</v>
      </c>
      <c r="Z57" s="108">
        <f t="shared" si="108"/>
        <v>52.97</v>
      </c>
      <c r="AA57" s="108"/>
      <c r="AB57" s="108">
        <f t="shared" si="109"/>
        <v>52.97</v>
      </c>
      <c r="AC57" s="108">
        <f t="shared" si="110"/>
        <v>52.97</v>
      </c>
      <c r="AD57" s="90"/>
      <c r="AE57" s="92" t="s">
        <v>17</v>
      </c>
      <c r="AF57" s="108">
        <f t="shared" si="10"/>
        <v>26.660000000000004</v>
      </c>
      <c r="AG57" s="90"/>
      <c r="AH57" s="90"/>
      <c r="AI57" s="90"/>
    </row>
    <row r="58" spans="1:35" s="11" customFormat="1" ht="14.4">
      <c r="A58" s="5"/>
      <c r="B58" s="167"/>
      <c r="C58" s="95"/>
      <c r="D58" s="95"/>
      <c r="E58" s="95"/>
      <c r="F58" s="95"/>
      <c r="G58" s="141"/>
      <c r="H58" s="118"/>
      <c r="I58" s="95"/>
      <c r="J58" s="95"/>
      <c r="K58" s="90"/>
      <c r="L58" s="162"/>
      <c r="M58" s="108"/>
      <c r="N58" s="95"/>
      <c r="O58" s="95"/>
      <c r="P58" s="92"/>
      <c r="Q58" s="92"/>
      <c r="R58" s="108"/>
      <c r="S58" s="110"/>
      <c r="T58" s="108"/>
      <c r="U58" s="92"/>
      <c r="V58" s="90"/>
      <c r="W58" s="162" t="s">
        <v>19</v>
      </c>
      <c r="X58" s="141">
        <f t="shared" ref="X58" si="116">E58</f>
        <v>0</v>
      </c>
      <c r="Y58" s="141">
        <f t="shared" ref="Y58" si="117">F58</f>
        <v>0</v>
      </c>
      <c r="Z58" s="141">
        <v>12.98</v>
      </c>
      <c r="AA58" s="108"/>
      <c r="AB58" s="141">
        <f t="shared" ref="AB58:AB59" si="118">Z58</f>
        <v>12.98</v>
      </c>
      <c r="AC58" s="141">
        <f t="shared" ref="AC58:AC59" si="119">Z58</f>
        <v>12.98</v>
      </c>
      <c r="AD58" s="90"/>
      <c r="AE58" s="92"/>
      <c r="AF58" s="108">
        <f t="shared" si="10"/>
        <v>0</v>
      </c>
      <c r="AG58" s="90"/>
      <c r="AH58" s="90"/>
      <c r="AI58" s="90"/>
    </row>
    <row r="59" spans="1:35" s="11" customFormat="1" ht="14.4">
      <c r="A59" s="5"/>
      <c r="B59" s="167"/>
      <c r="C59" s="95"/>
      <c r="D59" s="95"/>
      <c r="E59" s="95"/>
      <c r="F59" s="95"/>
      <c r="G59" s="141"/>
      <c r="H59" s="118"/>
      <c r="I59" s="95"/>
      <c r="J59" s="95"/>
      <c r="K59" s="90"/>
      <c r="L59" s="162"/>
      <c r="M59" s="108"/>
      <c r="N59" s="95"/>
      <c r="O59" s="95"/>
      <c r="P59" s="92"/>
      <c r="Q59" s="92"/>
      <c r="R59" s="108"/>
      <c r="S59" s="110"/>
      <c r="T59" s="108"/>
      <c r="U59" s="92"/>
      <c r="V59" s="90"/>
      <c r="W59" s="162" t="s">
        <v>20</v>
      </c>
      <c r="X59" s="141">
        <f t="shared" ref="X59:X60" si="120">E59</f>
        <v>0</v>
      </c>
      <c r="Y59" s="141">
        <f t="shared" ref="Y59:Y60" si="121">F59</f>
        <v>0</v>
      </c>
      <c r="Z59" s="141">
        <v>8.4600000000000009</v>
      </c>
      <c r="AA59" s="108"/>
      <c r="AB59" s="141">
        <f t="shared" si="118"/>
        <v>8.4600000000000009</v>
      </c>
      <c r="AC59" s="141">
        <f t="shared" si="119"/>
        <v>8.4600000000000009</v>
      </c>
      <c r="AD59" s="90"/>
      <c r="AE59" s="92"/>
      <c r="AF59" s="108">
        <f t="shared" si="10"/>
        <v>0</v>
      </c>
      <c r="AG59" s="90"/>
      <c r="AH59" s="90"/>
      <c r="AI59" s="90"/>
    </row>
    <row r="60" spans="1:35" s="11" customFormat="1" ht="14.4">
      <c r="A60" s="5"/>
      <c r="B60" s="167" t="s">
        <v>157</v>
      </c>
      <c r="C60" s="318" t="s">
        <v>17</v>
      </c>
      <c r="D60" s="95">
        <v>1</v>
      </c>
      <c r="E60" s="95" t="s">
        <v>57</v>
      </c>
      <c r="F60" s="95" t="s">
        <v>57</v>
      </c>
      <c r="G60" s="168">
        <v>9.18</v>
      </c>
      <c r="H60" s="118"/>
      <c r="I60" s="95">
        <f t="shared" ref="I60" si="122">(G60-H60)</f>
        <v>9.18</v>
      </c>
      <c r="J60" s="95">
        <f t="shared" ref="J60" si="123">I60*D60</f>
        <v>9.18</v>
      </c>
      <c r="K60" s="90"/>
      <c r="L60" s="162" t="s">
        <v>17</v>
      </c>
      <c r="M60" s="108">
        <v>1</v>
      </c>
      <c r="N60" s="168">
        <f>16.1-2.96</f>
        <v>13.14</v>
      </c>
      <c r="O60" s="95">
        <v>2.8</v>
      </c>
      <c r="P60" s="92"/>
      <c r="Q60" s="92"/>
      <c r="R60" s="108">
        <f t="shared" ref="R60" si="124">(N60*O60-P60)*M60</f>
        <v>36.792000000000002</v>
      </c>
      <c r="S60" s="110"/>
      <c r="T60" s="108" t="s">
        <v>21</v>
      </c>
      <c r="U60" s="92">
        <f t="shared" ref="U60:U65" si="125">N60*M60</f>
        <v>13.14</v>
      </c>
      <c r="V60" s="90"/>
      <c r="W60" s="162" t="s">
        <v>17</v>
      </c>
      <c r="X60" s="108" t="str">
        <f t="shared" si="120"/>
        <v>cad</v>
      </c>
      <c r="Y60" s="108" t="str">
        <f t="shared" si="121"/>
        <v>cad</v>
      </c>
      <c r="Z60" s="108">
        <f t="shared" ref="Z60" si="126">G60</f>
        <v>9.18</v>
      </c>
      <c r="AA60" s="108"/>
      <c r="AB60" s="108">
        <f t="shared" ref="AB60" si="127">I60</f>
        <v>9.18</v>
      </c>
      <c r="AC60" s="108">
        <f t="shared" ref="AC60" si="128">J60</f>
        <v>9.18</v>
      </c>
      <c r="AD60" s="90"/>
      <c r="AE60" s="92" t="s">
        <v>17</v>
      </c>
      <c r="AF60" s="108">
        <f t="shared" si="10"/>
        <v>13.14</v>
      </c>
      <c r="AG60" s="90"/>
      <c r="AH60" s="90"/>
      <c r="AI60" s="90"/>
    </row>
    <row r="61" spans="1:35" s="11" customFormat="1" ht="14.4">
      <c r="A61" s="5"/>
      <c r="B61" s="167" t="s">
        <v>157</v>
      </c>
      <c r="C61" s="318" t="s">
        <v>17</v>
      </c>
      <c r="D61" s="95">
        <v>1</v>
      </c>
      <c r="E61" s="95" t="s">
        <v>57</v>
      </c>
      <c r="F61" s="95" t="s">
        <v>57</v>
      </c>
      <c r="G61" s="168">
        <v>83.59</v>
      </c>
      <c r="H61" s="118"/>
      <c r="I61" s="95">
        <f t="shared" ref="I61" si="129">(G61-H61)</f>
        <v>83.59</v>
      </c>
      <c r="J61" s="95">
        <f t="shared" ref="J61" si="130">I61*D61</f>
        <v>83.59</v>
      </c>
      <c r="K61" s="90"/>
      <c r="L61" s="162" t="s">
        <v>17</v>
      </c>
      <c r="M61" s="108">
        <v>1</v>
      </c>
      <c r="N61" s="168">
        <f>75.91-2.5</f>
        <v>73.41</v>
      </c>
      <c r="O61" s="95">
        <v>2.8</v>
      </c>
      <c r="P61" s="92"/>
      <c r="Q61" s="92"/>
      <c r="R61" s="108">
        <f t="shared" ref="R61:R65" si="131">(N61*O61-P61)*M61</f>
        <v>205.54799999999997</v>
      </c>
      <c r="S61" s="110"/>
      <c r="T61" s="108" t="s">
        <v>21</v>
      </c>
      <c r="U61" s="92">
        <f t="shared" si="125"/>
        <v>73.41</v>
      </c>
      <c r="V61" s="90"/>
      <c r="W61" s="162" t="s">
        <v>17</v>
      </c>
      <c r="X61" s="108" t="str">
        <f t="shared" ref="X61:X62" si="132">E61</f>
        <v>cad</v>
      </c>
      <c r="Y61" s="108" t="str">
        <f t="shared" ref="Y61:Y62" si="133">F61</f>
        <v>cad</v>
      </c>
      <c r="Z61" s="108">
        <f t="shared" ref="Z61" si="134">G61</f>
        <v>83.59</v>
      </c>
      <c r="AA61" s="108"/>
      <c r="AB61" s="108">
        <f t="shared" ref="AB61" si="135">I61</f>
        <v>83.59</v>
      </c>
      <c r="AC61" s="108">
        <f t="shared" ref="AC61" si="136">J61</f>
        <v>83.59</v>
      </c>
      <c r="AD61" s="90"/>
      <c r="AE61" s="92" t="s">
        <v>17</v>
      </c>
      <c r="AF61" s="108">
        <f t="shared" si="10"/>
        <v>73.41</v>
      </c>
      <c r="AG61" s="90"/>
      <c r="AH61" s="90"/>
      <c r="AI61" s="90"/>
    </row>
    <row r="62" spans="1:35" s="11" customFormat="1" ht="14.4">
      <c r="A62" s="5"/>
      <c r="B62" s="167"/>
      <c r="C62" s="95"/>
      <c r="D62" s="95"/>
      <c r="E62" s="95"/>
      <c r="F62" s="95"/>
      <c r="G62" s="141"/>
      <c r="H62" s="118"/>
      <c r="I62" s="95"/>
      <c r="J62" s="95"/>
      <c r="K62" s="90"/>
      <c r="L62" s="162"/>
      <c r="M62" s="108"/>
      <c r="N62" s="95"/>
      <c r="O62" s="95"/>
      <c r="P62" s="92"/>
      <c r="Q62" s="92"/>
      <c r="R62" s="108"/>
      <c r="S62" s="110"/>
      <c r="T62" s="108"/>
      <c r="U62" s="92"/>
      <c r="V62" s="90"/>
      <c r="W62" s="162" t="s">
        <v>19</v>
      </c>
      <c r="X62" s="141">
        <f t="shared" si="132"/>
        <v>0</v>
      </c>
      <c r="Y62" s="141">
        <f t="shared" si="133"/>
        <v>0</v>
      </c>
      <c r="Z62" s="141">
        <v>35.93</v>
      </c>
      <c r="AA62" s="108"/>
      <c r="AB62" s="141">
        <f>Z62</f>
        <v>35.93</v>
      </c>
      <c r="AC62" s="141">
        <f>Z62</f>
        <v>35.93</v>
      </c>
      <c r="AD62" s="90"/>
      <c r="AE62" s="92"/>
      <c r="AF62" s="108">
        <f t="shared" si="10"/>
        <v>0</v>
      </c>
      <c r="AG62" s="90"/>
      <c r="AH62" s="90"/>
      <c r="AI62" s="90"/>
    </row>
    <row r="63" spans="1:35" s="11" customFormat="1" ht="14.4">
      <c r="A63" s="5"/>
      <c r="B63" s="167" t="s">
        <v>157</v>
      </c>
      <c r="C63" s="318" t="s">
        <v>17</v>
      </c>
      <c r="D63" s="95">
        <v>1</v>
      </c>
      <c r="E63" s="95" t="s">
        <v>57</v>
      </c>
      <c r="F63" s="95" t="s">
        <v>57</v>
      </c>
      <c r="G63" s="168">
        <v>7.33</v>
      </c>
      <c r="H63" s="118"/>
      <c r="I63" s="95">
        <f t="shared" ref="I63:I64" si="137">(G63-H63)</f>
        <v>7.33</v>
      </c>
      <c r="J63" s="95">
        <f t="shared" ref="J63:J64" si="138">I63*D63</f>
        <v>7.33</v>
      </c>
      <c r="K63" s="90"/>
      <c r="L63" s="162" t="s">
        <v>17</v>
      </c>
      <c r="M63" s="108">
        <v>1</v>
      </c>
      <c r="N63" s="168">
        <v>10.86</v>
      </c>
      <c r="O63" s="168">
        <v>2.7</v>
      </c>
      <c r="P63" s="92"/>
      <c r="Q63" s="92"/>
      <c r="R63" s="108">
        <f t="shared" si="131"/>
        <v>29.321999999999999</v>
      </c>
      <c r="S63" s="110"/>
      <c r="T63" s="108" t="s">
        <v>21</v>
      </c>
      <c r="U63" s="92">
        <f t="shared" si="125"/>
        <v>10.86</v>
      </c>
      <c r="V63" s="90"/>
      <c r="W63" s="162" t="s">
        <v>17</v>
      </c>
      <c r="X63" s="108" t="str">
        <f t="shared" ref="X63" si="139">E63</f>
        <v>cad</v>
      </c>
      <c r="Y63" s="108" t="str">
        <f t="shared" ref="Y63" si="140">F63</f>
        <v>cad</v>
      </c>
      <c r="Z63" s="108">
        <f t="shared" ref="Z63:Z65" si="141">G63</f>
        <v>7.33</v>
      </c>
      <c r="AA63" s="108"/>
      <c r="AB63" s="108">
        <f t="shared" ref="AB63:AB64" si="142">I63</f>
        <v>7.33</v>
      </c>
      <c r="AC63" s="108">
        <f t="shared" ref="AC63:AC64" si="143">J63</f>
        <v>7.33</v>
      </c>
      <c r="AD63" s="90"/>
      <c r="AE63" s="92" t="s">
        <v>17</v>
      </c>
      <c r="AF63" s="108">
        <f t="shared" si="10"/>
        <v>10.86</v>
      </c>
      <c r="AG63" s="90"/>
      <c r="AH63" s="90"/>
      <c r="AI63" s="90"/>
    </row>
    <row r="64" spans="1:35" s="11" customFormat="1" ht="14.4">
      <c r="A64" s="5"/>
      <c r="B64" s="167" t="s">
        <v>157</v>
      </c>
      <c r="C64" s="318" t="s">
        <v>17</v>
      </c>
      <c r="D64" s="95">
        <v>1</v>
      </c>
      <c r="E64" s="95" t="s">
        <v>57</v>
      </c>
      <c r="F64" s="95" t="s">
        <v>57</v>
      </c>
      <c r="G64" s="168">
        <v>2.63</v>
      </c>
      <c r="H64" s="118"/>
      <c r="I64" s="95">
        <f t="shared" si="137"/>
        <v>2.63</v>
      </c>
      <c r="J64" s="95">
        <f t="shared" si="138"/>
        <v>2.63</v>
      </c>
      <c r="K64" s="90"/>
      <c r="L64" s="162" t="s">
        <v>17</v>
      </c>
      <c r="M64" s="108">
        <v>1</v>
      </c>
      <c r="N64" s="168">
        <v>6.6</v>
      </c>
      <c r="O64" s="168">
        <v>2.7</v>
      </c>
      <c r="P64" s="92"/>
      <c r="Q64" s="92"/>
      <c r="R64" s="108">
        <f t="shared" si="131"/>
        <v>17.82</v>
      </c>
      <c r="S64" s="110"/>
      <c r="T64" s="108" t="s">
        <v>21</v>
      </c>
      <c r="U64" s="163">
        <f t="shared" si="125"/>
        <v>6.6</v>
      </c>
      <c r="V64" s="90"/>
      <c r="W64" s="162" t="s">
        <v>17</v>
      </c>
      <c r="X64" s="108" t="str">
        <f t="shared" ref="X64" si="144">E64</f>
        <v>cad</v>
      </c>
      <c r="Y64" s="108" t="str">
        <f t="shared" ref="Y64" si="145">F64</f>
        <v>cad</v>
      </c>
      <c r="Z64" s="108">
        <f t="shared" si="141"/>
        <v>2.63</v>
      </c>
      <c r="AA64" s="108"/>
      <c r="AB64" s="108">
        <f t="shared" si="142"/>
        <v>2.63</v>
      </c>
      <c r="AC64" s="108">
        <f t="shared" si="143"/>
        <v>2.63</v>
      </c>
      <c r="AD64" s="90"/>
      <c r="AE64" s="92" t="s">
        <v>17</v>
      </c>
      <c r="AF64" s="108">
        <f t="shared" si="10"/>
        <v>6.6</v>
      </c>
      <c r="AG64" s="90"/>
      <c r="AH64" s="90"/>
      <c r="AI64" s="90"/>
    </row>
    <row r="65" spans="1:35" s="11" customFormat="1" ht="14.4">
      <c r="A65" s="5"/>
      <c r="B65" s="167" t="s">
        <v>547</v>
      </c>
      <c r="C65" s="95" t="s">
        <v>17</v>
      </c>
      <c r="D65" s="95">
        <v>1</v>
      </c>
      <c r="E65" s="95" t="s">
        <v>57</v>
      </c>
      <c r="F65" s="95" t="s">
        <v>57</v>
      </c>
      <c r="G65" s="168">
        <v>37.81</v>
      </c>
      <c r="H65" s="118"/>
      <c r="I65" s="95">
        <f t="shared" ref="I65" si="146">(G65-H65)</f>
        <v>37.81</v>
      </c>
      <c r="J65" s="95">
        <f t="shared" ref="J65" si="147">I65*D65</f>
        <v>37.81</v>
      </c>
      <c r="K65" s="90"/>
      <c r="L65" s="162" t="s">
        <v>17</v>
      </c>
      <c r="M65" s="108">
        <v>1</v>
      </c>
      <c r="N65" s="168">
        <v>32.49</v>
      </c>
      <c r="O65" s="95">
        <v>2.8</v>
      </c>
      <c r="P65" s="92"/>
      <c r="Q65" s="92"/>
      <c r="R65" s="108">
        <f t="shared" si="131"/>
        <v>90.971999999999994</v>
      </c>
      <c r="S65" s="110"/>
      <c r="T65" s="108" t="s">
        <v>17</v>
      </c>
      <c r="U65" s="92">
        <f t="shared" si="125"/>
        <v>32.49</v>
      </c>
      <c r="V65" s="90"/>
      <c r="W65" s="162" t="s">
        <v>17</v>
      </c>
      <c r="X65" s="108" t="str">
        <f t="shared" ref="X65:X66" si="148">E65</f>
        <v>cad</v>
      </c>
      <c r="Y65" s="108" t="str">
        <f t="shared" ref="Y65:Y66" si="149">F65</f>
        <v>cad</v>
      </c>
      <c r="Z65" s="108">
        <f t="shared" si="141"/>
        <v>37.81</v>
      </c>
      <c r="AA65" s="108"/>
      <c r="AB65" s="108">
        <f t="shared" ref="AB65:AB68" si="150">I65</f>
        <v>37.81</v>
      </c>
      <c r="AC65" s="108">
        <f t="shared" ref="AC65:AC68" si="151">J65</f>
        <v>37.81</v>
      </c>
      <c r="AD65" s="90"/>
      <c r="AE65" s="92" t="s">
        <v>17</v>
      </c>
      <c r="AF65" s="108">
        <f t="shared" si="10"/>
        <v>32.49</v>
      </c>
      <c r="AG65" s="90"/>
      <c r="AH65" s="90"/>
      <c r="AI65" s="90"/>
    </row>
    <row r="66" spans="1:35" s="11" customFormat="1" ht="14.4">
      <c r="A66" s="5"/>
      <c r="B66" s="167"/>
      <c r="C66" s="95"/>
      <c r="D66" s="95"/>
      <c r="E66" s="95"/>
      <c r="F66" s="95"/>
      <c r="G66" s="141"/>
      <c r="H66" s="118"/>
      <c r="I66" s="95"/>
      <c r="J66" s="95"/>
      <c r="K66" s="90"/>
      <c r="L66" s="162"/>
      <c r="M66" s="108"/>
      <c r="N66" s="95"/>
      <c r="O66" s="95"/>
      <c r="P66" s="92"/>
      <c r="Q66" s="92"/>
      <c r="R66" s="108"/>
      <c r="S66" s="110"/>
      <c r="T66" s="108"/>
      <c r="U66" s="92"/>
      <c r="V66" s="90"/>
      <c r="W66" s="162" t="s">
        <v>19</v>
      </c>
      <c r="X66" s="141">
        <f t="shared" si="148"/>
        <v>0</v>
      </c>
      <c r="Y66" s="141">
        <f t="shared" si="149"/>
        <v>0</v>
      </c>
      <c r="Z66" s="141">
        <v>10.48</v>
      </c>
      <c r="AA66" s="108"/>
      <c r="AB66" s="141">
        <f t="shared" ref="AB66:AB67" si="152">Z66</f>
        <v>10.48</v>
      </c>
      <c r="AC66" s="141">
        <f t="shared" ref="AC66:AC67" si="153">Z66</f>
        <v>10.48</v>
      </c>
      <c r="AD66" s="90"/>
      <c r="AE66" s="92"/>
      <c r="AF66" s="108">
        <f t="shared" si="10"/>
        <v>0</v>
      </c>
      <c r="AG66" s="90"/>
      <c r="AH66" s="90"/>
      <c r="AI66" s="90"/>
    </row>
    <row r="67" spans="1:35" s="11" customFormat="1" ht="14.4">
      <c r="A67" s="5"/>
      <c r="B67" s="167"/>
      <c r="C67" s="95"/>
      <c r="D67" s="95"/>
      <c r="E67" s="95"/>
      <c r="F67" s="95"/>
      <c r="G67" s="141"/>
      <c r="H67" s="118"/>
      <c r="I67" s="95"/>
      <c r="J67" s="95"/>
      <c r="K67" s="90"/>
      <c r="L67" s="162"/>
      <c r="M67" s="108"/>
      <c r="N67" s="95"/>
      <c r="O67" s="95"/>
      <c r="P67" s="92"/>
      <c r="Q67" s="92"/>
      <c r="R67" s="108"/>
      <c r="S67" s="110"/>
      <c r="T67" s="108"/>
      <c r="U67" s="92"/>
      <c r="V67" s="90"/>
      <c r="W67" s="162" t="s">
        <v>20</v>
      </c>
      <c r="X67" s="141">
        <f t="shared" ref="X67:X68" si="154">E67</f>
        <v>0</v>
      </c>
      <c r="Y67" s="141">
        <f t="shared" ref="Y67:Y68" si="155">F67</f>
        <v>0</v>
      </c>
      <c r="Z67" s="141">
        <v>1.56</v>
      </c>
      <c r="AA67" s="95"/>
      <c r="AB67" s="141">
        <f t="shared" si="152"/>
        <v>1.56</v>
      </c>
      <c r="AC67" s="141">
        <f t="shared" si="153"/>
        <v>1.56</v>
      </c>
      <c r="AD67" s="90"/>
      <c r="AE67" s="92"/>
      <c r="AF67" s="108">
        <f t="shared" si="10"/>
        <v>0</v>
      </c>
      <c r="AG67" s="90"/>
      <c r="AH67" s="90"/>
      <c r="AI67" s="90"/>
    </row>
    <row r="68" spans="1:35" s="11" customFormat="1" ht="14.4">
      <c r="A68" s="5"/>
      <c r="B68" s="167" t="s">
        <v>548</v>
      </c>
      <c r="C68" s="318" t="s">
        <v>17</v>
      </c>
      <c r="D68" s="95">
        <v>1</v>
      </c>
      <c r="E68" s="95" t="s">
        <v>57</v>
      </c>
      <c r="F68" s="95" t="s">
        <v>57</v>
      </c>
      <c r="G68" s="168">
        <v>12.35</v>
      </c>
      <c r="H68" s="118"/>
      <c r="I68" s="95">
        <f t="shared" ref="I68" si="156">(G68-H68)</f>
        <v>12.35</v>
      </c>
      <c r="J68" s="95">
        <f t="shared" ref="J68" si="157">I68*D68</f>
        <v>12.35</v>
      </c>
      <c r="K68" s="90"/>
      <c r="L68" s="162" t="s">
        <v>17</v>
      </c>
      <c r="M68" s="108">
        <v>1</v>
      </c>
      <c r="N68" s="168">
        <f>14.3-3.86</f>
        <v>10.440000000000001</v>
      </c>
      <c r="O68" s="95">
        <v>2.8</v>
      </c>
      <c r="P68" s="92"/>
      <c r="Q68" s="92"/>
      <c r="R68" s="108">
        <f t="shared" ref="R68:R74" si="158">(N68*O68-P68)*M68</f>
        <v>29.232000000000003</v>
      </c>
      <c r="S68" s="110"/>
      <c r="T68" s="108" t="s">
        <v>21</v>
      </c>
      <c r="U68" s="92">
        <f t="shared" ref="U68" si="159">N68*M68</f>
        <v>10.440000000000001</v>
      </c>
      <c r="V68" s="90"/>
      <c r="W68" s="102" t="s">
        <v>17</v>
      </c>
      <c r="X68" s="108" t="str">
        <f t="shared" si="154"/>
        <v>cad</v>
      </c>
      <c r="Y68" s="108" t="str">
        <f t="shared" si="155"/>
        <v>cad</v>
      </c>
      <c r="Z68" s="108">
        <f t="shared" ref="Z68" si="160">G68</f>
        <v>12.35</v>
      </c>
      <c r="AA68" s="108"/>
      <c r="AB68" s="108">
        <f t="shared" si="150"/>
        <v>12.35</v>
      </c>
      <c r="AC68" s="108">
        <f t="shared" si="151"/>
        <v>12.35</v>
      </c>
      <c r="AD68" s="90"/>
      <c r="AE68" s="92" t="s">
        <v>17</v>
      </c>
      <c r="AF68" s="108">
        <f t="shared" si="10"/>
        <v>10.440000000000001</v>
      </c>
      <c r="AG68" s="90"/>
      <c r="AH68" s="90"/>
      <c r="AI68" s="90"/>
    </row>
    <row r="69" spans="1:35" s="11" customFormat="1" ht="14.4">
      <c r="A69" s="5"/>
      <c r="B69" s="167"/>
      <c r="C69" s="95"/>
      <c r="D69" s="95"/>
      <c r="E69" s="95"/>
      <c r="F69" s="95"/>
      <c r="G69" s="141"/>
      <c r="H69" s="118"/>
      <c r="I69" s="95"/>
      <c r="J69" s="95"/>
      <c r="K69" s="90"/>
      <c r="L69" s="162"/>
      <c r="M69" s="108"/>
      <c r="N69" s="95"/>
      <c r="O69" s="95"/>
      <c r="P69" s="92"/>
      <c r="Q69" s="92"/>
      <c r="R69" s="108"/>
      <c r="S69" s="110"/>
      <c r="T69" s="108"/>
      <c r="U69" s="92"/>
      <c r="V69" s="90"/>
      <c r="W69" s="162" t="s">
        <v>19</v>
      </c>
      <c r="X69" s="141" t="str">
        <f t="shared" ref="X69:Y70" si="161">E68</f>
        <v>cad</v>
      </c>
      <c r="Y69" s="141" t="str">
        <f t="shared" si="161"/>
        <v>cad</v>
      </c>
      <c r="Z69" s="141">
        <v>12.35</v>
      </c>
      <c r="AA69" s="95"/>
      <c r="AB69" s="141">
        <f t="shared" ref="AB69:AB70" si="162">Z69</f>
        <v>12.35</v>
      </c>
      <c r="AC69" s="141">
        <f t="shared" ref="AC69:AC70" si="163">Z69</f>
        <v>12.35</v>
      </c>
      <c r="AD69" s="90"/>
      <c r="AE69" s="92"/>
      <c r="AF69" s="108">
        <f t="shared" si="10"/>
        <v>0</v>
      </c>
      <c r="AG69" s="90"/>
      <c r="AH69" s="90"/>
      <c r="AI69" s="90"/>
    </row>
    <row r="70" spans="1:35" s="11" customFormat="1" ht="14.4">
      <c r="A70" s="5"/>
      <c r="B70" s="167"/>
      <c r="C70" s="95"/>
      <c r="D70" s="95"/>
      <c r="E70" s="95"/>
      <c r="F70" s="95"/>
      <c r="G70" s="179"/>
      <c r="H70" s="118"/>
      <c r="I70" s="95"/>
      <c r="J70" s="95"/>
      <c r="K70" s="90"/>
      <c r="L70" s="162"/>
      <c r="M70" s="108"/>
      <c r="N70" s="95"/>
      <c r="O70" s="95"/>
      <c r="P70" s="92"/>
      <c r="Q70" s="92"/>
      <c r="R70" s="108"/>
      <c r="S70" s="110"/>
      <c r="T70" s="108"/>
      <c r="U70" s="92"/>
      <c r="V70" s="90"/>
      <c r="W70" s="162" t="s">
        <v>20</v>
      </c>
      <c r="X70" s="141">
        <f t="shared" si="161"/>
        <v>0</v>
      </c>
      <c r="Y70" s="141">
        <f t="shared" si="161"/>
        <v>0</v>
      </c>
      <c r="Z70" s="141">
        <v>4.6900000000000004</v>
      </c>
      <c r="AA70" s="95"/>
      <c r="AB70" s="141">
        <f t="shared" si="162"/>
        <v>4.6900000000000004</v>
      </c>
      <c r="AC70" s="141">
        <f t="shared" si="163"/>
        <v>4.6900000000000004</v>
      </c>
      <c r="AD70" s="90"/>
      <c r="AE70" s="92"/>
      <c r="AF70" s="108">
        <f t="shared" si="10"/>
        <v>0</v>
      </c>
      <c r="AG70" s="90"/>
      <c r="AH70" s="90"/>
      <c r="AI70" s="90"/>
    </row>
    <row r="71" spans="1:35" s="11" customFormat="1" ht="14.4">
      <c r="A71" s="5"/>
      <c r="B71" s="167" t="s">
        <v>119</v>
      </c>
      <c r="C71" s="95" t="s">
        <v>22</v>
      </c>
      <c r="D71" s="95">
        <v>1</v>
      </c>
      <c r="E71" s="95" t="s">
        <v>57</v>
      </c>
      <c r="F71" s="95" t="s">
        <v>57</v>
      </c>
      <c r="G71" s="178">
        <v>4.42</v>
      </c>
      <c r="H71" s="118"/>
      <c r="I71" s="95">
        <f t="shared" ref="I71:I74" si="164">(G71-H71)</f>
        <v>4.42</v>
      </c>
      <c r="J71" s="95">
        <f t="shared" ref="J71:J74" si="165">I71*D71</f>
        <v>4.42</v>
      </c>
      <c r="K71" s="90"/>
      <c r="L71" s="162" t="s">
        <v>20</v>
      </c>
      <c r="M71" s="108">
        <v>1</v>
      </c>
      <c r="N71" s="168">
        <v>8.6</v>
      </c>
      <c r="O71" s="168">
        <v>2.7</v>
      </c>
      <c r="P71" s="92"/>
      <c r="Q71" s="92"/>
      <c r="R71" s="108">
        <f t="shared" si="158"/>
        <v>23.22</v>
      </c>
      <c r="S71" s="110"/>
      <c r="T71" s="108"/>
      <c r="U71" s="92"/>
      <c r="V71" s="90"/>
      <c r="W71" s="162" t="s">
        <v>18</v>
      </c>
      <c r="X71" s="108" t="str">
        <f t="shared" ref="X71:X74" si="166">E71</f>
        <v>cad</v>
      </c>
      <c r="Y71" s="108" t="str">
        <f t="shared" ref="Y71:Y74" si="167">F71</f>
        <v>cad</v>
      </c>
      <c r="Z71" s="108">
        <f t="shared" ref="Z71:Z74" si="168">G71</f>
        <v>4.42</v>
      </c>
      <c r="AA71" s="108"/>
      <c r="AB71" s="108">
        <f t="shared" ref="AB71:AB74" si="169">I71</f>
        <v>4.42</v>
      </c>
      <c r="AC71" s="108">
        <f t="shared" ref="AC71:AC74" si="170">J71</f>
        <v>4.42</v>
      </c>
      <c r="AD71" s="90"/>
      <c r="AE71" s="92" t="s">
        <v>17</v>
      </c>
      <c r="AF71" s="108">
        <f t="shared" ref="AF71:AF74" si="171">N71*M71</f>
        <v>8.6</v>
      </c>
      <c r="AG71" s="90"/>
      <c r="AH71" s="90"/>
      <c r="AI71" s="90"/>
    </row>
    <row r="72" spans="1:35" s="11" customFormat="1" ht="14.4">
      <c r="A72" s="5"/>
      <c r="B72" s="167" t="s">
        <v>119</v>
      </c>
      <c r="C72" s="95" t="s">
        <v>22</v>
      </c>
      <c r="D72" s="95">
        <v>1</v>
      </c>
      <c r="E72" s="95" t="s">
        <v>57</v>
      </c>
      <c r="F72" s="95" t="s">
        <v>57</v>
      </c>
      <c r="G72" s="178">
        <v>8.66</v>
      </c>
      <c r="H72" s="118"/>
      <c r="I72" s="95">
        <f t="shared" si="164"/>
        <v>8.66</v>
      </c>
      <c r="J72" s="95">
        <f t="shared" si="165"/>
        <v>8.66</v>
      </c>
      <c r="K72" s="90"/>
      <c r="L72" s="162" t="s">
        <v>20</v>
      </c>
      <c r="M72" s="108">
        <v>1</v>
      </c>
      <c r="N72" s="168">
        <v>11.85</v>
      </c>
      <c r="O72" s="168">
        <v>2.7</v>
      </c>
      <c r="P72" s="92"/>
      <c r="Q72" s="92"/>
      <c r="R72" s="108">
        <f t="shared" si="158"/>
        <v>31.995000000000001</v>
      </c>
      <c r="S72" s="110"/>
      <c r="T72" s="108"/>
      <c r="U72" s="92"/>
      <c r="V72" s="90"/>
      <c r="W72" s="162" t="s">
        <v>18</v>
      </c>
      <c r="X72" s="108" t="str">
        <f t="shared" si="166"/>
        <v>cad</v>
      </c>
      <c r="Y72" s="108" t="str">
        <f t="shared" si="167"/>
        <v>cad</v>
      </c>
      <c r="Z72" s="108">
        <f t="shared" si="168"/>
        <v>8.66</v>
      </c>
      <c r="AA72" s="108"/>
      <c r="AB72" s="108">
        <f t="shared" si="169"/>
        <v>8.66</v>
      </c>
      <c r="AC72" s="108">
        <f t="shared" si="170"/>
        <v>8.66</v>
      </c>
      <c r="AD72" s="90"/>
      <c r="AE72" s="92" t="s">
        <v>17</v>
      </c>
      <c r="AF72" s="108">
        <f t="shared" si="171"/>
        <v>11.85</v>
      </c>
      <c r="AG72" s="90"/>
      <c r="AH72" s="90"/>
      <c r="AI72" s="90"/>
    </row>
    <row r="73" spans="1:35" s="11" customFormat="1" ht="14.4">
      <c r="A73" s="5"/>
      <c r="B73" s="167" t="s">
        <v>123</v>
      </c>
      <c r="C73" s="95" t="s">
        <v>22</v>
      </c>
      <c r="D73" s="95">
        <v>1</v>
      </c>
      <c r="E73" s="95" t="s">
        <v>57</v>
      </c>
      <c r="F73" s="95" t="s">
        <v>57</v>
      </c>
      <c r="G73" s="178">
        <v>2.21</v>
      </c>
      <c r="H73" s="118"/>
      <c r="I73" s="95">
        <f t="shared" si="164"/>
        <v>2.21</v>
      </c>
      <c r="J73" s="95">
        <f t="shared" si="165"/>
        <v>2.21</v>
      </c>
      <c r="K73" s="90"/>
      <c r="L73" s="162" t="s">
        <v>20</v>
      </c>
      <c r="M73" s="108">
        <v>1</v>
      </c>
      <c r="N73" s="168">
        <v>6</v>
      </c>
      <c r="O73" s="168">
        <v>2.7</v>
      </c>
      <c r="P73" s="92"/>
      <c r="Q73" s="92"/>
      <c r="R73" s="108">
        <f t="shared" si="158"/>
        <v>16.200000000000003</v>
      </c>
      <c r="S73" s="110"/>
      <c r="T73" s="108"/>
      <c r="U73" s="92"/>
      <c r="V73" s="90"/>
      <c r="W73" s="162" t="s">
        <v>18</v>
      </c>
      <c r="X73" s="108" t="str">
        <f t="shared" si="166"/>
        <v>cad</v>
      </c>
      <c r="Y73" s="108" t="str">
        <f t="shared" si="167"/>
        <v>cad</v>
      </c>
      <c r="Z73" s="108">
        <f t="shared" si="168"/>
        <v>2.21</v>
      </c>
      <c r="AA73" s="108"/>
      <c r="AB73" s="108">
        <f t="shared" si="169"/>
        <v>2.21</v>
      </c>
      <c r="AC73" s="108">
        <f t="shared" si="170"/>
        <v>2.21</v>
      </c>
      <c r="AD73" s="90"/>
      <c r="AE73" s="92" t="s">
        <v>17</v>
      </c>
      <c r="AF73" s="108">
        <f t="shared" si="171"/>
        <v>6</v>
      </c>
      <c r="AG73" s="90"/>
      <c r="AH73" s="90"/>
      <c r="AI73" s="90"/>
    </row>
    <row r="74" spans="1:35" s="11" customFormat="1" ht="14.4">
      <c r="A74" s="5"/>
      <c r="B74" s="167" t="s">
        <v>123</v>
      </c>
      <c r="C74" s="95" t="s">
        <v>22</v>
      </c>
      <c r="D74" s="95">
        <v>1</v>
      </c>
      <c r="E74" s="95" t="s">
        <v>57</v>
      </c>
      <c r="F74" s="95" t="s">
        <v>57</v>
      </c>
      <c r="G74" s="178">
        <v>3.24</v>
      </c>
      <c r="H74" s="118"/>
      <c r="I74" s="95">
        <f t="shared" si="164"/>
        <v>3.24</v>
      </c>
      <c r="J74" s="95">
        <f t="shared" si="165"/>
        <v>3.24</v>
      </c>
      <c r="K74" s="90"/>
      <c r="L74" s="162" t="s">
        <v>20</v>
      </c>
      <c r="M74" s="108">
        <v>1</v>
      </c>
      <c r="N74" s="168">
        <v>7.2</v>
      </c>
      <c r="O74" s="168">
        <v>2.7</v>
      </c>
      <c r="P74" s="92"/>
      <c r="Q74" s="92"/>
      <c r="R74" s="108">
        <f t="shared" si="158"/>
        <v>19.440000000000001</v>
      </c>
      <c r="S74" s="110"/>
      <c r="T74" s="108"/>
      <c r="U74" s="92"/>
      <c r="V74" s="90"/>
      <c r="W74" s="162" t="s">
        <v>18</v>
      </c>
      <c r="X74" s="108" t="str">
        <f t="shared" si="166"/>
        <v>cad</v>
      </c>
      <c r="Y74" s="108" t="str">
        <f t="shared" si="167"/>
        <v>cad</v>
      </c>
      <c r="Z74" s="108">
        <f t="shared" si="168"/>
        <v>3.24</v>
      </c>
      <c r="AA74" s="108"/>
      <c r="AB74" s="108">
        <f t="shared" si="169"/>
        <v>3.24</v>
      </c>
      <c r="AC74" s="108">
        <f t="shared" si="170"/>
        <v>3.24</v>
      </c>
      <c r="AD74" s="90"/>
      <c r="AE74" s="92" t="s">
        <v>17</v>
      </c>
      <c r="AF74" s="108">
        <f t="shared" si="171"/>
        <v>7.2</v>
      </c>
      <c r="AG74" s="90"/>
      <c r="AH74" s="90"/>
      <c r="AI74" s="90"/>
    </row>
    <row r="75" spans="1:35" s="11" customFormat="1" ht="14.4">
      <c r="A75" s="5"/>
      <c r="B75" s="161" t="s">
        <v>152</v>
      </c>
      <c r="C75" s="95" t="s">
        <v>24</v>
      </c>
      <c r="D75" s="95">
        <v>1</v>
      </c>
      <c r="E75" s="95" t="s">
        <v>57</v>
      </c>
      <c r="F75" s="95" t="s">
        <v>57</v>
      </c>
      <c r="G75" s="123">
        <v>10.63</v>
      </c>
      <c r="H75" s="118"/>
      <c r="I75" s="95">
        <f t="shared" ref="I75:I85" si="172">(G75-H75)</f>
        <v>10.63</v>
      </c>
      <c r="J75" s="95">
        <f t="shared" ref="J75:J85" si="173">I75*D75</f>
        <v>10.63</v>
      </c>
      <c r="K75" s="90"/>
      <c r="L75" s="162" t="s">
        <v>339</v>
      </c>
      <c r="M75" s="108">
        <v>1</v>
      </c>
      <c r="N75" s="145">
        <v>17.77</v>
      </c>
      <c r="O75" s="123">
        <v>3.9</v>
      </c>
      <c r="P75" s="92"/>
      <c r="Q75" s="92"/>
      <c r="R75" s="108">
        <f t="shared" si="2"/>
        <v>69.302999999999997</v>
      </c>
      <c r="S75" s="110"/>
      <c r="T75" s="108" t="s">
        <v>20</v>
      </c>
      <c r="U75" s="92">
        <f>N75*M75</f>
        <v>17.77</v>
      </c>
      <c r="V75" s="90"/>
      <c r="W75" s="162" t="s">
        <v>20</v>
      </c>
      <c r="X75" s="108" t="str">
        <f t="shared" ref="X75:X84" si="174">E75</f>
        <v>cad</v>
      </c>
      <c r="Y75" s="108" t="str">
        <f t="shared" ref="Y75:Y84" si="175">F75</f>
        <v>cad</v>
      </c>
      <c r="Z75" s="108">
        <f t="shared" ref="Z75:Z84" si="176">G75</f>
        <v>10.63</v>
      </c>
      <c r="AA75" s="108">
        <f t="shared" ref="AA75:AA84" si="177">H75</f>
        <v>0</v>
      </c>
      <c r="AB75" s="108">
        <f t="shared" ref="AB75:AB84" si="178">I75</f>
        <v>10.63</v>
      </c>
      <c r="AC75" s="108">
        <f t="shared" ref="AC75:AC84" si="179">J75</f>
        <v>10.63</v>
      </c>
      <c r="AD75" s="90"/>
      <c r="AE75" s="92"/>
      <c r="AF75" s="108"/>
      <c r="AG75" s="90"/>
      <c r="AH75" s="90"/>
      <c r="AI75" s="90"/>
    </row>
    <row r="76" spans="1:35" s="11" customFormat="1" ht="14.4">
      <c r="A76" s="5"/>
      <c r="B76" s="161" t="s">
        <v>126</v>
      </c>
      <c r="C76" s="95" t="s">
        <v>17</v>
      </c>
      <c r="D76" s="95">
        <v>1</v>
      </c>
      <c r="E76" s="95" t="s">
        <v>57</v>
      </c>
      <c r="F76" s="95" t="s">
        <v>57</v>
      </c>
      <c r="G76" s="123">
        <v>4.4400000000000004</v>
      </c>
      <c r="H76" s="118"/>
      <c r="I76" s="95">
        <f t="shared" si="172"/>
        <v>4.4400000000000004</v>
      </c>
      <c r="J76" s="95">
        <f t="shared" si="173"/>
        <v>4.4400000000000004</v>
      </c>
      <c r="K76" s="90"/>
      <c r="L76" s="162" t="s">
        <v>17</v>
      </c>
      <c r="M76" s="108">
        <v>1</v>
      </c>
      <c r="N76" s="145">
        <v>8.5</v>
      </c>
      <c r="O76" s="123">
        <v>2.7</v>
      </c>
      <c r="P76" s="92"/>
      <c r="Q76" s="92"/>
      <c r="R76" s="108">
        <f t="shared" si="2"/>
        <v>22.950000000000003</v>
      </c>
      <c r="S76" s="110"/>
      <c r="T76" s="108" t="s">
        <v>357</v>
      </c>
      <c r="U76" s="163">
        <f>N76*M76</f>
        <v>8.5</v>
      </c>
      <c r="V76" s="90"/>
      <c r="W76" s="202" t="s">
        <v>17</v>
      </c>
      <c r="X76" s="108" t="str">
        <f t="shared" si="174"/>
        <v>cad</v>
      </c>
      <c r="Y76" s="108" t="str">
        <f t="shared" si="175"/>
        <v>cad</v>
      </c>
      <c r="Z76" s="108">
        <f t="shared" si="176"/>
        <v>4.4400000000000004</v>
      </c>
      <c r="AA76" s="108">
        <f t="shared" si="177"/>
        <v>0</v>
      </c>
      <c r="AB76" s="108">
        <f t="shared" si="178"/>
        <v>4.4400000000000004</v>
      </c>
      <c r="AC76" s="108">
        <f t="shared" si="179"/>
        <v>4.4400000000000004</v>
      </c>
      <c r="AD76" s="90"/>
      <c r="AE76" s="92" t="s">
        <v>357</v>
      </c>
      <c r="AF76" s="108">
        <f t="shared" si="10"/>
        <v>8.5</v>
      </c>
      <c r="AG76" s="90"/>
      <c r="AH76" s="90"/>
      <c r="AI76" s="90"/>
    </row>
    <row r="77" spans="1:35" s="11" customFormat="1" ht="14.4">
      <c r="A77" s="5"/>
      <c r="B77" s="161" t="s">
        <v>536</v>
      </c>
      <c r="C77" s="95" t="s">
        <v>17</v>
      </c>
      <c r="D77" s="95">
        <v>1</v>
      </c>
      <c r="E77" s="95" t="s">
        <v>57</v>
      </c>
      <c r="F77" s="95" t="s">
        <v>57</v>
      </c>
      <c r="G77" s="123">
        <v>27.28</v>
      </c>
      <c r="H77" s="118"/>
      <c r="I77" s="95">
        <f t="shared" si="172"/>
        <v>27.28</v>
      </c>
      <c r="J77" s="95">
        <f t="shared" si="173"/>
        <v>27.28</v>
      </c>
      <c r="K77" s="90"/>
      <c r="L77" s="162" t="s">
        <v>17</v>
      </c>
      <c r="M77" s="108">
        <v>1</v>
      </c>
      <c r="N77" s="145">
        <v>31.85</v>
      </c>
      <c r="O77" s="123">
        <v>2.7</v>
      </c>
      <c r="P77" s="92"/>
      <c r="Q77" s="92"/>
      <c r="R77" s="108">
        <f t="shared" si="2"/>
        <v>85.995000000000005</v>
      </c>
      <c r="S77" s="110"/>
      <c r="T77" s="108" t="s">
        <v>357</v>
      </c>
      <c r="U77" s="92">
        <f>N77*M77</f>
        <v>31.85</v>
      </c>
      <c r="V77" s="90"/>
      <c r="W77" s="162" t="s">
        <v>17</v>
      </c>
      <c r="X77" s="108" t="str">
        <f t="shared" si="174"/>
        <v>cad</v>
      </c>
      <c r="Y77" s="108" t="str">
        <f t="shared" si="175"/>
        <v>cad</v>
      </c>
      <c r="Z77" s="108">
        <f t="shared" si="176"/>
        <v>27.28</v>
      </c>
      <c r="AA77" s="108">
        <f t="shared" si="177"/>
        <v>0</v>
      </c>
      <c r="AB77" s="108">
        <f t="shared" si="178"/>
        <v>27.28</v>
      </c>
      <c r="AC77" s="108">
        <f t="shared" si="179"/>
        <v>27.28</v>
      </c>
      <c r="AD77" s="90"/>
      <c r="AE77" s="92" t="s">
        <v>357</v>
      </c>
      <c r="AF77" s="108">
        <f t="shared" si="10"/>
        <v>31.85</v>
      </c>
      <c r="AG77" s="90"/>
      <c r="AH77" s="90"/>
      <c r="AI77" s="90"/>
    </row>
    <row r="78" spans="1:35" s="11" customFormat="1" ht="14.4">
      <c r="A78" s="5"/>
      <c r="B78" s="161" t="s">
        <v>59</v>
      </c>
      <c r="C78" s="95" t="s">
        <v>24</v>
      </c>
      <c r="D78" s="95">
        <v>1</v>
      </c>
      <c r="E78" s="95" t="s">
        <v>57</v>
      </c>
      <c r="F78" s="95" t="s">
        <v>57</v>
      </c>
      <c r="G78" s="123">
        <v>40.909999999999997</v>
      </c>
      <c r="H78" s="118"/>
      <c r="I78" s="95">
        <f t="shared" ref="I78" si="180">(G78-H78)</f>
        <v>40.909999999999997</v>
      </c>
      <c r="J78" s="95">
        <f t="shared" ref="J78" si="181">I78*D78</f>
        <v>40.909999999999997</v>
      </c>
      <c r="K78" s="90"/>
      <c r="L78" s="162" t="s">
        <v>339</v>
      </c>
      <c r="M78" s="108">
        <v>1</v>
      </c>
      <c r="N78" s="145">
        <v>26.71</v>
      </c>
      <c r="O78" s="123">
        <v>3.9</v>
      </c>
      <c r="P78" s="92"/>
      <c r="Q78" s="92"/>
      <c r="R78" s="108">
        <f t="shared" si="2"/>
        <v>104.169</v>
      </c>
      <c r="S78" s="110"/>
      <c r="T78" s="108" t="s">
        <v>20</v>
      </c>
      <c r="U78" s="92">
        <f>N78*M78</f>
        <v>26.71</v>
      </c>
      <c r="V78" s="90"/>
      <c r="W78" s="162" t="s">
        <v>20</v>
      </c>
      <c r="X78" s="108" t="str">
        <f t="shared" ref="X78" si="182">E78</f>
        <v>cad</v>
      </c>
      <c r="Y78" s="108" t="str">
        <f t="shared" ref="Y78" si="183">F78</f>
        <v>cad</v>
      </c>
      <c r="Z78" s="108">
        <f t="shared" ref="Z78:Z79" si="184">G78</f>
        <v>40.909999999999997</v>
      </c>
      <c r="AA78" s="108">
        <f t="shared" ref="AA78" si="185">H78</f>
        <v>0</v>
      </c>
      <c r="AB78" s="108">
        <f t="shared" ref="AB78" si="186">I78</f>
        <v>40.909999999999997</v>
      </c>
      <c r="AC78" s="108">
        <f t="shared" ref="AC78" si="187">J78</f>
        <v>40.909999999999997</v>
      </c>
      <c r="AD78" s="90"/>
      <c r="AE78" s="92"/>
      <c r="AF78" s="108"/>
      <c r="AG78" s="90"/>
      <c r="AH78" s="90"/>
      <c r="AI78" s="90"/>
    </row>
    <row r="79" spans="1:35" s="11" customFormat="1" ht="14.4">
      <c r="A79" s="5"/>
      <c r="B79" s="161"/>
      <c r="C79" s="95" t="s">
        <v>24</v>
      </c>
      <c r="D79" s="95">
        <v>1</v>
      </c>
      <c r="E79" s="95" t="s">
        <v>57</v>
      </c>
      <c r="F79" s="95" t="s">
        <v>57</v>
      </c>
      <c r="G79" s="123">
        <v>9.7100000000000009</v>
      </c>
      <c r="H79" s="118"/>
      <c r="I79" s="95">
        <f t="shared" ref="I79" si="188">(G79-H79)</f>
        <v>9.7100000000000009</v>
      </c>
      <c r="J79" s="95">
        <f t="shared" ref="J79" si="189">I79*D79</f>
        <v>9.7100000000000009</v>
      </c>
      <c r="K79" s="90"/>
      <c r="L79" s="162"/>
      <c r="M79" s="108"/>
      <c r="N79" s="95"/>
      <c r="O79" s="95"/>
      <c r="P79" s="92"/>
      <c r="Q79" s="92"/>
      <c r="R79" s="108"/>
      <c r="S79" s="110"/>
      <c r="T79" s="108"/>
      <c r="U79" s="92"/>
      <c r="V79" s="90"/>
      <c r="W79" s="162"/>
      <c r="X79" s="108"/>
      <c r="Y79" s="108"/>
      <c r="Z79" s="108">
        <f t="shared" si="184"/>
        <v>9.7100000000000009</v>
      </c>
      <c r="AA79" s="108"/>
      <c r="AB79" s="108"/>
      <c r="AC79" s="108"/>
      <c r="AD79" s="90"/>
      <c r="AE79" s="92"/>
      <c r="AF79" s="108"/>
      <c r="AG79" s="90"/>
      <c r="AH79" s="90"/>
      <c r="AI79" s="90"/>
    </row>
    <row r="80" spans="1:35" s="11" customFormat="1" ht="14.4">
      <c r="A80" s="5"/>
      <c r="B80" s="161" t="s">
        <v>141</v>
      </c>
      <c r="C80" s="95" t="s">
        <v>24</v>
      </c>
      <c r="D80" s="95">
        <v>1</v>
      </c>
      <c r="E80" s="95" t="s">
        <v>57</v>
      </c>
      <c r="F80" s="95" t="s">
        <v>57</v>
      </c>
      <c r="G80" s="123">
        <v>9.39</v>
      </c>
      <c r="H80" s="118"/>
      <c r="I80" s="95">
        <f t="shared" si="172"/>
        <v>9.39</v>
      </c>
      <c r="J80" s="95">
        <f t="shared" si="173"/>
        <v>9.39</v>
      </c>
      <c r="K80" s="90"/>
      <c r="L80" s="108" t="s">
        <v>339</v>
      </c>
      <c r="M80" s="108">
        <v>1</v>
      </c>
      <c r="N80" s="123">
        <v>13.29</v>
      </c>
      <c r="O80" s="123">
        <v>3.9</v>
      </c>
      <c r="P80" s="92"/>
      <c r="Q80" s="92"/>
      <c r="R80" s="108">
        <f t="shared" si="2"/>
        <v>51.830999999999996</v>
      </c>
      <c r="S80" s="110"/>
      <c r="T80" s="108" t="s">
        <v>20</v>
      </c>
      <c r="U80" s="92">
        <f>N80*M80</f>
        <v>13.29</v>
      </c>
      <c r="V80" s="90"/>
      <c r="W80" s="108" t="s">
        <v>20</v>
      </c>
      <c r="X80" s="108" t="str">
        <f t="shared" si="174"/>
        <v>cad</v>
      </c>
      <c r="Y80" s="108" t="str">
        <f t="shared" si="175"/>
        <v>cad</v>
      </c>
      <c r="Z80" s="108">
        <f t="shared" si="176"/>
        <v>9.39</v>
      </c>
      <c r="AA80" s="108">
        <f t="shared" si="177"/>
        <v>0</v>
      </c>
      <c r="AB80" s="108">
        <f t="shared" si="178"/>
        <v>9.39</v>
      </c>
      <c r="AC80" s="108">
        <f t="shared" si="179"/>
        <v>9.39</v>
      </c>
      <c r="AD80" s="90"/>
      <c r="AE80" s="92"/>
      <c r="AF80" s="108"/>
      <c r="AG80" s="90"/>
      <c r="AH80" s="90"/>
      <c r="AI80" s="90"/>
    </row>
    <row r="81" spans="1:35" s="11" customFormat="1" ht="14.4">
      <c r="A81" s="5"/>
      <c r="B81" s="161" t="s">
        <v>535</v>
      </c>
      <c r="C81" s="95" t="s">
        <v>24</v>
      </c>
      <c r="D81" s="95">
        <v>1</v>
      </c>
      <c r="E81" s="95" t="s">
        <v>57</v>
      </c>
      <c r="F81" s="95" t="s">
        <v>57</v>
      </c>
      <c r="G81" s="123">
        <v>5.04</v>
      </c>
      <c r="H81" s="118"/>
      <c r="I81" s="95">
        <f t="shared" si="172"/>
        <v>5.04</v>
      </c>
      <c r="J81" s="95">
        <f t="shared" si="173"/>
        <v>5.04</v>
      </c>
      <c r="K81" s="90"/>
      <c r="L81" s="108" t="s">
        <v>339</v>
      </c>
      <c r="M81" s="108">
        <v>1</v>
      </c>
      <c r="N81" s="123">
        <v>9.19</v>
      </c>
      <c r="O81" s="123">
        <v>3.9</v>
      </c>
      <c r="P81" s="92"/>
      <c r="Q81" s="92"/>
      <c r="R81" s="108">
        <f t="shared" si="2"/>
        <v>35.840999999999994</v>
      </c>
      <c r="S81" s="110"/>
      <c r="T81" s="108" t="s">
        <v>20</v>
      </c>
      <c r="U81" s="92">
        <f t="shared" ref="U81:U84" si="190">N81*M81</f>
        <v>9.19</v>
      </c>
      <c r="V81" s="90"/>
      <c r="W81" s="108" t="s">
        <v>20</v>
      </c>
      <c r="X81" s="108" t="str">
        <f t="shared" si="174"/>
        <v>cad</v>
      </c>
      <c r="Y81" s="108" t="str">
        <f t="shared" si="175"/>
        <v>cad</v>
      </c>
      <c r="Z81" s="108">
        <f t="shared" si="176"/>
        <v>5.04</v>
      </c>
      <c r="AA81" s="108">
        <f t="shared" si="177"/>
        <v>0</v>
      </c>
      <c r="AB81" s="108">
        <f t="shared" si="178"/>
        <v>5.04</v>
      </c>
      <c r="AC81" s="108">
        <f t="shared" si="179"/>
        <v>5.04</v>
      </c>
      <c r="AD81" s="90"/>
      <c r="AE81" s="92"/>
      <c r="AF81" s="108"/>
      <c r="AG81" s="90"/>
      <c r="AH81" s="90"/>
      <c r="AI81" s="90"/>
    </row>
    <row r="82" spans="1:35" s="11" customFormat="1" ht="14.4">
      <c r="A82" s="5"/>
      <c r="B82" s="161" t="s">
        <v>145</v>
      </c>
      <c r="C82" s="95" t="s">
        <v>17</v>
      </c>
      <c r="D82" s="95">
        <v>1</v>
      </c>
      <c r="E82" s="95" t="s">
        <v>57</v>
      </c>
      <c r="F82" s="95" t="s">
        <v>57</v>
      </c>
      <c r="G82" s="123">
        <v>7.51</v>
      </c>
      <c r="H82" s="118"/>
      <c r="I82" s="95">
        <f t="shared" si="172"/>
        <v>7.51</v>
      </c>
      <c r="J82" s="95">
        <f t="shared" si="173"/>
        <v>7.51</v>
      </c>
      <c r="K82" s="90"/>
      <c r="L82" s="108" t="s">
        <v>17</v>
      </c>
      <c r="M82" s="108">
        <v>1</v>
      </c>
      <c r="N82" s="123">
        <v>11.18</v>
      </c>
      <c r="O82" s="123">
        <v>2.7</v>
      </c>
      <c r="P82" s="92"/>
      <c r="Q82" s="92"/>
      <c r="R82" s="108">
        <f t="shared" si="2"/>
        <v>30.186</v>
      </c>
      <c r="S82" s="110"/>
      <c r="T82" s="108" t="s">
        <v>357</v>
      </c>
      <c r="U82" s="92">
        <f t="shared" si="190"/>
        <v>11.18</v>
      </c>
      <c r="V82" s="90"/>
      <c r="W82" s="108" t="s">
        <v>17</v>
      </c>
      <c r="X82" s="108" t="str">
        <f t="shared" si="174"/>
        <v>cad</v>
      </c>
      <c r="Y82" s="108" t="str">
        <f t="shared" si="175"/>
        <v>cad</v>
      </c>
      <c r="Z82" s="108">
        <f t="shared" si="176"/>
        <v>7.51</v>
      </c>
      <c r="AA82" s="108">
        <f t="shared" si="177"/>
        <v>0</v>
      </c>
      <c r="AB82" s="108">
        <f t="shared" si="178"/>
        <v>7.51</v>
      </c>
      <c r="AC82" s="108">
        <f t="shared" si="179"/>
        <v>7.51</v>
      </c>
      <c r="AD82" s="90"/>
      <c r="AE82" s="92" t="s">
        <v>357</v>
      </c>
      <c r="AF82" s="108">
        <f t="shared" si="10"/>
        <v>11.18</v>
      </c>
      <c r="AG82" s="90"/>
      <c r="AH82" s="90"/>
      <c r="AI82" s="90"/>
    </row>
    <row r="83" spans="1:35" s="11" customFormat="1" ht="14.4">
      <c r="A83" s="5"/>
      <c r="B83" s="161" t="s">
        <v>167</v>
      </c>
      <c r="C83" s="95" t="s">
        <v>17</v>
      </c>
      <c r="D83" s="95">
        <v>1</v>
      </c>
      <c r="E83" s="95" t="s">
        <v>57</v>
      </c>
      <c r="F83" s="95" t="s">
        <v>57</v>
      </c>
      <c r="G83" s="123">
        <v>33.15</v>
      </c>
      <c r="H83" s="118"/>
      <c r="I83" s="95">
        <f t="shared" si="172"/>
        <v>33.15</v>
      </c>
      <c r="J83" s="95">
        <f t="shared" si="173"/>
        <v>33.15</v>
      </c>
      <c r="K83" s="90"/>
      <c r="L83" s="108" t="s">
        <v>17</v>
      </c>
      <c r="M83" s="108">
        <v>1</v>
      </c>
      <c r="N83" s="123">
        <v>30.73</v>
      </c>
      <c r="O83" s="123">
        <v>2.7</v>
      </c>
      <c r="P83" s="92"/>
      <c r="Q83" s="92"/>
      <c r="R83" s="108">
        <f t="shared" si="2"/>
        <v>82.971000000000004</v>
      </c>
      <c r="S83" s="110"/>
      <c r="T83" s="108" t="s">
        <v>357</v>
      </c>
      <c r="U83" s="92">
        <f t="shared" si="190"/>
        <v>30.73</v>
      </c>
      <c r="V83" s="90"/>
      <c r="W83" s="108" t="s">
        <v>17</v>
      </c>
      <c r="X83" s="108" t="str">
        <f t="shared" si="174"/>
        <v>cad</v>
      </c>
      <c r="Y83" s="108" t="str">
        <f t="shared" si="175"/>
        <v>cad</v>
      </c>
      <c r="Z83" s="108">
        <f t="shared" si="176"/>
        <v>33.15</v>
      </c>
      <c r="AA83" s="108">
        <f t="shared" si="177"/>
        <v>0</v>
      </c>
      <c r="AB83" s="108">
        <f t="shared" si="178"/>
        <v>33.15</v>
      </c>
      <c r="AC83" s="108">
        <f t="shared" si="179"/>
        <v>33.15</v>
      </c>
      <c r="AD83" s="90"/>
      <c r="AE83" s="92" t="s">
        <v>357</v>
      </c>
      <c r="AF83" s="108">
        <f t="shared" si="10"/>
        <v>30.73</v>
      </c>
      <c r="AG83" s="90"/>
      <c r="AH83" s="90"/>
      <c r="AI83" s="90"/>
    </row>
    <row r="84" spans="1:35" s="11" customFormat="1" ht="14.4">
      <c r="A84" s="5"/>
      <c r="B84" s="161" t="s">
        <v>72</v>
      </c>
      <c r="C84" s="95" t="s">
        <v>24</v>
      </c>
      <c r="D84" s="95">
        <v>1</v>
      </c>
      <c r="E84" s="95" t="s">
        <v>57</v>
      </c>
      <c r="F84" s="95" t="s">
        <v>57</v>
      </c>
      <c r="G84" s="123">
        <v>43.48</v>
      </c>
      <c r="H84" s="118"/>
      <c r="I84" s="95">
        <f t="shared" si="172"/>
        <v>43.48</v>
      </c>
      <c r="J84" s="95">
        <f t="shared" si="173"/>
        <v>43.48</v>
      </c>
      <c r="K84" s="90"/>
      <c r="L84" s="108" t="s">
        <v>339</v>
      </c>
      <c r="M84" s="108">
        <v>1</v>
      </c>
      <c r="N84" s="123">
        <v>27.85</v>
      </c>
      <c r="O84" s="123">
        <v>3.9</v>
      </c>
      <c r="P84" s="92"/>
      <c r="Q84" s="92"/>
      <c r="R84" s="108">
        <f t="shared" si="2"/>
        <v>108.61500000000001</v>
      </c>
      <c r="S84" s="110"/>
      <c r="T84" s="108" t="s">
        <v>20</v>
      </c>
      <c r="U84" s="92">
        <f t="shared" si="190"/>
        <v>27.85</v>
      </c>
      <c r="V84" s="90"/>
      <c r="W84" s="108" t="s">
        <v>20</v>
      </c>
      <c r="X84" s="108" t="str">
        <f t="shared" si="174"/>
        <v>cad</v>
      </c>
      <c r="Y84" s="108" t="str">
        <f t="shared" si="175"/>
        <v>cad</v>
      </c>
      <c r="Z84" s="108">
        <f t="shared" si="176"/>
        <v>43.48</v>
      </c>
      <c r="AA84" s="108">
        <f t="shared" si="177"/>
        <v>0</v>
      </c>
      <c r="AB84" s="108">
        <f t="shared" si="178"/>
        <v>43.48</v>
      </c>
      <c r="AC84" s="108">
        <f t="shared" si="179"/>
        <v>43.48</v>
      </c>
      <c r="AD84" s="90"/>
      <c r="AE84" s="92"/>
      <c r="AF84" s="108"/>
      <c r="AG84" s="90"/>
      <c r="AH84" s="90"/>
      <c r="AI84" s="90"/>
    </row>
    <row r="85" spans="1:35" s="11" customFormat="1" ht="14.4">
      <c r="A85" s="5"/>
      <c r="B85" s="161"/>
      <c r="C85" s="95" t="s">
        <v>24</v>
      </c>
      <c r="D85" s="95">
        <v>1</v>
      </c>
      <c r="E85" s="95" t="s">
        <v>57</v>
      </c>
      <c r="F85" s="95" t="s">
        <v>57</v>
      </c>
      <c r="G85" s="123">
        <v>8.83</v>
      </c>
      <c r="H85" s="118"/>
      <c r="I85" s="95">
        <f t="shared" si="172"/>
        <v>8.83</v>
      </c>
      <c r="J85" s="95">
        <f t="shared" si="173"/>
        <v>8.83</v>
      </c>
      <c r="K85" s="90"/>
      <c r="L85" s="108"/>
      <c r="M85" s="108"/>
      <c r="N85" s="123"/>
      <c r="O85" s="123"/>
      <c r="P85" s="92"/>
      <c r="Q85" s="92"/>
      <c r="R85" s="108"/>
      <c r="S85" s="110"/>
      <c r="T85" s="108"/>
      <c r="U85" s="92"/>
      <c r="V85" s="90"/>
      <c r="W85" s="108"/>
      <c r="X85" s="108"/>
      <c r="Y85" s="108"/>
      <c r="Z85" s="108"/>
      <c r="AA85" s="108"/>
      <c r="AB85" s="108"/>
      <c r="AC85" s="108"/>
      <c r="AD85" s="90"/>
      <c r="AE85" s="92"/>
      <c r="AF85" s="108"/>
      <c r="AG85" s="90"/>
      <c r="AH85" s="90"/>
      <c r="AI85" s="90"/>
    </row>
    <row r="86" spans="1:35" s="11" customFormat="1" ht="14.4">
      <c r="A86" s="5"/>
      <c r="B86" s="161" t="s">
        <v>566</v>
      </c>
      <c r="C86" s="95" t="s">
        <v>17</v>
      </c>
      <c r="D86" s="95">
        <v>1</v>
      </c>
      <c r="E86" s="95" t="s">
        <v>57</v>
      </c>
      <c r="F86" s="95" t="s">
        <v>57</v>
      </c>
      <c r="G86" s="123">
        <v>9.65</v>
      </c>
      <c r="H86" s="118"/>
      <c r="I86" s="95">
        <f t="shared" ref="I86:I87" si="191">(G86-H86)</f>
        <v>9.65</v>
      </c>
      <c r="J86" s="95">
        <f t="shared" ref="J86:J87" si="192">I86*D86</f>
        <v>9.65</v>
      </c>
      <c r="K86" s="90"/>
      <c r="L86" s="162" t="s">
        <v>17</v>
      </c>
      <c r="M86" s="108">
        <v>1</v>
      </c>
      <c r="N86" s="145">
        <v>12.94</v>
      </c>
      <c r="O86" s="123">
        <v>2.7</v>
      </c>
      <c r="P86" s="92"/>
      <c r="Q86" s="92"/>
      <c r="R86" s="108">
        <f t="shared" ref="R86:R87" si="193">(N86*O86-P86)*M86</f>
        <v>34.938000000000002</v>
      </c>
      <c r="S86" s="110"/>
      <c r="T86" s="108" t="s">
        <v>357</v>
      </c>
      <c r="U86" s="92">
        <f>N86*M86</f>
        <v>12.94</v>
      </c>
      <c r="V86" s="90"/>
      <c r="W86" s="162" t="s">
        <v>17</v>
      </c>
      <c r="X86" s="108" t="str">
        <f t="shared" ref="X86:X87" si="194">E86</f>
        <v>cad</v>
      </c>
      <c r="Y86" s="108" t="str">
        <f t="shared" ref="Y86:Y87" si="195">F86</f>
        <v>cad</v>
      </c>
      <c r="Z86" s="108">
        <f t="shared" ref="Z86:Z87" si="196">G86</f>
        <v>9.65</v>
      </c>
      <c r="AA86" s="108">
        <f t="shared" ref="AA86:AA87" si="197">H86</f>
        <v>0</v>
      </c>
      <c r="AB86" s="108">
        <f t="shared" ref="AB86:AB87" si="198">I86</f>
        <v>9.65</v>
      </c>
      <c r="AC86" s="108">
        <f t="shared" ref="AC86:AC87" si="199">J86</f>
        <v>9.65</v>
      </c>
      <c r="AD86" s="90"/>
      <c r="AE86" s="92" t="s">
        <v>17</v>
      </c>
      <c r="AF86" s="108">
        <f t="shared" ref="AF86:AF94" si="200">N86*M86</f>
        <v>12.94</v>
      </c>
      <c r="AG86" s="90"/>
      <c r="AH86" s="90"/>
      <c r="AI86" s="90"/>
    </row>
    <row r="87" spans="1:35" s="11" customFormat="1" ht="14.4">
      <c r="A87" s="5"/>
      <c r="B87" s="161" t="s">
        <v>104</v>
      </c>
      <c r="C87" s="318" t="s">
        <v>17</v>
      </c>
      <c r="D87" s="95">
        <v>1</v>
      </c>
      <c r="E87" s="95" t="s">
        <v>57</v>
      </c>
      <c r="F87" s="95" t="s">
        <v>57</v>
      </c>
      <c r="G87" s="123">
        <v>23.83</v>
      </c>
      <c r="H87" s="118"/>
      <c r="I87" s="95">
        <f t="shared" si="191"/>
        <v>23.83</v>
      </c>
      <c r="J87" s="95">
        <f t="shared" si="192"/>
        <v>23.83</v>
      </c>
      <c r="K87" s="90"/>
      <c r="L87" s="162" t="s">
        <v>17</v>
      </c>
      <c r="M87" s="108">
        <v>1</v>
      </c>
      <c r="N87" s="145">
        <f>24.49-2.5</f>
        <v>21.99</v>
      </c>
      <c r="O87" s="95">
        <v>2.8</v>
      </c>
      <c r="P87" s="92"/>
      <c r="Q87" s="92"/>
      <c r="R87" s="108">
        <f t="shared" si="193"/>
        <v>61.571999999999989</v>
      </c>
      <c r="S87" s="110"/>
      <c r="T87" s="108" t="s">
        <v>21</v>
      </c>
      <c r="U87" s="92">
        <f>N87*M87</f>
        <v>21.99</v>
      </c>
      <c r="V87" s="90"/>
      <c r="W87" s="202" t="s">
        <v>17</v>
      </c>
      <c r="X87" s="108" t="str">
        <f t="shared" si="194"/>
        <v>cad</v>
      </c>
      <c r="Y87" s="108" t="str">
        <f t="shared" si="195"/>
        <v>cad</v>
      </c>
      <c r="Z87" s="108">
        <f t="shared" si="196"/>
        <v>23.83</v>
      </c>
      <c r="AA87" s="108">
        <f t="shared" si="197"/>
        <v>0</v>
      </c>
      <c r="AB87" s="108">
        <f t="shared" si="198"/>
        <v>23.83</v>
      </c>
      <c r="AC87" s="108">
        <f t="shared" si="199"/>
        <v>23.83</v>
      </c>
      <c r="AD87" s="90"/>
      <c r="AE87" s="92" t="s">
        <v>17</v>
      </c>
      <c r="AF87" s="108">
        <f t="shared" si="200"/>
        <v>21.99</v>
      </c>
      <c r="AG87" s="90"/>
      <c r="AH87" s="90"/>
      <c r="AI87" s="90"/>
    </row>
    <row r="88" spans="1:35" s="11" customFormat="1" ht="14.4">
      <c r="A88" s="5"/>
      <c r="B88" s="161"/>
      <c r="C88" s="95"/>
      <c r="D88" s="95"/>
      <c r="E88" s="95"/>
      <c r="F88" s="95"/>
      <c r="G88" s="141"/>
      <c r="H88" s="118"/>
      <c r="I88" s="95"/>
      <c r="J88" s="95"/>
      <c r="K88" s="90"/>
      <c r="L88" s="162"/>
      <c r="M88" s="108"/>
      <c r="N88" s="95"/>
      <c r="O88" s="95"/>
      <c r="P88" s="92"/>
      <c r="Q88" s="92"/>
      <c r="R88" s="108"/>
      <c r="S88" s="110"/>
      <c r="T88" s="108"/>
      <c r="U88" s="92"/>
      <c r="V88" s="90"/>
      <c r="W88" s="238" t="s">
        <v>19</v>
      </c>
      <c r="X88" s="141">
        <f t="shared" ref="X88" si="201">E88</f>
        <v>0</v>
      </c>
      <c r="Y88" s="141">
        <f t="shared" ref="Y88" si="202">F88</f>
        <v>0</v>
      </c>
      <c r="Z88" s="141">
        <v>10.94</v>
      </c>
      <c r="AA88" s="108">
        <f t="shared" ref="AA88" si="203">H88</f>
        <v>0</v>
      </c>
      <c r="AB88" s="141">
        <f>Z88</f>
        <v>10.94</v>
      </c>
      <c r="AC88" s="141">
        <f>Z88</f>
        <v>10.94</v>
      </c>
      <c r="AD88" s="90"/>
      <c r="AE88" s="92"/>
      <c r="AF88" s="108">
        <f t="shared" si="200"/>
        <v>0</v>
      </c>
      <c r="AG88" s="90"/>
      <c r="AH88" s="90"/>
      <c r="AI88" s="90"/>
    </row>
    <row r="89" spans="1:35" s="11" customFormat="1" ht="14.4">
      <c r="A89" s="5"/>
      <c r="B89" s="161" t="s">
        <v>104</v>
      </c>
      <c r="C89" s="95" t="s">
        <v>17</v>
      </c>
      <c r="D89" s="95">
        <v>1</v>
      </c>
      <c r="E89" s="95" t="s">
        <v>57</v>
      </c>
      <c r="F89" s="95" t="s">
        <v>57</v>
      </c>
      <c r="G89" s="123">
        <v>24.87</v>
      </c>
      <c r="H89" s="118"/>
      <c r="I89" s="95">
        <f t="shared" ref="I89:I93" si="204">(G89-H89)</f>
        <v>24.87</v>
      </c>
      <c r="J89" s="95">
        <f t="shared" ref="J89:J93" si="205">I89*D89</f>
        <v>24.87</v>
      </c>
      <c r="K89" s="83"/>
      <c r="L89" s="95" t="s">
        <v>17</v>
      </c>
      <c r="M89" s="95">
        <v>1</v>
      </c>
      <c r="N89" s="123">
        <v>30.66</v>
      </c>
      <c r="O89" s="95">
        <v>2.8</v>
      </c>
      <c r="P89" s="118"/>
      <c r="Q89" s="118"/>
      <c r="R89" s="95">
        <f t="shared" ref="R89:R92" si="206">(N89*O89-P89)*M89</f>
        <v>85.847999999999999</v>
      </c>
      <c r="S89" s="170"/>
      <c r="T89" s="95" t="s">
        <v>357</v>
      </c>
      <c r="U89" s="118">
        <f>N89*M89</f>
        <v>30.66</v>
      </c>
      <c r="V89" s="83"/>
      <c r="W89" s="95" t="s">
        <v>17</v>
      </c>
      <c r="X89" s="95" t="str">
        <f t="shared" ref="X89:X92" si="207">E89</f>
        <v>cad</v>
      </c>
      <c r="Y89" s="95" t="str">
        <f t="shared" ref="Y89:Y92" si="208">F89</f>
        <v>cad</v>
      </c>
      <c r="Z89" s="95">
        <f t="shared" ref="Z89:Z92" si="209">G89</f>
        <v>24.87</v>
      </c>
      <c r="AA89" s="95">
        <f t="shared" ref="AA89:AA92" si="210">H89</f>
        <v>0</v>
      </c>
      <c r="AB89" s="95">
        <f t="shared" ref="AB89:AB92" si="211">I89</f>
        <v>24.87</v>
      </c>
      <c r="AC89" s="95">
        <f t="shared" ref="AC89:AC92" si="212">J89</f>
        <v>24.87</v>
      </c>
      <c r="AD89" s="83"/>
      <c r="AE89" s="118" t="s">
        <v>357</v>
      </c>
      <c r="AF89" s="95">
        <f t="shared" si="200"/>
        <v>30.66</v>
      </c>
      <c r="AG89" s="90"/>
      <c r="AH89" s="90"/>
      <c r="AI89" s="90"/>
    </row>
    <row r="90" spans="1:35" s="11" customFormat="1" ht="14.4">
      <c r="A90" s="5"/>
      <c r="B90" s="161"/>
      <c r="C90" s="95"/>
      <c r="D90" s="95"/>
      <c r="E90" s="95"/>
      <c r="F90" s="95"/>
      <c r="G90" s="141"/>
      <c r="H90" s="118"/>
      <c r="I90" s="95"/>
      <c r="J90" s="95"/>
      <c r="K90" s="90"/>
      <c r="L90" s="108"/>
      <c r="M90" s="108"/>
      <c r="N90" s="95"/>
      <c r="O90" s="95"/>
      <c r="P90" s="92"/>
      <c r="Q90" s="92"/>
      <c r="R90" s="108"/>
      <c r="S90" s="110"/>
      <c r="T90" s="108"/>
      <c r="U90" s="92"/>
      <c r="V90" s="90"/>
      <c r="W90" s="108" t="s">
        <v>19</v>
      </c>
      <c r="X90" s="141">
        <f t="shared" ref="X90" si="213">E90</f>
        <v>0</v>
      </c>
      <c r="Y90" s="141">
        <f t="shared" ref="Y90" si="214">F90</f>
        <v>0</v>
      </c>
      <c r="Z90" s="141">
        <v>2.35</v>
      </c>
      <c r="AA90" s="108"/>
      <c r="AB90" s="141">
        <f>Z90</f>
        <v>2.35</v>
      </c>
      <c r="AC90" s="141">
        <f>Z90</f>
        <v>2.35</v>
      </c>
      <c r="AD90" s="90"/>
      <c r="AE90" s="92"/>
      <c r="AF90" s="108">
        <f t="shared" si="200"/>
        <v>0</v>
      </c>
      <c r="AG90" s="90"/>
      <c r="AH90" s="90"/>
      <c r="AI90" s="90"/>
    </row>
    <row r="91" spans="1:35" s="11" customFormat="1" ht="14.4">
      <c r="A91" s="5"/>
      <c r="B91" s="161" t="s">
        <v>164</v>
      </c>
      <c r="C91" s="95" t="s">
        <v>17</v>
      </c>
      <c r="D91" s="95">
        <v>1</v>
      </c>
      <c r="E91" s="95" t="s">
        <v>57</v>
      </c>
      <c r="F91" s="95" t="s">
        <v>57</v>
      </c>
      <c r="G91" s="123">
        <v>26.68</v>
      </c>
      <c r="H91" s="118"/>
      <c r="I91" s="95">
        <f>(G91-H91)</f>
        <v>26.68</v>
      </c>
      <c r="J91" s="95">
        <f>I91*D91</f>
        <v>26.68</v>
      </c>
      <c r="K91" s="90"/>
      <c r="L91" s="108" t="s">
        <v>17</v>
      </c>
      <c r="M91" s="108">
        <v>1</v>
      </c>
      <c r="N91" s="123">
        <v>29.54</v>
      </c>
      <c r="O91" s="123">
        <v>2.7</v>
      </c>
      <c r="P91" s="92"/>
      <c r="Q91" s="92"/>
      <c r="R91" s="108">
        <f>(N91*O91-P91)*M91</f>
        <v>79.75800000000001</v>
      </c>
      <c r="S91" s="110"/>
      <c r="T91" s="108" t="s">
        <v>17</v>
      </c>
      <c r="U91" s="92">
        <f>N91*M91</f>
        <v>29.54</v>
      </c>
      <c r="V91" s="90"/>
      <c r="W91" s="108" t="s">
        <v>17</v>
      </c>
      <c r="X91" s="108" t="str">
        <f t="shared" ref="X91:AC91" si="215">E91</f>
        <v>cad</v>
      </c>
      <c r="Y91" s="108" t="str">
        <f t="shared" si="215"/>
        <v>cad</v>
      </c>
      <c r="Z91" s="108">
        <f t="shared" si="215"/>
        <v>26.68</v>
      </c>
      <c r="AA91" s="108">
        <f t="shared" si="215"/>
        <v>0</v>
      </c>
      <c r="AB91" s="108">
        <f t="shared" si="215"/>
        <v>26.68</v>
      </c>
      <c r="AC91" s="108">
        <f t="shared" si="215"/>
        <v>26.68</v>
      </c>
      <c r="AD91" s="90"/>
      <c r="AE91" s="92" t="s">
        <v>357</v>
      </c>
      <c r="AF91" s="108">
        <f t="shared" si="200"/>
        <v>29.54</v>
      </c>
      <c r="AG91" s="90"/>
      <c r="AH91" s="90"/>
      <c r="AI91" s="90"/>
    </row>
    <row r="92" spans="1:35" s="11" customFormat="1" ht="14.4">
      <c r="A92" s="5"/>
      <c r="B92" s="161" t="s">
        <v>66</v>
      </c>
      <c r="C92" s="95" t="s">
        <v>24</v>
      </c>
      <c r="D92" s="95">
        <v>1</v>
      </c>
      <c r="E92" s="95" t="s">
        <v>57</v>
      </c>
      <c r="F92" s="95" t="s">
        <v>57</v>
      </c>
      <c r="G92" s="123">
        <v>40.909999999999997</v>
      </c>
      <c r="H92" s="118"/>
      <c r="I92" s="95">
        <f t="shared" si="204"/>
        <v>40.909999999999997</v>
      </c>
      <c r="J92" s="95">
        <f t="shared" si="205"/>
        <v>40.909999999999997</v>
      </c>
      <c r="K92" s="90"/>
      <c r="L92" s="108" t="s">
        <v>339</v>
      </c>
      <c r="M92" s="108">
        <v>1</v>
      </c>
      <c r="N92" s="95">
        <v>26.71</v>
      </c>
      <c r="O92" s="123">
        <v>3.9</v>
      </c>
      <c r="P92" s="92"/>
      <c r="Q92" s="92"/>
      <c r="R92" s="108">
        <f t="shared" si="206"/>
        <v>104.169</v>
      </c>
      <c r="S92" s="110"/>
      <c r="T92" s="108" t="s">
        <v>20</v>
      </c>
      <c r="U92" s="92">
        <f>N92*M92</f>
        <v>26.71</v>
      </c>
      <c r="V92" s="90"/>
      <c r="W92" s="108" t="s">
        <v>20</v>
      </c>
      <c r="X92" s="108" t="str">
        <f t="shared" si="207"/>
        <v>cad</v>
      </c>
      <c r="Y92" s="108" t="str">
        <f t="shared" si="208"/>
        <v>cad</v>
      </c>
      <c r="Z92" s="108">
        <f t="shared" si="209"/>
        <v>40.909999999999997</v>
      </c>
      <c r="AA92" s="108">
        <f t="shared" si="210"/>
        <v>0</v>
      </c>
      <c r="AB92" s="108">
        <f t="shared" si="211"/>
        <v>40.909999999999997</v>
      </c>
      <c r="AC92" s="108">
        <f t="shared" si="212"/>
        <v>40.909999999999997</v>
      </c>
      <c r="AD92" s="90"/>
      <c r="AE92" s="92"/>
      <c r="AF92" s="108"/>
      <c r="AG92" s="90"/>
      <c r="AH92" s="90"/>
      <c r="AI92" s="90"/>
    </row>
    <row r="93" spans="1:35" s="11" customFormat="1" ht="14.4">
      <c r="A93" s="5"/>
      <c r="B93" s="161"/>
      <c r="C93" s="95" t="s">
        <v>24</v>
      </c>
      <c r="D93" s="95">
        <v>1</v>
      </c>
      <c r="E93" s="95" t="s">
        <v>57</v>
      </c>
      <c r="F93" s="95" t="s">
        <v>57</v>
      </c>
      <c r="G93" s="123">
        <v>9.7100000000000009</v>
      </c>
      <c r="H93" s="118"/>
      <c r="I93" s="95">
        <f t="shared" si="204"/>
        <v>9.7100000000000009</v>
      </c>
      <c r="J93" s="95">
        <f t="shared" si="205"/>
        <v>9.7100000000000009</v>
      </c>
      <c r="K93" s="90"/>
      <c r="L93" s="108"/>
      <c r="M93" s="108"/>
      <c r="N93" s="95"/>
      <c r="O93" s="123"/>
      <c r="P93" s="92"/>
      <c r="Q93" s="92"/>
      <c r="R93" s="108"/>
      <c r="S93" s="110"/>
      <c r="T93" s="108"/>
      <c r="U93" s="92"/>
      <c r="V93" s="90"/>
      <c r="W93" s="108"/>
      <c r="X93" s="108"/>
      <c r="Y93" s="108"/>
      <c r="Z93" s="108"/>
      <c r="AA93" s="108"/>
      <c r="AB93" s="108"/>
      <c r="AC93" s="108"/>
      <c r="AD93" s="90"/>
      <c r="AE93" s="92"/>
      <c r="AF93" s="108"/>
      <c r="AG93" s="90"/>
      <c r="AH93" s="90"/>
      <c r="AI93" s="90"/>
    </row>
    <row r="94" spans="1:35" s="11" customFormat="1" ht="14.4">
      <c r="A94" s="5"/>
      <c r="B94" s="161" t="s">
        <v>537</v>
      </c>
      <c r="C94" s="95" t="s">
        <v>17</v>
      </c>
      <c r="D94" s="95">
        <v>1</v>
      </c>
      <c r="E94" s="95" t="s">
        <v>57</v>
      </c>
      <c r="F94" s="95" t="s">
        <v>57</v>
      </c>
      <c r="G94" s="123">
        <v>8.2100000000000009</v>
      </c>
      <c r="H94" s="118"/>
      <c r="I94" s="95">
        <f t="shared" ref="I94:I95" si="216">(G94-H94)</f>
        <v>8.2100000000000009</v>
      </c>
      <c r="J94" s="95">
        <f t="shared" ref="J94:J95" si="217">I94*D94</f>
        <v>8.2100000000000009</v>
      </c>
      <c r="K94" s="90"/>
      <c r="L94" s="162" t="s">
        <v>17</v>
      </c>
      <c r="M94" s="108">
        <v>1</v>
      </c>
      <c r="N94" s="145">
        <v>11.8</v>
      </c>
      <c r="O94" s="123">
        <v>2.7</v>
      </c>
      <c r="P94" s="92"/>
      <c r="Q94" s="92"/>
      <c r="R94" s="108">
        <f t="shared" ref="R94:R95" si="218">(N94*O94-P94)*M94</f>
        <v>31.860000000000003</v>
      </c>
      <c r="S94" s="110"/>
      <c r="T94" s="108" t="s">
        <v>357</v>
      </c>
      <c r="U94" s="163">
        <f t="shared" ref="U94:U95" si="219">N94*M94</f>
        <v>11.8</v>
      </c>
      <c r="V94" s="90"/>
      <c r="W94" s="162" t="s">
        <v>17</v>
      </c>
      <c r="X94" s="108" t="str">
        <f t="shared" ref="X94:X95" si="220">E94</f>
        <v>cad</v>
      </c>
      <c r="Y94" s="108" t="str">
        <f t="shared" ref="Y94:Y95" si="221">F94</f>
        <v>cad</v>
      </c>
      <c r="Z94" s="108">
        <f t="shared" ref="Z94:Z95" si="222">G94</f>
        <v>8.2100000000000009</v>
      </c>
      <c r="AA94" s="108">
        <f t="shared" ref="AA94:AA95" si="223">H94</f>
        <v>0</v>
      </c>
      <c r="AB94" s="108">
        <f t="shared" ref="AB94:AB95" si="224">I94</f>
        <v>8.2100000000000009</v>
      </c>
      <c r="AC94" s="108">
        <f t="shared" ref="AC94:AC95" si="225">J94</f>
        <v>8.2100000000000009</v>
      </c>
      <c r="AD94" s="90"/>
      <c r="AE94" s="92" t="s">
        <v>357</v>
      </c>
      <c r="AF94" s="108">
        <f t="shared" si="200"/>
        <v>11.8</v>
      </c>
      <c r="AG94" s="90"/>
      <c r="AH94" s="90"/>
      <c r="AI94" s="90"/>
    </row>
    <row r="95" spans="1:35" s="11" customFormat="1" ht="14.4">
      <c r="A95" s="5"/>
      <c r="B95" s="161" t="s">
        <v>537</v>
      </c>
      <c r="C95" s="95" t="s">
        <v>17</v>
      </c>
      <c r="D95" s="95">
        <v>1</v>
      </c>
      <c r="E95" s="95" t="s">
        <v>57</v>
      </c>
      <c r="F95" s="95" t="s">
        <v>57</v>
      </c>
      <c r="G95" s="123">
        <v>5.55</v>
      </c>
      <c r="H95" s="118"/>
      <c r="I95" s="95">
        <f t="shared" si="216"/>
        <v>5.55</v>
      </c>
      <c r="J95" s="95">
        <f t="shared" si="217"/>
        <v>5.55</v>
      </c>
      <c r="K95" s="90"/>
      <c r="L95" s="162" t="s">
        <v>17</v>
      </c>
      <c r="M95" s="108">
        <v>1</v>
      </c>
      <c r="N95" s="145">
        <v>9.42</v>
      </c>
      <c r="O95" s="123">
        <v>2.7</v>
      </c>
      <c r="P95" s="92"/>
      <c r="Q95" s="92"/>
      <c r="R95" s="108">
        <f t="shared" si="218"/>
        <v>25.434000000000001</v>
      </c>
      <c r="S95" s="110"/>
      <c r="T95" s="108" t="s">
        <v>357</v>
      </c>
      <c r="U95" s="92">
        <f t="shared" si="219"/>
        <v>9.42</v>
      </c>
      <c r="V95" s="90"/>
      <c r="W95" s="162" t="s">
        <v>20</v>
      </c>
      <c r="X95" s="108" t="str">
        <f t="shared" si="220"/>
        <v>cad</v>
      </c>
      <c r="Y95" s="108" t="str">
        <f t="shared" si="221"/>
        <v>cad</v>
      </c>
      <c r="Z95" s="108">
        <f t="shared" si="222"/>
        <v>5.55</v>
      </c>
      <c r="AA95" s="108">
        <f t="shared" si="223"/>
        <v>0</v>
      </c>
      <c r="AB95" s="108">
        <f t="shared" si="224"/>
        <v>5.55</v>
      </c>
      <c r="AC95" s="108">
        <f t="shared" si="225"/>
        <v>5.55</v>
      </c>
      <c r="AD95" s="90"/>
      <c r="AE95" s="92"/>
      <c r="AF95" s="108"/>
      <c r="AG95" s="90"/>
      <c r="AH95" s="90"/>
      <c r="AI95" s="90"/>
    </row>
    <row r="96" spans="1:35" s="11" customFormat="1" ht="14.4">
      <c r="A96" s="32"/>
      <c r="B96" s="239"/>
      <c r="C96" s="162"/>
      <c r="D96" s="108"/>
      <c r="E96" s="108"/>
      <c r="F96" s="108"/>
      <c r="G96" s="162"/>
      <c r="H96" s="92"/>
      <c r="I96" s="108"/>
      <c r="J96" s="108"/>
      <c r="K96" s="90"/>
      <c r="L96" s="162"/>
      <c r="M96" s="108"/>
      <c r="N96" s="162"/>
      <c r="O96" s="108"/>
      <c r="P96" s="92"/>
      <c r="Q96" s="92"/>
      <c r="R96" s="108"/>
      <c r="S96" s="110"/>
      <c r="T96" s="108"/>
      <c r="U96" s="108"/>
      <c r="V96" s="90"/>
      <c r="W96" s="162"/>
      <c r="X96" s="108"/>
      <c r="Y96" s="108"/>
      <c r="Z96" s="108"/>
      <c r="AA96" s="108"/>
      <c r="AB96" s="108"/>
      <c r="AC96" s="108"/>
      <c r="AD96" s="90"/>
      <c r="AE96" s="92"/>
      <c r="AF96" s="108"/>
      <c r="AG96" s="90"/>
      <c r="AH96" s="90"/>
      <c r="AI96" s="90"/>
    </row>
    <row r="97" spans="1:35" ht="15.75" customHeight="1">
      <c r="B97" s="187"/>
      <c r="C97" s="83"/>
      <c r="D97" s="83"/>
      <c r="E97" s="83"/>
      <c r="F97" s="83"/>
      <c r="G97" s="83"/>
      <c r="H97" s="83"/>
      <c r="I97" s="83"/>
      <c r="J97" s="240">
        <f>SUM(J11:J96)</f>
        <v>1328.8500000000001</v>
      </c>
      <c r="K97" s="83"/>
      <c r="L97" s="80"/>
      <c r="M97" s="170"/>
      <c r="N97" s="240">
        <f>SUM(N11:N96)</f>
        <v>1074.6500000000001</v>
      </c>
      <c r="O97" s="170"/>
      <c r="P97" s="170"/>
      <c r="Q97" s="83"/>
      <c r="R97" s="240">
        <f>SUM(R11:R96)</f>
        <v>4318.1059999999989</v>
      </c>
      <c r="S97" s="241"/>
      <c r="T97" s="83"/>
      <c r="U97" s="240">
        <f>SUM(U11:U96)</f>
        <v>1339.0300000000002</v>
      </c>
      <c r="V97" s="83"/>
      <c r="W97" s="80"/>
      <c r="X97" s="83"/>
      <c r="Y97" s="83"/>
      <c r="Z97" s="83"/>
      <c r="AA97" s="83"/>
      <c r="AB97" s="83"/>
      <c r="AC97" s="240">
        <f>SUM(AC11:AC96)</f>
        <v>1422.1100000000004</v>
      </c>
      <c r="AD97" s="83"/>
      <c r="AE97" s="83"/>
      <c r="AF97" s="240">
        <f>SUM(AF11:AF78,AF81:AF82,AF83:AF85,AF86:AF88,AF89:AF92,AF94:AF96)</f>
        <v>1255.07</v>
      </c>
      <c r="AG97" s="83"/>
      <c r="AH97" s="83"/>
      <c r="AI97" s="83"/>
    </row>
    <row r="98" spans="1:35" s="11" customFormat="1" ht="15.75" customHeight="1">
      <c r="A98" s="32"/>
      <c r="B98" s="187"/>
      <c r="C98" s="83"/>
      <c r="D98" s="83"/>
      <c r="E98" s="83"/>
      <c r="F98" s="83"/>
      <c r="G98" s="83"/>
      <c r="H98" s="83"/>
      <c r="I98" s="83"/>
      <c r="J98" s="241"/>
      <c r="K98" s="83"/>
      <c r="L98" s="80"/>
      <c r="M98" s="170"/>
      <c r="N98" s="241"/>
      <c r="O98" s="170"/>
      <c r="P98" s="170"/>
      <c r="Q98" s="83"/>
      <c r="R98" s="241"/>
      <c r="S98" s="241"/>
      <c r="T98" s="83"/>
      <c r="U98" s="241"/>
      <c r="V98" s="83"/>
      <c r="W98" s="80"/>
      <c r="X98" s="83"/>
      <c r="Y98" s="83"/>
      <c r="Z98" s="83"/>
      <c r="AA98" s="83"/>
      <c r="AB98" s="83"/>
      <c r="AC98" s="241"/>
      <c r="AD98" s="83"/>
      <c r="AE98" s="83"/>
      <c r="AF98" s="241"/>
      <c r="AG98" s="90"/>
      <c r="AH98" s="90"/>
      <c r="AI98" s="90"/>
    </row>
    <row r="99" spans="1:35" ht="15.75" customHeight="1">
      <c r="B99" s="205" t="s">
        <v>5</v>
      </c>
      <c r="C99" s="83"/>
      <c r="D99" s="83"/>
      <c r="E99" s="83"/>
      <c r="F99" s="83"/>
      <c r="G99" s="170"/>
      <c r="H99" s="83"/>
      <c r="I99" s="83"/>
      <c r="J99" s="170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0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</row>
    <row r="100" spans="1:35" ht="15.75" customHeight="1">
      <c r="B100" s="205"/>
      <c r="C100" s="83"/>
      <c r="D100" s="83"/>
      <c r="E100" s="83"/>
      <c r="F100" s="83"/>
      <c r="G100" s="83"/>
      <c r="H100" s="83"/>
      <c r="I100" s="83"/>
      <c r="J100" s="170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0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</row>
    <row r="101" spans="1:35" ht="15.75" customHeight="1">
      <c r="B101" s="205" t="s">
        <v>3</v>
      </c>
      <c r="C101" s="83"/>
      <c r="D101" s="83"/>
      <c r="E101" s="83"/>
      <c r="F101" s="83"/>
      <c r="G101" s="83"/>
      <c r="H101" s="83"/>
      <c r="I101" s="83"/>
      <c r="J101" s="170"/>
      <c r="K101" s="83"/>
      <c r="L101" s="205" t="s">
        <v>2</v>
      </c>
      <c r="M101" s="83"/>
      <c r="N101" s="83"/>
      <c r="O101" s="83"/>
      <c r="P101" s="170"/>
      <c r="Q101" s="83"/>
      <c r="R101" s="83"/>
      <c r="S101" s="83"/>
      <c r="T101" s="83"/>
      <c r="U101" s="170"/>
      <c r="V101" s="83"/>
      <c r="W101" s="80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</row>
    <row r="102" spans="1:35" ht="15.75" customHeight="1">
      <c r="B102" s="95" t="s">
        <v>17</v>
      </c>
      <c r="C102" s="218">
        <f>SUMIF(C$11:C$95,B102,J$11:J$95)</f>
        <v>1012.79</v>
      </c>
      <c r="D102" s="83"/>
      <c r="E102" s="191"/>
      <c r="F102" s="83"/>
      <c r="G102" s="83"/>
      <c r="H102" s="83"/>
      <c r="I102" s="83"/>
      <c r="J102" s="170"/>
      <c r="K102" s="83"/>
      <c r="L102" s="239" t="s">
        <v>17</v>
      </c>
      <c r="M102" s="207">
        <f>SUM(R11,R13,R15,R17,R19,R24,R25:R27,R29:R37,R38:R41,R53,R55,R57,R60:R61,R63:R65,R68,R76,R77,R82,R83,R86:R87,R89,R91,R94:R95)</f>
        <v>2879.453</v>
      </c>
      <c r="N102" s="83"/>
      <c r="O102" s="191"/>
      <c r="P102" s="170"/>
      <c r="Q102" s="83"/>
      <c r="R102" s="83"/>
      <c r="S102" s="83"/>
      <c r="T102" s="83"/>
      <c r="U102" s="83"/>
      <c r="V102" s="83"/>
      <c r="W102" s="80"/>
      <c r="X102" s="83"/>
      <c r="Y102" s="205" t="s">
        <v>4</v>
      </c>
      <c r="Z102" s="83"/>
      <c r="AA102" s="83"/>
      <c r="AB102" s="83"/>
      <c r="AC102" s="83"/>
      <c r="AD102" s="83"/>
      <c r="AE102" s="205" t="s">
        <v>34</v>
      </c>
      <c r="AF102" s="80"/>
      <c r="AG102" s="80"/>
      <c r="AH102" s="80"/>
      <c r="AI102" s="188"/>
    </row>
    <row r="103" spans="1:35" ht="15.75" customHeight="1">
      <c r="B103" s="95" t="s">
        <v>18</v>
      </c>
      <c r="C103" s="218">
        <f t="shared" ref="C103:C115" si="226">SUMIF(C$11:C$95,B103,J$11:J$95)</f>
        <v>0</v>
      </c>
      <c r="D103" s="83"/>
      <c r="E103" s="191"/>
      <c r="F103" s="83"/>
      <c r="G103" s="83"/>
      <c r="H103" s="83"/>
      <c r="I103" s="83"/>
      <c r="J103" s="170"/>
      <c r="K103" s="83"/>
      <c r="L103" s="239" t="s">
        <v>18</v>
      </c>
      <c r="M103" s="207">
        <f>SUM(R21,R22,R23,R42,R43,R44,R45:R52)</f>
        <v>571.31999999999994</v>
      </c>
      <c r="N103" s="83"/>
      <c r="O103" s="191"/>
      <c r="P103" s="170"/>
      <c r="Q103" s="83"/>
      <c r="R103" s="83"/>
      <c r="S103" s="83"/>
      <c r="T103" s="83"/>
      <c r="U103" s="83"/>
      <c r="V103" s="83"/>
      <c r="W103" s="80"/>
      <c r="X103" s="83"/>
      <c r="Y103" s="220" t="s">
        <v>17</v>
      </c>
      <c r="Z103" s="221">
        <f>SUMIF(W$11:W$95,Y103,AC$11:AC$95)</f>
        <v>1007.24</v>
      </c>
      <c r="AA103" s="83"/>
      <c r="AB103" s="191"/>
      <c r="AC103" s="83"/>
      <c r="AD103" s="83"/>
      <c r="AE103" s="149" t="s">
        <v>39</v>
      </c>
      <c r="AF103" s="324" t="s">
        <v>364</v>
      </c>
      <c r="AG103" s="324"/>
      <c r="AH103" s="324"/>
      <c r="AI103" s="118" t="s">
        <v>365</v>
      </c>
    </row>
    <row r="104" spans="1:35" ht="15.75" customHeight="1">
      <c r="B104" s="95" t="s">
        <v>19</v>
      </c>
      <c r="C104" s="218">
        <f t="shared" si="226"/>
        <v>0</v>
      </c>
      <c r="D104" s="83"/>
      <c r="E104" s="191"/>
      <c r="F104" s="83"/>
      <c r="G104" s="83"/>
      <c r="H104" s="83"/>
      <c r="I104" s="83"/>
      <c r="J104" s="170"/>
      <c r="K104" s="83"/>
      <c r="L104" s="239" t="s">
        <v>19</v>
      </c>
      <c r="M104" s="207"/>
      <c r="N104" s="83"/>
      <c r="O104" s="191"/>
      <c r="P104" s="170"/>
      <c r="Q104" s="83"/>
      <c r="R104" s="83"/>
      <c r="S104" s="83"/>
      <c r="T104" s="83"/>
      <c r="U104" s="83"/>
      <c r="V104" s="83"/>
      <c r="W104" s="80"/>
      <c r="X104" s="83"/>
      <c r="Y104" s="220" t="s">
        <v>18</v>
      </c>
      <c r="Z104" s="221">
        <f t="shared" ref="Z104:Z111" si="227">SUMIF(W$11:W$95,Y104,AC$11:AC$95)</f>
        <v>137.45000000000002</v>
      </c>
      <c r="AA104" s="83"/>
      <c r="AB104" s="191"/>
      <c r="AC104" s="83"/>
      <c r="AD104" s="83"/>
      <c r="AE104" s="149" t="s">
        <v>357</v>
      </c>
      <c r="AF104" s="323" t="s">
        <v>363</v>
      </c>
      <c r="AG104" s="323"/>
      <c r="AH104" s="323"/>
      <c r="AI104" s="95">
        <f>AF97</f>
        <v>1255.07</v>
      </c>
    </row>
    <row r="105" spans="1:35" ht="15.75" customHeight="1">
      <c r="B105" s="95" t="s">
        <v>20</v>
      </c>
      <c r="C105" s="218">
        <f t="shared" si="226"/>
        <v>118.91999999999999</v>
      </c>
      <c r="D105" s="83"/>
      <c r="E105" s="191"/>
      <c r="F105" s="83"/>
      <c r="G105" s="83"/>
      <c r="H105" s="83"/>
      <c r="I105" s="83"/>
      <c r="J105" s="170"/>
      <c r="K105" s="83"/>
      <c r="L105" s="239" t="s">
        <v>20</v>
      </c>
      <c r="M105" s="207">
        <f>SUM(R71,R72,R73,R74)</f>
        <v>90.855000000000004</v>
      </c>
      <c r="N105" s="83"/>
      <c r="O105" s="191"/>
      <c r="P105" s="170"/>
      <c r="Q105" s="83"/>
      <c r="R105" s="83"/>
      <c r="S105" s="83"/>
      <c r="T105" s="83"/>
      <c r="U105" s="83"/>
      <c r="V105" s="83"/>
      <c r="W105" s="80"/>
      <c r="X105" s="83"/>
      <c r="Y105" s="220" t="s">
        <v>19</v>
      </c>
      <c r="Z105" s="221">
        <f t="shared" si="227"/>
        <v>97.539999999999992</v>
      </c>
      <c r="AA105" s="83"/>
      <c r="AB105" s="191"/>
      <c r="AC105" s="83"/>
      <c r="AD105" s="83"/>
      <c r="AE105" s="83"/>
      <c r="AF105" s="83"/>
      <c r="AG105" s="83"/>
      <c r="AH105" s="83"/>
      <c r="AI105" s="83"/>
    </row>
    <row r="106" spans="1:35" ht="15.75" customHeight="1">
      <c r="B106" s="95" t="s">
        <v>21</v>
      </c>
      <c r="C106" s="218">
        <f t="shared" si="226"/>
        <v>0</v>
      </c>
      <c r="D106" s="83"/>
      <c r="E106" s="191"/>
      <c r="F106" s="83"/>
      <c r="G106" s="83"/>
      <c r="H106" s="83"/>
      <c r="I106" s="83"/>
      <c r="J106" s="170"/>
      <c r="K106" s="83"/>
      <c r="L106" s="239" t="s">
        <v>21</v>
      </c>
      <c r="M106" s="207">
        <f>SUMIF(L$11:L$96,L106,R$11:R$96)</f>
        <v>0</v>
      </c>
      <c r="N106" s="83"/>
      <c r="O106" s="191"/>
      <c r="P106" s="170"/>
      <c r="Q106" s="83"/>
      <c r="R106" s="83"/>
      <c r="S106" s="83"/>
      <c r="T106" s="83"/>
      <c r="U106" s="83"/>
      <c r="V106" s="83"/>
      <c r="W106" s="80"/>
      <c r="X106" s="83"/>
      <c r="Y106" s="220" t="s">
        <v>20</v>
      </c>
      <c r="Z106" s="221">
        <f t="shared" si="227"/>
        <v>179.88</v>
      </c>
      <c r="AA106" s="83"/>
      <c r="AB106" s="191"/>
      <c r="AC106" s="83"/>
      <c r="AD106" s="83"/>
      <c r="AE106" s="83"/>
      <c r="AF106" s="83"/>
      <c r="AG106" s="83"/>
      <c r="AH106" s="83"/>
      <c r="AI106" s="83"/>
    </row>
    <row r="107" spans="1:35" ht="15.75" customHeight="1">
      <c r="B107" s="95" t="s">
        <v>22</v>
      </c>
      <c r="C107" s="218">
        <f t="shared" si="226"/>
        <v>18.53</v>
      </c>
      <c r="D107" s="83"/>
      <c r="E107" s="191"/>
      <c r="F107" s="83"/>
      <c r="G107" s="83"/>
      <c r="H107" s="83"/>
      <c r="I107" s="83"/>
      <c r="J107" s="170"/>
      <c r="K107" s="83"/>
      <c r="L107" s="239" t="s">
        <v>22</v>
      </c>
      <c r="M107" s="207"/>
      <c r="N107" s="83"/>
      <c r="O107" s="191"/>
      <c r="P107" s="170"/>
      <c r="Q107" s="83"/>
      <c r="R107" s="83"/>
      <c r="S107" s="83"/>
      <c r="T107" s="83"/>
      <c r="U107" s="83"/>
      <c r="V107" s="83"/>
      <c r="W107" s="80"/>
      <c r="X107" s="83"/>
      <c r="Y107" s="220" t="s">
        <v>21</v>
      </c>
      <c r="Z107" s="221">
        <f t="shared" si="227"/>
        <v>0</v>
      </c>
      <c r="AA107" s="83"/>
      <c r="AB107" s="191"/>
      <c r="AC107" s="83"/>
      <c r="AD107" s="83"/>
      <c r="AE107" s="83"/>
      <c r="AF107" s="83"/>
      <c r="AG107" s="83"/>
      <c r="AH107" s="83"/>
      <c r="AI107" s="83"/>
    </row>
    <row r="108" spans="1:35" ht="15.75" customHeight="1">
      <c r="B108" s="95" t="s">
        <v>23</v>
      </c>
      <c r="C108" s="218">
        <f t="shared" si="226"/>
        <v>0</v>
      </c>
      <c r="D108" s="83"/>
      <c r="E108" s="191"/>
      <c r="F108" s="83"/>
      <c r="G108" s="83"/>
      <c r="H108" s="83"/>
      <c r="I108" s="83"/>
      <c r="J108" s="170"/>
      <c r="K108" s="83"/>
      <c r="L108" s="239" t="s">
        <v>23</v>
      </c>
      <c r="M108" s="207"/>
      <c r="N108" s="83"/>
      <c r="O108" s="191"/>
      <c r="P108" s="170"/>
      <c r="Q108" s="83"/>
      <c r="R108" s="83"/>
      <c r="S108" s="83"/>
      <c r="T108" s="83"/>
      <c r="U108" s="83"/>
      <c r="V108" s="83"/>
      <c r="W108" s="80"/>
      <c r="X108" s="83"/>
      <c r="Y108" s="220" t="s">
        <v>22</v>
      </c>
      <c r="Z108" s="221">
        <f t="shared" si="227"/>
        <v>0</v>
      </c>
      <c r="AA108" s="83"/>
      <c r="AB108" s="191"/>
      <c r="AC108" s="83"/>
      <c r="AD108" s="83"/>
      <c r="AE108" s="83"/>
      <c r="AF108" s="83"/>
      <c r="AG108" s="83"/>
      <c r="AH108" s="83"/>
      <c r="AI108" s="83"/>
    </row>
    <row r="109" spans="1:35" ht="15.75" customHeight="1">
      <c r="B109" s="95" t="s">
        <v>24</v>
      </c>
      <c r="C109" s="218">
        <f t="shared" si="226"/>
        <v>178.60999999999999</v>
      </c>
      <c r="D109" s="83"/>
      <c r="E109" s="191"/>
      <c r="F109" s="83"/>
      <c r="G109" s="83"/>
      <c r="H109" s="83"/>
      <c r="I109" s="83"/>
      <c r="J109" s="170"/>
      <c r="K109" s="83"/>
      <c r="L109" s="239" t="s">
        <v>24</v>
      </c>
      <c r="M109" s="207"/>
      <c r="N109" s="83"/>
      <c r="O109" s="191"/>
      <c r="P109" s="170"/>
      <c r="Q109" s="83"/>
      <c r="R109" s="83"/>
      <c r="S109" s="83"/>
      <c r="T109" s="83"/>
      <c r="U109" s="83"/>
      <c r="V109" s="83"/>
      <c r="W109" s="80"/>
      <c r="X109" s="83"/>
      <c r="Y109" s="220" t="s">
        <v>23</v>
      </c>
      <c r="Z109" s="221">
        <f t="shared" si="227"/>
        <v>0</v>
      </c>
      <c r="AA109" s="83"/>
      <c r="AB109" s="191"/>
      <c r="AC109" s="83"/>
      <c r="AD109" s="83"/>
      <c r="AE109" s="83"/>
      <c r="AF109" s="83"/>
      <c r="AG109" s="83"/>
      <c r="AH109" s="83"/>
      <c r="AI109" s="83"/>
    </row>
    <row r="110" spans="1:35" ht="15.75" customHeight="1">
      <c r="B110" s="95" t="s">
        <v>25</v>
      </c>
      <c r="C110" s="218">
        <f t="shared" si="226"/>
        <v>0</v>
      </c>
      <c r="D110" s="83"/>
      <c r="E110" s="191"/>
      <c r="F110" s="83"/>
      <c r="G110" s="83"/>
      <c r="H110" s="83"/>
      <c r="I110" s="83"/>
      <c r="J110" s="170"/>
      <c r="K110" s="83"/>
      <c r="L110" s="239" t="s">
        <v>25</v>
      </c>
      <c r="M110" s="207"/>
      <c r="N110" s="83"/>
      <c r="O110" s="191"/>
      <c r="P110" s="170"/>
      <c r="Q110" s="83"/>
      <c r="R110" s="83"/>
      <c r="S110" s="83"/>
      <c r="T110" s="83"/>
      <c r="U110" s="83"/>
      <c r="V110" s="83"/>
      <c r="W110" s="80"/>
      <c r="X110" s="83"/>
      <c r="Y110" s="220" t="s">
        <v>24</v>
      </c>
      <c r="Z110" s="221">
        <f t="shared" si="227"/>
        <v>0</v>
      </c>
      <c r="AA110" s="83"/>
      <c r="AB110" s="191"/>
      <c r="AC110" s="83"/>
      <c r="AD110" s="83"/>
      <c r="AE110" s="83"/>
      <c r="AF110" s="83"/>
      <c r="AG110" s="83"/>
      <c r="AH110" s="83"/>
      <c r="AI110" s="83"/>
    </row>
    <row r="111" spans="1:35" ht="15.75" customHeight="1">
      <c r="B111" s="95" t="s">
        <v>26</v>
      </c>
      <c r="C111" s="218">
        <f t="shared" si="226"/>
        <v>0</v>
      </c>
      <c r="D111" s="83"/>
      <c r="E111" s="191"/>
      <c r="F111" s="83"/>
      <c r="G111" s="83"/>
      <c r="H111" s="83"/>
      <c r="I111" s="83"/>
      <c r="J111" s="170"/>
      <c r="K111" s="83"/>
      <c r="L111" s="239" t="s">
        <v>26</v>
      </c>
      <c r="M111" s="207"/>
      <c r="N111" s="83"/>
      <c r="O111" s="191"/>
      <c r="P111" s="170"/>
      <c r="Q111" s="83"/>
      <c r="R111" s="83"/>
      <c r="S111" s="83"/>
      <c r="T111" s="83"/>
      <c r="U111" s="83"/>
      <c r="V111" s="83"/>
      <c r="W111" s="80"/>
      <c r="X111" s="83"/>
      <c r="Y111" s="220" t="s">
        <v>25</v>
      </c>
      <c r="Z111" s="221">
        <f t="shared" si="227"/>
        <v>0</v>
      </c>
      <c r="AA111" s="83"/>
      <c r="AB111" s="191"/>
      <c r="AC111" s="83"/>
      <c r="AD111" s="83"/>
      <c r="AE111" s="83"/>
      <c r="AF111" s="83"/>
      <c r="AG111" s="83"/>
      <c r="AH111" s="83"/>
      <c r="AI111" s="83"/>
    </row>
    <row r="112" spans="1:35" ht="15.75" customHeight="1">
      <c r="B112" s="95" t="s">
        <v>27</v>
      </c>
      <c r="C112" s="218">
        <f t="shared" si="226"/>
        <v>0</v>
      </c>
      <c r="D112" s="83"/>
      <c r="E112" s="191"/>
      <c r="F112" s="83"/>
      <c r="G112" s="83"/>
      <c r="H112" s="83"/>
      <c r="I112" s="83"/>
      <c r="J112" s="170"/>
      <c r="K112" s="83"/>
      <c r="L112" s="239" t="s">
        <v>27</v>
      </c>
      <c r="M112" s="207"/>
      <c r="N112" s="83"/>
      <c r="O112" s="191"/>
      <c r="P112" s="170"/>
      <c r="Q112" s="83"/>
      <c r="R112" s="83"/>
      <c r="S112" s="83"/>
      <c r="T112" s="83"/>
      <c r="U112" s="83"/>
      <c r="V112" s="83"/>
      <c r="W112" s="80"/>
      <c r="X112" s="83"/>
      <c r="Y112" s="187"/>
      <c r="Z112" s="190">
        <f>SUM(Z103:Z111)</f>
        <v>1422.1100000000001</v>
      </c>
      <c r="AA112" s="170"/>
      <c r="AB112" s="83"/>
      <c r="AC112" s="83"/>
      <c r="AD112" s="83"/>
      <c r="AE112" s="83"/>
      <c r="AF112" s="83"/>
      <c r="AG112" s="83"/>
      <c r="AH112" s="83"/>
      <c r="AI112" s="83"/>
    </row>
    <row r="113" spans="2:35" ht="15.75" customHeight="1">
      <c r="B113" s="95" t="s">
        <v>337</v>
      </c>
      <c r="C113" s="218">
        <f t="shared" si="226"/>
        <v>0</v>
      </c>
      <c r="D113" s="83"/>
      <c r="E113" s="83"/>
      <c r="F113" s="83"/>
      <c r="G113" s="83"/>
      <c r="H113" s="83"/>
      <c r="I113" s="83"/>
      <c r="J113" s="170"/>
      <c r="K113" s="83"/>
      <c r="L113" s="239" t="s">
        <v>337</v>
      </c>
      <c r="M113" s="207"/>
      <c r="N113" s="83"/>
      <c r="O113" s="191"/>
      <c r="P113" s="170"/>
      <c r="Q113" s="83"/>
      <c r="R113" s="83"/>
      <c r="S113" s="83"/>
      <c r="T113" s="83"/>
      <c r="U113" s="83"/>
      <c r="V113" s="83"/>
      <c r="W113" s="80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</row>
    <row r="114" spans="2:35" ht="15.75" customHeight="1">
      <c r="B114" s="95" t="s">
        <v>338</v>
      </c>
      <c r="C114" s="218">
        <f t="shared" si="226"/>
        <v>0</v>
      </c>
      <c r="D114" s="83"/>
      <c r="E114" s="83"/>
      <c r="F114" s="83"/>
      <c r="G114" s="83"/>
      <c r="H114" s="83"/>
      <c r="I114" s="83"/>
      <c r="J114" s="170"/>
      <c r="K114" s="83"/>
      <c r="L114" s="239" t="s">
        <v>338</v>
      </c>
      <c r="M114" s="207"/>
      <c r="N114" s="83"/>
      <c r="O114" s="191"/>
      <c r="P114" s="170"/>
      <c r="Q114" s="83"/>
      <c r="R114" s="83"/>
      <c r="S114" s="83"/>
      <c r="T114" s="83"/>
      <c r="U114" s="83"/>
      <c r="V114" s="83"/>
      <c r="W114" s="80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</row>
    <row r="115" spans="2:35" ht="15.75" customHeight="1">
      <c r="B115" s="95" t="s">
        <v>339</v>
      </c>
      <c r="C115" s="218">
        <f t="shared" si="226"/>
        <v>0</v>
      </c>
      <c r="D115" s="83"/>
      <c r="E115" s="83"/>
      <c r="F115" s="83"/>
      <c r="G115" s="83"/>
      <c r="H115" s="83"/>
      <c r="I115" s="83"/>
      <c r="J115" s="170"/>
      <c r="K115" s="83"/>
      <c r="L115" s="239" t="s">
        <v>339</v>
      </c>
      <c r="M115" s="207">
        <f>SUM(R75,R78,R80,R81,R84,R92)</f>
        <v>473.92799999999994</v>
      </c>
      <c r="N115" s="83"/>
      <c r="O115" s="191"/>
      <c r="P115" s="170"/>
      <c r="Q115" s="83"/>
      <c r="R115" s="83"/>
      <c r="S115" s="83"/>
      <c r="T115" s="83"/>
      <c r="U115" s="83"/>
      <c r="V115" s="83"/>
      <c r="W115" s="80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</row>
    <row r="116" spans="2:35" ht="15.75" customHeight="1">
      <c r="B116" s="210"/>
      <c r="C116" s="211">
        <f>SUM(C102:C115)</f>
        <v>1328.85</v>
      </c>
      <c r="D116" s="170"/>
      <c r="E116" s="83"/>
      <c r="F116" s="83"/>
      <c r="G116" s="83"/>
      <c r="H116" s="83"/>
      <c r="I116" s="83"/>
      <c r="J116" s="170"/>
      <c r="K116" s="83"/>
      <c r="L116" s="239" t="s">
        <v>28</v>
      </c>
      <c r="M116" s="207"/>
      <c r="N116" s="83"/>
      <c r="O116" s="191"/>
      <c r="P116" s="170"/>
      <c r="Q116" s="83"/>
      <c r="R116" s="83"/>
      <c r="S116" s="83"/>
      <c r="T116" s="83"/>
      <c r="U116" s="83"/>
      <c r="V116" s="83"/>
      <c r="W116" s="80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</row>
    <row r="117" spans="2:35" ht="15.75" customHeight="1">
      <c r="B117" s="187"/>
      <c r="C117" s="83"/>
      <c r="D117" s="83"/>
      <c r="E117" s="83"/>
      <c r="F117" s="83"/>
      <c r="G117" s="83"/>
      <c r="H117" s="83"/>
      <c r="I117" s="83"/>
      <c r="J117" s="170"/>
      <c r="K117" s="83"/>
      <c r="L117" s="239" t="s">
        <v>29</v>
      </c>
      <c r="M117" s="207"/>
      <c r="N117" s="83"/>
      <c r="O117" s="191"/>
      <c r="P117" s="170"/>
      <c r="Q117" s="83"/>
      <c r="R117" s="83"/>
      <c r="S117" s="83"/>
      <c r="T117" s="83"/>
      <c r="U117" s="83"/>
      <c r="V117" s="83"/>
      <c r="W117" s="80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</row>
    <row r="118" spans="2:35" ht="15.75" customHeight="1">
      <c r="B118" s="187"/>
      <c r="C118" s="83"/>
      <c r="D118" s="83"/>
      <c r="E118" s="83"/>
      <c r="F118" s="83"/>
      <c r="G118" s="83"/>
      <c r="H118" s="83"/>
      <c r="I118" s="83"/>
      <c r="J118" s="170"/>
      <c r="K118" s="83"/>
      <c r="L118" s="239" t="s">
        <v>30</v>
      </c>
      <c r="M118" s="207"/>
      <c r="N118" s="83"/>
      <c r="O118" s="83"/>
      <c r="P118" s="170"/>
      <c r="Q118" s="83"/>
      <c r="R118" s="83"/>
      <c r="S118" s="83"/>
      <c r="T118" s="83"/>
      <c r="U118" s="83"/>
      <c r="V118" s="83"/>
      <c r="W118" s="80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</row>
    <row r="119" spans="2:35" ht="15.75" customHeight="1">
      <c r="B119" s="187"/>
      <c r="C119" s="83"/>
      <c r="D119" s="83"/>
      <c r="E119" s="83"/>
      <c r="F119" s="83"/>
      <c r="G119" s="83"/>
      <c r="H119" s="83"/>
      <c r="I119" s="83"/>
      <c r="J119" s="170"/>
      <c r="K119" s="83"/>
      <c r="L119" s="239" t="s">
        <v>340</v>
      </c>
      <c r="M119" s="207"/>
      <c r="N119" s="83"/>
      <c r="O119" s="83"/>
      <c r="P119" s="170"/>
      <c r="Q119" s="83"/>
      <c r="R119" s="83"/>
      <c r="S119" s="83"/>
      <c r="T119" s="83"/>
      <c r="U119" s="83"/>
      <c r="V119" s="83"/>
      <c r="W119" s="80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</row>
    <row r="120" spans="2:35" ht="15.75" customHeight="1">
      <c r="B120" s="187"/>
      <c r="C120" s="83"/>
      <c r="D120" s="83"/>
      <c r="E120" s="83"/>
      <c r="F120" s="83"/>
      <c r="G120" s="83"/>
      <c r="H120" s="83"/>
      <c r="I120" s="83"/>
      <c r="J120" s="170"/>
      <c r="K120" s="83"/>
      <c r="L120" s="239" t="s">
        <v>341</v>
      </c>
      <c r="M120" s="207"/>
      <c r="N120" s="83"/>
      <c r="O120" s="83"/>
      <c r="P120" s="170"/>
      <c r="Q120" s="83"/>
      <c r="R120" s="83"/>
      <c r="S120" s="83"/>
      <c r="T120" s="83"/>
      <c r="U120" s="83"/>
      <c r="V120" s="83"/>
      <c r="W120" s="80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</row>
    <row r="121" spans="2:35" ht="15.75" customHeight="1">
      <c r="B121" s="187"/>
      <c r="C121" s="83"/>
      <c r="D121" s="83"/>
      <c r="E121" s="83"/>
      <c r="F121" s="83"/>
      <c r="G121" s="83"/>
      <c r="H121" s="83"/>
      <c r="I121" s="83"/>
      <c r="J121" s="170"/>
      <c r="K121" s="83"/>
      <c r="L121" s="239" t="s">
        <v>31</v>
      </c>
      <c r="M121" s="207"/>
      <c r="N121" s="83"/>
      <c r="O121" s="83"/>
      <c r="P121" s="170"/>
      <c r="Q121" s="83"/>
      <c r="R121" s="83"/>
      <c r="S121" s="83"/>
      <c r="T121" s="83"/>
      <c r="U121" s="83"/>
      <c r="V121" s="83"/>
      <c r="W121" s="80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</row>
    <row r="122" spans="2:35" ht="15.75" customHeight="1">
      <c r="B122" s="187"/>
      <c r="C122" s="83"/>
      <c r="D122" s="83"/>
      <c r="E122" s="83"/>
      <c r="F122" s="83"/>
      <c r="G122" s="83"/>
      <c r="H122" s="83"/>
      <c r="I122" s="83"/>
      <c r="J122" s="170"/>
      <c r="K122" s="83"/>
      <c r="L122" s="239" t="s">
        <v>571</v>
      </c>
      <c r="M122" s="207">
        <f>SUM(R12,R14,R16,R18,R20,R28)</f>
        <v>302.55</v>
      </c>
      <c r="N122" s="83"/>
      <c r="O122" s="83"/>
      <c r="P122" s="170"/>
      <c r="Q122" s="83"/>
      <c r="R122" s="83"/>
      <c r="S122" s="83"/>
      <c r="T122" s="83"/>
      <c r="U122" s="83"/>
      <c r="V122" s="83"/>
      <c r="W122" s="80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</row>
    <row r="123" spans="2:35" ht="15.75" customHeight="1">
      <c r="B123" s="187"/>
      <c r="C123" s="83"/>
      <c r="D123" s="83"/>
      <c r="E123" s="83"/>
      <c r="F123" s="83"/>
      <c r="G123" s="83"/>
      <c r="H123" s="83"/>
      <c r="I123" s="83"/>
      <c r="J123" s="170"/>
      <c r="K123" s="83"/>
      <c r="L123" s="187"/>
      <c r="M123" s="190">
        <f>SUM(M102:M122)</f>
        <v>4318.1059999999998</v>
      </c>
      <c r="N123" s="170"/>
      <c r="O123" s="83"/>
      <c r="P123" s="170"/>
      <c r="Q123" s="83"/>
      <c r="R123" s="83"/>
      <c r="S123" s="83"/>
      <c r="T123" s="83"/>
      <c r="U123" s="83"/>
      <c r="V123" s="83"/>
      <c r="W123" s="80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</row>
    <row r="124" spans="2:35" ht="15.75" customHeight="1">
      <c r="B124" s="205" t="s">
        <v>33</v>
      </c>
      <c r="C124" s="80"/>
      <c r="D124" s="80"/>
      <c r="E124" s="80"/>
      <c r="F124" s="188"/>
      <c r="G124" s="83"/>
      <c r="H124" s="83"/>
      <c r="I124" s="83"/>
      <c r="J124" s="170"/>
      <c r="K124" s="83"/>
      <c r="L124" s="83"/>
      <c r="M124" s="170"/>
      <c r="N124" s="170"/>
      <c r="O124" s="170"/>
      <c r="P124" s="170"/>
      <c r="Q124" s="83"/>
      <c r="R124" s="83"/>
      <c r="S124" s="83"/>
      <c r="T124" s="83"/>
      <c r="U124" s="83"/>
      <c r="V124" s="83"/>
      <c r="W124" s="80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</row>
    <row r="125" spans="2:35" ht="15.75" customHeight="1">
      <c r="B125" s="187"/>
      <c r="C125" s="80"/>
      <c r="D125" s="80"/>
      <c r="E125" s="80"/>
      <c r="F125" s="188"/>
      <c r="G125" s="83"/>
      <c r="H125" s="83"/>
      <c r="I125" s="83"/>
      <c r="J125" s="170"/>
      <c r="K125" s="83"/>
      <c r="L125" s="83"/>
      <c r="M125" s="170"/>
      <c r="N125" s="170"/>
      <c r="O125" s="170"/>
      <c r="P125" s="170"/>
      <c r="Q125" s="83"/>
      <c r="R125" s="83"/>
      <c r="S125" s="83"/>
      <c r="T125" s="83"/>
      <c r="U125" s="83"/>
      <c r="V125" s="83"/>
      <c r="W125" s="80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</row>
    <row r="126" spans="2:35" ht="60" customHeight="1">
      <c r="B126" s="212" t="s">
        <v>357</v>
      </c>
      <c r="C126" s="323" t="s">
        <v>359</v>
      </c>
      <c r="D126" s="323"/>
      <c r="E126" s="323"/>
      <c r="F126" s="213">
        <f>SUM(U24,U25,U26,U29:U35,U37,U39:U41,U65,U76,U77,U82,U83,U86,U89,U91,U94,U95)</f>
        <v>412.44000000000017</v>
      </c>
      <c r="G126" s="83"/>
      <c r="H126" s="83"/>
      <c r="I126" s="83"/>
      <c r="J126" s="170"/>
      <c r="K126" s="83"/>
      <c r="L126" s="83"/>
      <c r="M126" s="170"/>
      <c r="N126" s="170"/>
      <c r="O126" s="170"/>
      <c r="P126" s="170"/>
      <c r="Q126" s="83"/>
      <c r="R126" s="83"/>
      <c r="S126" s="83"/>
      <c r="T126" s="83"/>
      <c r="U126" s="83"/>
      <c r="V126" s="83"/>
      <c r="W126" s="80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</row>
    <row r="127" spans="2:35" ht="60" customHeight="1">
      <c r="B127" s="212" t="s">
        <v>366</v>
      </c>
      <c r="C127" s="323" t="s">
        <v>360</v>
      </c>
      <c r="D127" s="323"/>
      <c r="E127" s="323"/>
      <c r="F127" s="213">
        <f>SUM(U21,U22,U23,U38,U42,U43,U44,U45,U46,U47,U48:U52)</f>
        <v>211.6</v>
      </c>
      <c r="G127" s="83"/>
      <c r="H127" s="83"/>
      <c r="I127" s="83"/>
      <c r="J127" s="170"/>
      <c r="K127" s="83"/>
      <c r="L127" s="83"/>
      <c r="M127" s="170"/>
      <c r="N127" s="170"/>
      <c r="O127" s="170"/>
      <c r="P127" s="170"/>
      <c r="Q127" s="83"/>
      <c r="R127" s="83"/>
      <c r="S127" s="83"/>
      <c r="T127" s="83"/>
      <c r="U127" s="83"/>
      <c r="V127" s="83"/>
      <c r="W127" s="80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</row>
    <row r="128" spans="2:35" ht="40.049999999999997" customHeight="1">
      <c r="B128" s="212" t="s">
        <v>358</v>
      </c>
      <c r="C128" s="323" t="s">
        <v>361</v>
      </c>
      <c r="D128" s="323"/>
      <c r="E128" s="323"/>
      <c r="F128" s="236"/>
      <c r="G128" s="83"/>
      <c r="H128" s="83"/>
      <c r="I128" s="83"/>
      <c r="J128" s="170"/>
      <c r="K128" s="83"/>
      <c r="L128" s="83"/>
      <c r="M128" s="170"/>
      <c r="N128" s="170"/>
      <c r="O128" s="170"/>
      <c r="P128" s="170"/>
      <c r="Q128" s="83"/>
      <c r="R128" s="83"/>
      <c r="S128" s="83"/>
      <c r="T128" s="83"/>
      <c r="U128" s="83"/>
      <c r="V128" s="83"/>
      <c r="W128" s="80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</row>
    <row r="129" spans="2:35" ht="60" customHeight="1">
      <c r="B129" s="212" t="s">
        <v>356</v>
      </c>
      <c r="C129" s="323" t="s">
        <v>362</v>
      </c>
      <c r="D129" s="323"/>
      <c r="E129" s="323"/>
      <c r="F129" s="236">
        <f>SUM(U75,U78,U80,U81,U84,U92)</f>
        <v>121.52000000000001</v>
      </c>
      <c r="G129" s="83"/>
      <c r="H129" s="83"/>
      <c r="I129" s="83"/>
      <c r="J129" s="170"/>
      <c r="K129" s="83"/>
      <c r="L129" s="83"/>
      <c r="M129" s="170"/>
      <c r="N129" s="170"/>
      <c r="O129" s="170"/>
      <c r="P129" s="170"/>
      <c r="Q129" s="83"/>
      <c r="R129" s="83"/>
      <c r="S129" s="83"/>
      <c r="T129" s="83"/>
      <c r="U129" s="83"/>
      <c r="V129" s="83"/>
      <c r="W129" s="80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</row>
    <row r="130" spans="2:35" ht="60" customHeight="1">
      <c r="B130" s="212" t="s">
        <v>530</v>
      </c>
      <c r="C130" s="323" t="s">
        <v>532</v>
      </c>
      <c r="D130" s="323"/>
      <c r="E130" s="323"/>
      <c r="F130" s="213">
        <f>SUM(U11,U13,U15,U17,U19,U27,U36,U53,U55,U57,U60,U61,U63,U64,U68,U87)</f>
        <v>593.47000000000014</v>
      </c>
      <c r="G130" s="83"/>
      <c r="H130" s="83"/>
      <c r="I130" s="83"/>
      <c r="J130" s="170"/>
      <c r="K130" s="83"/>
      <c r="L130" s="83"/>
      <c r="M130" s="170"/>
      <c r="N130" s="170"/>
      <c r="O130" s="170"/>
      <c r="P130" s="170"/>
      <c r="Q130" s="83"/>
      <c r="R130" s="83"/>
      <c r="S130" s="83"/>
      <c r="T130" s="83"/>
      <c r="U130" s="83"/>
      <c r="V130" s="83"/>
      <c r="W130" s="80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</row>
    <row r="131" spans="2:35" ht="15.75" customHeight="1">
      <c r="B131" s="187"/>
      <c r="C131" s="80"/>
      <c r="D131" s="80"/>
      <c r="E131" s="80"/>
      <c r="F131" s="214">
        <f>SUM(F126:F130)</f>
        <v>1339.0300000000002</v>
      </c>
      <c r="G131" s="83"/>
      <c r="H131" s="83"/>
      <c r="I131" s="83"/>
      <c r="J131" s="170"/>
      <c r="K131" s="83"/>
      <c r="L131" s="83"/>
      <c r="M131" s="170"/>
      <c r="N131" s="170"/>
      <c r="O131" s="170"/>
      <c r="P131" s="170"/>
      <c r="Q131" s="83"/>
      <c r="R131" s="83"/>
      <c r="S131" s="83"/>
      <c r="T131" s="83"/>
      <c r="U131" s="83"/>
      <c r="V131" s="83"/>
      <c r="W131" s="80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</row>
    <row r="132" spans="2:35" ht="15.75" customHeight="1">
      <c r="B132" s="187"/>
      <c r="C132" s="83"/>
      <c r="D132" s="83"/>
      <c r="E132" s="83"/>
      <c r="F132" s="83"/>
      <c r="G132" s="83"/>
      <c r="H132" s="83"/>
      <c r="I132" s="83"/>
      <c r="J132" s="170"/>
      <c r="K132" s="83"/>
      <c r="L132" s="83"/>
      <c r="M132" s="170"/>
      <c r="N132" s="170"/>
      <c r="O132" s="170"/>
      <c r="P132" s="170"/>
      <c r="Q132" s="83"/>
      <c r="R132" s="83"/>
      <c r="S132" s="83"/>
      <c r="T132" s="83"/>
      <c r="U132" s="83"/>
      <c r="V132" s="83"/>
      <c r="W132" s="80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</row>
    <row r="133" spans="2:35" ht="15.75" customHeight="1">
      <c r="B133" s="187"/>
      <c r="C133" s="83"/>
      <c r="D133" s="83"/>
      <c r="E133" s="83"/>
      <c r="F133" s="83"/>
      <c r="G133" s="83"/>
      <c r="H133" s="83"/>
      <c r="I133" s="83"/>
      <c r="J133" s="170"/>
      <c r="K133" s="83"/>
      <c r="L133" s="83"/>
      <c r="M133" s="170"/>
      <c r="N133" s="170"/>
      <c r="O133" s="170"/>
      <c r="P133" s="170"/>
      <c r="Q133" s="83"/>
      <c r="R133" s="83"/>
      <c r="S133" s="83"/>
      <c r="T133" s="83"/>
      <c r="U133" s="83"/>
      <c r="V133" s="83"/>
      <c r="W133" s="80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</row>
    <row r="134" spans="2:35" ht="15.75" customHeight="1">
      <c r="B134" s="187"/>
      <c r="C134" s="83"/>
      <c r="D134" s="83"/>
      <c r="E134" s="83"/>
      <c r="F134" s="83"/>
      <c r="G134" s="83"/>
      <c r="H134" s="83"/>
      <c r="I134" s="83"/>
      <c r="J134" s="170"/>
      <c r="K134" s="83"/>
      <c r="L134" s="83"/>
      <c r="M134" s="170"/>
      <c r="N134" s="170"/>
      <c r="O134" s="170"/>
      <c r="P134" s="170"/>
      <c r="Q134" s="83"/>
      <c r="R134" s="83"/>
      <c r="S134" s="83"/>
      <c r="T134" s="83"/>
      <c r="U134" s="83"/>
      <c r="V134" s="83"/>
      <c r="W134" s="80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</row>
    <row r="135" spans="2:35" ht="15.75" customHeight="1">
      <c r="B135" s="187"/>
      <c r="C135" s="83"/>
      <c r="D135" s="83"/>
      <c r="E135" s="83"/>
      <c r="F135" s="83"/>
      <c r="G135" s="83"/>
      <c r="H135" s="83"/>
      <c r="I135" s="83"/>
      <c r="J135" s="170"/>
      <c r="K135" s="83"/>
      <c r="L135" s="83"/>
      <c r="M135" s="170"/>
      <c r="N135" s="170"/>
      <c r="O135" s="170"/>
      <c r="P135" s="170"/>
      <c r="Q135" s="83"/>
      <c r="R135" s="83"/>
      <c r="S135" s="83"/>
      <c r="T135" s="83"/>
      <c r="U135" s="83"/>
      <c r="V135" s="83"/>
      <c r="W135" s="80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</row>
    <row r="136" spans="2:35" ht="15.75" customHeight="1">
      <c r="B136" s="187"/>
      <c r="C136" s="83"/>
      <c r="D136" s="83"/>
      <c r="E136" s="83"/>
      <c r="F136" s="83"/>
      <c r="G136" s="83"/>
      <c r="H136" s="83"/>
      <c r="I136" s="83"/>
      <c r="J136" s="170"/>
      <c r="K136" s="83"/>
      <c r="L136" s="83"/>
      <c r="M136" s="170"/>
      <c r="N136" s="170"/>
      <c r="O136" s="170"/>
      <c r="P136" s="170"/>
      <c r="Q136" s="83"/>
      <c r="R136" s="83"/>
      <c r="S136" s="83"/>
      <c r="T136" s="83"/>
      <c r="U136" s="83"/>
      <c r="V136" s="83"/>
      <c r="W136" s="80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</row>
    <row r="137" spans="2:35" ht="15.75" customHeight="1">
      <c r="B137" s="187"/>
      <c r="C137" s="83"/>
      <c r="D137" s="83"/>
      <c r="E137" s="83"/>
      <c r="F137" s="83"/>
      <c r="G137" s="83"/>
      <c r="H137" s="83"/>
      <c r="I137" s="83"/>
      <c r="J137" s="170"/>
      <c r="K137" s="83"/>
      <c r="L137" s="83"/>
      <c r="M137" s="170"/>
      <c r="N137" s="170"/>
      <c r="O137" s="170"/>
      <c r="P137" s="170"/>
      <c r="Q137" s="83"/>
      <c r="R137" s="83"/>
      <c r="S137" s="83"/>
      <c r="T137" s="83"/>
      <c r="U137" s="83"/>
      <c r="V137" s="83"/>
      <c r="W137" s="80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</row>
    <row r="138" spans="2:35" ht="15.75" customHeight="1">
      <c r="B138" s="187"/>
      <c r="C138" s="83"/>
      <c r="D138" s="83"/>
      <c r="E138" s="83"/>
      <c r="F138" s="83"/>
      <c r="G138" s="83"/>
      <c r="H138" s="83"/>
      <c r="I138" s="83"/>
      <c r="J138" s="170"/>
      <c r="K138" s="83"/>
      <c r="L138" s="83"/>
      <c r="M138" s="170"/>
      <c r="N138" s="170"/>
      <c r="O138" s="170"/>
      <c r="P138" s="170"/>
      <c r="Q138" s="83"/>
      <c r="R138" s="83"/>
      <c r="S138" s="83"/>
      <c r="T138" s="83"/>
      <c r="U138" s="83"/>
      <c r="V138" s="83"/>
      <c r="W138" s="80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</row>
    <row r="139" spans="2:35" ht="15.75" customHeight="1">
      <c r="B139" s="187"/>
      <c r="C139" s="83"/>
      <c r="D139" s="83"/>
      <c r="E139" s="83"/>
      <c r="F139" s="83"/>
      <c r="G139" s="83"/>
      <c r="H139" s="83"/>
      <c r="I139" s="83"/>
      <c r="J139" s="170"/>
      <c r="K139" s="83"/>
      <c r="L139" s="83"/>
      <c r="M139" s="170"/>
      <c r="N139" s="170"/>
      <c r="O139" s="170"/>
      <c r="P139" s="170"/>
      <c r="Q139" s="83"/>
      <c r="R139" s="83"/>
      <c r="S139" s="83"/>
      <c r="T139" s="83"/>
      <c r="U139" s="83"/>
      <c r="V139" s="83"/>
      <c r="W139" s="80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</row>
    <row r="140" spans="2:35" ht="15.75" customHeight="1">
      <c r="B140" s="187"/>
      <c r="C140" s="83"/>
      <c r="D140" s="83"/>
      <c r="E140" s="83"/>
      <c r="F140" s="83"/>
      <c r="G140" s="83"/>
      <c r="H140" s="83"/>
      <c r="I140" s="83"/>
      <c r="J140" s="170"/>
      <c r="K140" s="83"/>
      <c r="L140" s="83"/>
      <c r="M140" s="170"/>
      <c r="N140" s="170"/>
      <c r="O140" s="170"/>
      <c r="P140" s="170"/>
      <c r="Q140" s="83"/>
      <c r="R140" s="83"/>
      <c r="S140" s="83"/>
      <c r="T140" s="83"/>
      <c r="U140" s="83"/>
      <c r="V140" s="83"/>
      <c r="W140" s="80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</row>
    <row r="141" spans="2:35" ht="15.75" customHeight="1">
      <c r="B141" s="187"/>
      <c r="C141" s="83"/>
      <c r="D141" s="83"/>
      <c r="E141" s="83"/>
      <c r="F141" s="83"/>
      <c r="G141" s="83"/>
      <c r="H141" s="83"/>
      <c r="I141" s="83"/>
      <c r="J141" s="170"/>
      <c r="K141" s="83"/>
      <c r="L141" s="83"/>
      <c r="M141" s="170"/>
      <c r="N141" s="170"/>
      <c r="O141" s="170"/>
      <c r="P141" s="170"/>
      <c r="Q141" s="83"/>
      <c r="R141" s="83"/>
      <c r="S141" s="83"/>
      <c r="T141" s="83"/>
      <c r="U141" s="83"/>
      <c r="V141" s="83"/>
      <c r="W141" s="80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</row>
    <row r="142" spans="2:35" ht="15.75" customHeight="1">
      <c r="B142" s="187"/>
      <c r="C142" s="83"/>
      <c r="D142" s="83"/>
      <c r="E142" s="83"/>
      <c r="F142" s="83"/>
      <c r="G142" s="83"/>
      <c r="H142" s="83"/>
      <c r="I142" s="83"/>
      <c r="J142" s="170"/>
      <c r="K142" s="83"/>
      <c r="L142" s="83"/>
      <c r="M142" s="170"/>
      <c r="N142" s="170"/>
      <c r="O142" s="170"/>
      <c r="P142" s="170"/>
      <c r="Q142" s="83"/>
      <c r="R142" s="83"/>
      <c r="S142" s="83"/>
      <c r="T142" s="83"/>
      <c r="U142" s="83"/>
      <c r="V142" s="83"/>
      <c r="W142" s="80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</row>
    <row r="143" spans="2:35" ht="15.75" customHeight="1">
      <c r="B143" s="187"/>
      <c r="C143" s="83"/>
      <c r="D143" s="83"/>
      <c r="E143" s="83"/>
      <c r="F143" s="83"/>
      <c r="G143" s="83"/>
      <c r="H143" s="83"/>
      <c r="I143" s="83"/>
      <c r="J143" s="170"/>
      <c r="K143" s="83"/>
      <c r="L143" s="83"/>
      <c r="M143" s="170"/>
      <c r="N143" s="170"/>
      <c r="O143" s="170"/>
      <c r="P143" s="170"/>
      <c r="Q143" s="83"/>
      <c r="R143" s="83"/>
      <c r="S143" s="83"/>
      <c r="T143" s="83"/>
      <c r="U143" s="83"/>
      <c r="V143" s="83"/>
      <c r="W143" s="80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</row>
    <row r="144" spans="2:35" ht="15.75" customHeight="1">
      <c r="B144" s="187"/>
      <c r="C144" s="83"/>
      <c r="D144" s="83"/>
      <c r="E144" s="83"/>
      <c r="F144" s="83"/>
      <c r="G144" s="83"/>
      <c r="H144" s="83"/>
      <c r="I144" s="83"/>
      <c r="J144" s="170"/>
      <c r="K144" s="83"/>
      <c r="L144" s="83"/>
      <c r="M144" s="170"/>
      <c r="N144" s="170"/>
      <c r="O144" s="170"/>
      <c r="P144" s="170"/>
      <c r="Q144" s="83"/>
      <c r="R144" s="83"/>
      <c r="S144" s="83"/>
      <c r="T144" s="83"/>
      <c r="U144" s="83"/>
      <c r="V144" s="83"/>
      <c r="W144" s="80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</row>
    <row r="145" spans="2:35" ht="15.75" customHeight="1">
      <c r="B145" s="187"/>
      <c r="C145" s="83"/>
      <c r="D145" s="83"/>
      <c r="E145" s="83"/>
      <c r="F145" s="83"/>
      <c r="G145" s="83"/>
      <c r="H145" s="83"/>
      <c r="I145" s="83"/>
      <c r="J145" s="170"/>
      <c r="K145" s="83"/>
      <c r="L145" s="83"/>
      <c r="M145" s="170"/>
      <c r="N145" s="170"/>
      <c r="O145" s="170"/>
      <c r="P145" s="170"/>
      <c r="Q145" s="83"/>
      <c r="R145" s="83"/>
      <c r="S145" s="83"/>
      <c r="T145" s="83"/>
      <c r="U145" s="83"/>
      <c r="V145" s="83"/>
      <c r="W145" s="80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</row>
    <row r="146" spans="2:35" ht="15.75" customHeight="1">
      <c r="B146" s="187"/>
      <c r="C146" s="83"/>
      <c r="D146" s="83"/>
      <c r="E146" s="83"/>
      <c r="F146" s="83"/>
      <c r="G146" s="83"/>
      <c r="H146" s="83"/>
      <c r="I146" s="83"/>
      <c r="J146" s="170"/>
      <c r="K146" s="83"/>
      <c r="L146" s="83"/>
      <c r="M146" s="170"/>
      <c r="N146" s="170"/>
      <c r="O146" s="170"/>
      <c r="P146" s="170"/>
      <c r="Q146" s="83"/>
      <c r="R146" s="83"/>
      <c r="S146" s="83"/>
      <c r="T146" s="83"/>
      <c r="U146" s="83"/>
      <c r="V146" s="83"/>
      <c r="W146" s="80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</row>
    <row r="147" spans="2:35" ht="15.75" customHeight="1">
      <c r="B147" s="187"/>
      <c r="C147" s="83"/>
      <c r="D147" s="83"/>
      <c r="E147" s="83"/>
      <c r="F147" s="83"/>
      <c r="G147" s="83"/>
      <c r="H147" s="83"/>
      <c r="I147" s="83"/>
      <c r="J147" s="170"/>
      <c r="K147" s="83"/>
      <c r="L147" s="83"/>
      <c r="M147" s="170"/>
      <c r="N147" s="170"/>
      <c r="O147" s="170"/>
      <c r="P147" s="170"/>
      <c r="Q147" s="83"/>
      <c r="R147" s="83"/>
      <c r="S147" s="83"/>
      <c r="T147" s="83"/>
      <c r="U147" s="83"/>
      <c r="V147" s="83"/>
      <c r="W147" s="80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</row>
    <row r="148" spans="2:35" ht="15.75" customHeight="1">
      <c r="B148" s="187"/>
      <c r="C148" s="83"/>
      <c r="D148" s="83"/>
      <c r="E148" s="83"/>
      <c r="F148" s="83"/>
      <c r="G148" s="83"/>
      <c r="H148" s="83"/>
      <c r="I148" s="83"/>
      <c r="J148" s="170"/>
      <c r="K148" s="83"/>
      <c r="L148" s="83"/>
      <c r="M148" s="170"/>
      <c r="N148" s="170"/>
      <c r="O148" s="170"/>
      <c r="P148" s="170"/>
      <c r="Q148" s="83"/>
      <c r="R148" s="83"/>
      <c r="S148" s="83"/>
      <c r="T148" s="83"/>
      <c r="U148" s="83"/>
      <c r="V148" s="83"/>
      <c r="W148" s="80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</row>
    <row r="149" spans="2:35" ht="15.75" customHeight="1">
      <c r="B149" s="187"/>
      <c r="C149" s="83"/>
      <c r="D149" s="83"/>
      <c r="E149" s="83"/>
      <c r="F149" s="83"/>
      <c r="G149" s="83"/>
      <c r="H149" s="83"/>
      <c r="I149" s="83"/>
      <c r="J149" s="170"/>
      <c r="K149" s="83"/>
      <c r="L149" s="83"/>
      <c r="M149" s="170"/>
      <c r="N149" s="170"/>
      <c r="O149" s="170"/>
      <c r="P149" s="170"/>
      <c r="Q149" s="83"/>
      <c r="R149" s="83"/>
      <c r="S149" s="83"/>
      <c r="T149" s="83"/>
      <c r="U149" s="83"/>
      <c r="V149" s="83"/>
      <c r="W149" s="80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</row>
    <row r="150" spans="2:35" ht="15.75" customHeight="1">
      <c r="B150" s="187"/>
      <c r="C150" s="83"/>
      <c r="D150" s="83"/>
      <c r="E150" s="83"/>
      <c r="F150" s="83"/>
      <c r="G150" s="83"/>
      <c r="H150" s="83"/>
      <c r="I150" s="83"/>
      <c r="J150" s="170"/>
      <c r="K150" s="83"/>
      <c r="L150" s="83"/>
      <c r="M150" s="170"/>
      <c r="N150" s="170"/>
      <c r="O150" s="170"/>
      <c r="P150" s="170"/>
      <c r="Q150" s="83"/>
      <c r="R150" s="83"/>
      <c r="S150" s="83"/>
      <c r="T150" s="83"/>
      <c r="U150" s="83"/>
      <c r="V150" s="83"/>
      <c r="W150" s="80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</row>
    <row r="151" spans="2:35" ht="15.75" customHeight="1">
      <c r="B151" s="187"/>
      <c r="C151" s="83"/>
      <c r="D151" s="83"/>
      <c r="E151" s="83"/>
      <c r="F151" s="83"/>
      <c r="G151" s="83"/>
      <c r="H151" s="83"/>
      <c r="I151" s="83"/>
      <c r="J151" s="170"/>
      <c r="K151" s="83"/>
      <c r="L151" s="83"/>
      <c r="M151" s="170"/>
      <c r="N151" s="170"/>
      <c r="O151" s="170"/>
      <c r="P151" s="170"/>
      <c r="Q151" s="83"/>
      <c r="R151" s="83"/>
      <c r="S151" s="83"/>
      <c r="T151" s="83"/>
      <c r="U151" s="83"/>
      <c r="V151" s="83"/>
      <c r="W151" s="80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</row>
    <row r="152" spans="2:35" ht="15.75" customHeight="1">
      <c r="B152" s="187"/>
      <c r="C152" s="83"/>
      <c r="D152" s="83"/>
      <c r="E152" s="83"/>
      <c r="F152" s="83"/>
      <c r="G152" s="83"/>
      <c r="H152" s="83"/>
      <c r="I152" s="83"/>
      <c r="J152" s="170"/>
      <c r="K152" s="83"/>
      <c r="L152" s="83"/>
      <c r="M152" s="170"/>
      <c r="N152" s="170"/>
      <c r="O152" s="170"/>
      <c r="P152" s="170"/>
      <c r="Q152" s="83"/>
      <c r="R152" s="83"/>
      <c r="S152" s="83"/>
      <c r="T152" s="83"/>
      <c r="U152" s="83"/>
      <c r="V152" s="83"/>
      <c r="W152" s="80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</row>
    <row r="153" spans="2:35" ht="15.75" customHeight="1">
      <c r="B153" s="187"/>
      <c r="C153" s="83"/>
      <c r="D153" s="83"/>
      <c r="E153" s="83"/>
      <c r="F153" s="83"/>
      <c r="G153" s="83"/>
      <c r="H153" s="83"/>
      <c r="I153" s="83"/>
      <c r="J153" s="170"/>
      <c r="K153" s="83"/>
      <c r="L153" s="83"/>
      <c r="M153" s="170"/>
      <c r="N153" s="170"/>
      <c r="O153" s="170"/>
      <c r="P153" s="170"/>
      <c r="Q153" s="83"/>
      <c r="R153" s="83"/>
      <c r="S153" s="83"/>
      <c r="T153" s="83"/>
      <c r="U153" s="83"/>
      <c r="V153" s="83"/>
      <c r="W153" s="80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</row>
    <row r="154" spans="2:35" ht="15.75" customHeight="1">
      <c r="B154" s="18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0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</row>
    <row r="155" spans="2:35" ht="15.75" customHeight="1">
      <c r="B155" s="18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0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</row>
    <row r="156" spans="2:35" ht="15.75" customHeight="1">
      <c r="B156" s="18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0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</row>
    <row r="157" spans="2:35" ht="15.75" customHeight="1">
      <c r="B157" s="18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0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</row>
    <row r="158" spans="2:35" ht="77.25" customHeight="1">
      <c r="B158" s="18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0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</row>
    <row r="159" spans="2:35" ht="66" customHeight="1">
      <c r="B159" s="18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0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</row>
    <row r="160" spans="2:35" ht="44.25" customHeight="1">
      <c r="B160" s="18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0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</row>
    <row r="161" spans="2:6" ht="60" customHeight="1"/>
    <row r="162" spans="2:6" ht="60" customHeight="1"/>
    <row r="163" spans="2:6" ht="15.75" customHeight="1"/>
    <row r="164" spans="2:6" ht="15.75" customHeight="1">
      <c r="B164" s="21"/>
      <c r="C164" s="15"/>
      <c r="D164" s="15"/>
      <c r="E164" s="15"/>
      <c r="F164" s="10"/>
    </row>
    <row r="165" spans="2:6" ht="15.75" customHeight="1">
      <c r="B165" s="25"/>
      <c r="C165" s="15"/>
      <c r="D165" s="15"/>
      <c r="E165" s="15"/>
      <c r="F165" s="10"/>
    </row>
    <row r="166" spans="2:6" ht="15.75" customHeight="1"/>
    <row r="167" spans="2:6" ht="15.75" customHeight="1"/>
    <row r="168" spans="2:6" ht="24.75" customHeight="1"/>
    <row r="169" spans="2:6" ht="15.75" customHeight="1"/>
    <row r="170" spans="2:6" ht="15.75" customHeight="1"/>
    <row r="171" spans="2:6" ht="15.75" customHeight="1"/>
    <row r="172" spans="2:6" ht="15.75" customHeight="1"/>
    <row r="173" spans="2:6" ht="15.75" customHeight="1"/>
    <row r="174" spans="2:6" ht="15.75" customHeight="1"/>
    <row r="175" spans="2:6" ht="15.75" customHeight="1"/>
    <row r="176" spans="2: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</sheetData>
  <mergeCells count="7">
    <mergeCell ref="AF103:AH103"/>
    <mergeCell ref="C130:E130"/>
    <mergeCell ref="AF104:AH104"/>
    <mergeCell ref="C126:E126"/>
    <mergeCell ref="C127:E127"/>
    <mergeCell ref="C128:E128"/>
    <mergeCell ref="C129:E129"/>
  </mergeCells>
  <phoneticPr fontId="19" type="noConversion"/>
  <pageMargins left="0.51181102362204722" right="0.51181102362204722" top="1.1811023622047243" bottom="1.1811023622047243" header="0.78740157480314954" footer="0.78740157480314954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L1048524"/>
  <sheetViews>
    <sheetView zoomScale="110" zoomScaleNormal="110" workbookViewId="0">
      <selection activeCell="J123" sqref="J123"/>
    </sheetView>
  </sheetViews>
  <sheetFormatPr defaultRowHeight="15" customHeight="1"/>
  <cols>
    <col min="1" max="1" width="4.59765625" style="16" customWidth="1"/>
    <col min="2" max="2" width="19" style="16" customWidth="1"/>
    <col min="3" max="3" width="6.796875" style="9" customWidth="1"/>
    <col min="4" max="4" width="6.69921875" style="9" customWidth="1"/>
    <col min="5" max="5" width="7.796875" style="9" customWidth="1"/>
    <col min="6" max="6" width="7" style="10" customWidth="1"/>
    <col min="7" max="7" width="7.09765625" style="9" customWidth="1"/>
    <col min="8" max="8" width="6.8984375" style="9" customWidth="1"/>
    <col min="9" max="9" width="10" style="9" bestFit="1" customWidth="1"/>
    <col min="10" max="10" width="8.8984375" style="10" customWidth="1"/>
    <col min="11" max="11" width="2.69921875" style="9" customWidth="1"/>
    <col min="12" max="12" width="7.69921875" style="9" customWidth="1"/>
    <col min="13" max="13" width="6.69921875" style="9" customWidth="1"/>
    <col min="14" max="14" width="8.69921875" style="41" customWidth="1"/>
    <col min="15" max="15" width="6.69921875" style="41" customWidth="1"/>
    <col min="16" max="16" width="7.59765625" style="41" customWidth="1"/>
    <col min="17" max="17" width="7.796875" style="41" customWidth="1"/>
    <col min="18" max="18" width="8.19921875" style="41" customWidth="1"/>
    <col min="19" max="19" width="2.796875" style="41" customWidth="1"/>
    <col min="20" max="20" width="6.69921875" style="41" customWidth="1"/>
    <col min="21" max="21" width="9.69921875" style="41" customWidth="1"/>
    <col min="22" max="22" width="2.796875" style="41" customWidth="1"/>
    <col min="23" max="23" width="6.796875" style="41" customWidth="1"/>
    <col min="24" max="24" width="7.796875" style="41" customWidth="1"/>
    <col min="25" max="25" width="8.69921875" style="41" customWidth="1"/>
    <col min="26" max="26" width="7.796875" style="41" customWidth="1"/>
    <col min="27" max="27" width="8" style="41" customWidth="1"/>
    <col min="28" max="28" width="7.5" style="41" customWidth="1"/>
    <col min="29" max="29" width="8.8984375" style="41" customWidth="1"/>
    <col min="30" max="30" width="2.69921875" style="5" customWidth="1"/>
    <col min="31" max="31" width="6.69921875" style="5" customWidth="1"/>
    <col min="32" max="32" width="9.796875" style="5" customWidth="1"/>
    <col min="33" max="33" width="18" customWidth="1"/>
    <col min="34" max="34" width="8.19921875" customWidth="1"/>
    <col min="35" max="35" width="8.296875" customWidth="1"/>
    <col min="36" max="1024" width="18" customWidth="1"/>
  </cols>
  <sheetData>
    <row r="2" spans="1:38" ht="15" customHeight="1">
      <c r="A2" s="279" t="s">
        <v>281</v>
      </c>
      <c r="B2" s="284" t="s">
        <v>282</v>
      </c>
      <c r="C2" s="85"/>
      <c r="D2" s="85"/>
      <c r="E2" s="85"/>
      <c r="F2" s="188"/>
      <c r="J2" s="66" t="s">
        <v>423</v>
      </c>
    </row>
    <row r="3" spans="1:38" ht="15" customHeight="1">
      <c r="A3" s="279" t="s">
        <v>283</v>
      </c>
      <c r="B3" s="284" t="s">
        <v>284</v>
      </c>
      <c r="C3" s="85"/>
      <c r="D3" s="85"/>
      <c r="E3" s="85"/>
      <c r="F3" s="188"/>
      <c r="J3" s="67" t="s">
        <v>391</v>
      </c>
    </row>
    <row r="4" spans="1:38" ht="15" customHeight="1">
      <c r="A4" s="191"/>
      <c r="B4" s="285" t="s">
        <v>636</v>
      </c>
      <c r="C4" s="85"/>
      <c r="D4" s="85"/>
      <c r="E4" s="85"/>
      <c r="F4" s="188"/>
      <c r="J4" s="68" t="s">
        <v>392</v>
      </c>
    </row>
    <row r="5" spans="1:38" ht="15" customHeight="1">
      <c r="J5" s="71" t="s">
        <v>526</v>
      </c>
    </row>
    <row r="7" spans="1:38" ht="13.8">
      <c r="B7" s="44"/>
      <c r="L7" s="45"/>
      <c r="M7" s="45"/>
      <c r="T7" s="49"/>
      <c r="U7" s="49"/>
      <c r="W7" s="50"/>
      <c r="AE7" s="47"/>
      <c r="AF7" s="47"/>
    </row>
    <row r="8" spans="1:38" ht="14.4">
      <c r="B8" s="272" t="s">
        <v>35</v>
      </c>
      <c r="C8" s="85"/>
      <c r="D8" s="85"/>
      <c r="E8" s="85"/>
      <c r="F8" s="188"/>
      <c r="G8" s="85"/>
      <c r="H8" s="85"/>
      <c r="I8" s="85"/>
      <c r="J8" s="188"/>
      <c r="K8" s="85"/>
      <c r="L8" s="276" t="s">
        <v>36</v>
      </c>
      <c r="M8" s="275"/>
      <c r="N8" s="85"/>
      <c r="O8" s="85"/>
      <c r="P8" s="85"/>
      <c r="Q8" s="85"/>
      <c r="R8" s="85"/>
      <c r="S8" s="85"/>
      <c r="T8" s="275" t="s">
        <v>33</v>
      </c>
      <c r="U8" s="275"/>
      <c r="V8" s="85"/>
      <c r="W8" s="275" t="s">
        <v>37</v>
      </c>
      <c r="X8" s="85"/>
      <c r="Y8" s="85"/>
      <c r="Z8" s="85"/>
      <c r="AA8" s="85"/>
      <c r="AB8" s="85"/>
      <c r="AC8" s="85"/>
      <c r="AD8" s="83"/>
      <c r="AE8" s="272" t="s">
        <v>34</v>
      </c>
      <c r="AF8" s="272"/>
    </row>
    <row r="9" spans="1:38" ht="15" customHeight="1">
      <c r="A9" s="16" t="s">
        <v>349</v>
      </c>
    </row>
    <row r="10" spans="1:38" ht="14.4">
      <c r="A10" s="16" t="s">
        <v>344</v>
      </c>
      <c r="B10" s="79" t="s">
        <v>38</v>
      </c>
      <c r="C10" s="79" t="s">
        <v>39</v>
      </c>
      <c r="D10" s="79" t="s">
        <v>40</v>
      </c>
      <c r="E10" s="79" t="s">
        <v>41</v>
      </c>
      <c r="F10" s="192" t="s">
        <v>42</v>
      </c>
      <c r="G10" s="79" t="s">
        <v>43</v>
      </c>
      <c r="H10" s="79" t="s">
        <v>44</v>
      </c>
      <c r="I10" s="79" t="s">
        <v>45</v>
      </c>
      <c r="J10" s="192" t="s">
        <v>46</v>
      </c>
      <c r="K10" s="85"/>
      <c r="L10" s="82" t="s">
        <v>39</v>
      </c>
      <c r="M10" s="82" t="s">
        <v>40</v>
      </c>
      <c r="N10" s="82" t="s">
        <v>47</v>
      </c>
      <c r="O10" s="82" t="s">
        <v>48</v>
      </c>
      <c r="P10" s="82" t="s">
        <v>44</v>
      </c>
      <c r="Q10" s="82" t="s">
        <v>49</v>
      </c>
      <c r="R10" s="82" t="s">
        <v>46</v>
      </c>
      <c r="S10" s="85"/>
      <c r="T10" s="84" t="s">
        <v>39</v>
      </c>
      <c r="U10" s="84" t="s">
        <v>47</v>
      </c>
      <c r="V10" s="85"/>
      <c r="W10" s="88" t="s">
        <v>39</v>
      </c>
      <c r="X10" s="88" t="s">
        <v>41</v>
      </c>
      <c r="Y10" s="88" t="s">
        <v>42</v>
      </c>
      <c r="Z10" s="88" t="s">
        <v>43</v>
      </c>
      <c r="AA10" s="88" t="s">
        <v>44</v>
      </c>
      <c r="AB10" s="88" t="s">
        <v>45</v>
      </c>
      <c r="AC10" s="88" t="s">
        <v>46</v>
      </c>
      <c r="AD10" s="83"/>
      <c r="AE10" s="247" t="s">
        <v>39</v>
      </c>
      <c r="AF10" s="247" t="s">
        <v>47</v>
      </c>
      <c r="AG10" s="83"/>
      <c r="AH10" s="83"/>
      <c r="AI10" s="83"/>
    </row>
    <row r="11" spans="1:38" ht="14.4">
      <c r="B11" s="79"/>
      <c r="C11" s="79" t="s">
        <v>50</v>
      </c>
      <c r="D11" s="79"/>
      <c r="E11" s="79" t="s">
        <v>51</v>
      </c>
      <c r="F11" s="192" t="s">
        <v>52</v>
      </c>
      <c r="G11" s="79" t="s">
        <v>51</v>
      </c>
      <c r="H11" s="79" t="s">
        <v>51</v>
      </c>
      <c r="I11" s="79" t="s">
        <v>51</v>
      </c>
      <c r="J11" s="192" t="s">
        <v>51</v>
      </c>
      <c r="K11" s="85"/>
      <c r="L11" s="82" t="s">
        <v>53</v>
      </c>
      <c r="M11" s="82"/>
      <c r="N11" s="82" t="s">
        <v>52</v>
      </c>
      <c r="O11" s="82" t="s">
        <v>51</v>
      </c>
      <c r="P11" s="82" t="s">
        <v>51</v>
      </c>
      <c r="Q11" s="82" t="s">
        <v>51</v>
      </c>
      <c r="R11" s="82" t="s">
        <v>51</v>
      </c>
      <c r="S11" s="85"/>
      <c r="T11" s="84"/>
      <c r="U11" s="84" t="s">
        <v>52</v>
      </c>
      <c r="V11" s="85"/>
      <c r="W11" s="88" t="s">
        <v>54</v>
      </c>
      <c r="X11" s="88" t="s">
        <v>51</v>
      </c>
      <c r="Y11" s="88" t="s">
        <v>52</v>
      </c>
      <c r="Z11" s="88" t="s">
        <v>51</v>
      </c>
      <c r="AA11" s="88" t="s">
        <v>51</v>
      </c>
      <c r="AB11" s="88" t="s">
        <v>51</v>
      </c>
      <c r="AC11" s="88" t="s">
        <v>51</v>
      </c>
      <c r="AD11" s="83"/>
      <c r="AE11" s="247"/>
      <c r="AF11" s="247" t="s">
        <v>52</v>
      </c>
      <c r="AG11" s="83"/>
      <c r="AH11" s="83"/>
      <c r="AI11" s="83"/>
      <c r="AL11" s="3"/>
    </row>
    <row r="12" spans="1:38" s="11" customFormat="1" ht="14.4">
      <c r="A12" s="18"/>
      <c r="B12" s="138" t="s">
        <v>58</v>
      </c>
      <c r="C12" s="95" t="s">
        <v>17</v>
      </c>
      <c r="D12" s="95">
        <v>1</v>
      </c>
      <c r="E12" s="95" t="s">
        <v>57</v>
      </c>
      <c r="F12" s="95" t="s">
        <v>57</v>
      </c>
      <c r="G12" s="123">
        <v>31.83</v>
      </c>
      <c r="H12" s="118"/>
      <c r="I12" s="95">
        <f t="shared" ref="I12:I28" si="0">(G12-H12)</f>
        <v>31.83</v>
      </c>
      <c r="J12" s="95">
        <f t="shared" ref="J12:J28" si="1">I12*D12</f>
        <v>31.83</v>
      </c>
      <c r="K12" s="103"/>
      <c r="L12" s="162" t="s">
        <v>17</v>
      </c>
      <c r="M12" s="108">
        <v>1</v>
      </c>
      <c r="N12" s="145">
        <v>29.82</v>
      </c>
      <c r="O12" s="123">
        <v>2.7</v>
      </c>
      <c r="P12" s="92"/>
      <c r="Q12" s="92"/>
      <c r="R12" s="108">
        <f t="shared" ref="R12:R28" si="2">(N12*O12-P12)*M12</f>
        <v>80.51400000000001</v>
      </c>
      <c r="S12" s="146"/>
      <c r="T12" s="108" t="s">
        <v>357</v>
      </c>
      <c r="U12" s="92">
        <f>N12*M12</f>
        <v>29.82</v>
      </c>
      <c r="V12" s="103"/>
      <c r="W12" s="162" t="s">
        <v>17</v>
      </c>
      <c r="X12" s="108" t="str">
        <f t="shared" ref="X12:X28" si="3">E12</f>
        <v>cad</v>
      </c>
      <c r="Y12" s="108" t="str">
        <f t="shared" ref="Y12:Y28" si="4">F12</f>
        <v>cad</v>
      </c>
      <c r="Z12" s="108">
        <f t="shared" ref="Z12:Z28" si="5">G12</f>
        <v>31.83</v>
      </c>
      <c r="AA12" s="108">
        <f t="shared" ref="AA12:AA28" si="6">H12</f>
        <v>0</v>
      </c>
      <c r="AB12" s="108">
        <f t="shared" ref="AB12:AB28" si="7">I12</f>
        <v>31.83</v>
      </c>
      <c r="AC12" s="108">
        <f t="shared" ref="AC12:AC28" si="8">J12</f>
        <v>31.83</v>
      </c>
      <c r="AD12" s="90"/>
      <c r="AE12" s="102" t="s">
        <v>357</v>
      </c>
      <c r="AF12" s="99">
        <f>N12*M12</f>
        <v>29.82</v>
      </c>
      <c r="AG12" s="90"/>
      <c r="AH12" s="90"/>
      <c r="AI12" s="90"/>
    </row>
    <row r="13" spans="1:38" s="11" customFormat="1" ht="14.4">
      <c r="A13" s="18"/>
      <c r="B13" s="138" t="s">
        <v>59</v>
      </c>
      <c r="C13" s="95" t="s">
        <v>24</v>
      </c>
      <c r="D13" s="95">
        <v>1</v>
      </c>
      <c r="E13" s="95" t="s">
        <v>57</v>
      </c>
      <c r="F13" s="95" t="s">
        <v>57</v>
      </c>
      <c r="G13" s="123">
        <v>40.909999999999997</v>
      </c>
      <c r="H13" s="118"/>
      <c r="I13" s="95">
        <f t="shared" si="0"/>
        <v>40.909999999999997</v>
      </c>
      <c r="J13" s="95">
        <f t="shared" si="1"/>
        <v>40.909999999999997</v>
      </c>
      <c r="K13" s="103"/>
      <c r="L13" s="162" t="s">
        <v>339</v>
      </c>
      <c r="M13" s="108">
        <v>1</v>
      </c>
      <c r="N13" s="95">
        <v>26.71</v>
      </c>
      <c r="O13" s="123">
        <v>3.9</v>
      </c>
      <c r="P13" s="92"/>
      <c r="Q13" s="92"/>
      <c r="R13" s="108">
        <f t="shared" si="2"/>
        <v>104.169</v>
      </c>
      <c r="S13" s="146"/>
      <c r="T13" s="108" t="s">
        <v>356</v>
      </c>
      <c r="U13" s="92">
        <f>N13*M13</f>
        <v>26.71</v>
      </c>
      <c r="V13" s="103"/>
      <c r="W13" s="162" t="s">
        <v>20</v>
      </c>
      <c r="X13" s="108" t="str">
        <f t="shared" si="3"/>
        <v>cad</v>
      </c>
      <c r="Y13" s="108" t="str">
        <f t="shared" si="4"/>
        <v>cad</v>
      </c>
      <c r="Z13" s="108">
        <f t="shared" si="5"/>
        <v>40.909999999999997</v>
      </c>
      <c r="AA13" s="108">
        <f t="shared" si="6"/>
        <v>0</v>
      </c>
      <c r="AB13" s="108">
        <f t="shared" si="7"/>
        <v>40.909999999999997</v>
      </c>
      <c r="AC13" s="108">
        <f t="shared" si="8"/>
        <v>40.909999999999997</v>
      </c>
      <c r="AD13" s="90"/>
      <c r="AE13" s="102"/>
      <c r="AF13" s="99"/>
      <c r="AG13" s="90"/>
      <c r="AH13" s="90"/>
      <c r="AI13" s="90"/>
    </row>
    <row r="14" spans="1:38" s="11" customFormat="1" ht="14.4">
      <c r="A14" s="18"/>
      <c r="B14" s="138"/>
      <c r="C14" s="95" t="s">
        <v>24</v>
      </c>
      <c r="D14" s="95">
        <v>1</v>
      </c>
      <c r="E14" s="95" t="s">
        <v>57</v>
      </c>
      <c r="F14" s="95" t="s">
        <v>57</v>
      </c>
      <c r="G14" s="123">
        <v>9.7100000000000009</v>
      </c>
      <c r="H14" s="118"/>
      <c r="I14" s="95">
        <f t="shared" ref="I14" si="9">(G14-H14)</f>
        <v>9.7100000000000009</v>
      </c>
      <c r="J14" s="95">
        <f t="shared" ref="J14" si="10">I14*D14</f>
        <v>9.7100000000000009</v>
      </c>
      <c r="K14" s="103"/>
      <c r="L14" s="162"/>
      <c r="M14" s="108"/>
      <c r="N14" s="95"/>
      <c r="O14" s="123"/>
      <c r="P14" s="92"/>
      <c r="Q14" s="92"/>
      <c r="R14" s="108"/>
      <c r="S14" s="146"/>
      <c r="T14" s="108"/>
      <c r="U14" s="92"/>
      <c r="V14" s="103"/>
      <c r="W14" s="162"/>
      <c r="X14" s="108"/>
      <c r="Y14" s="108"/>
      <c r="Z14" s="108"/>
      <c r="AA14" s="108"/>
      <c r="AB14" s="108"/>
      <c r="AC14" s="108"/>
      <c r="AD14" s="90"/>
      <c r="AE14" s="102"/>
      <c r="AF14" s="99"/>
      <c r="AG14" s="90"/>
      <c r="AH14" s="90"/>
      <c r="AI14" s="90"/>
    </row>
    <row r="15" spans="1:38" s="11" customFormat="1" ht="14.4">
      <c r="A15" s="18"/>
      <c r="B15" s="138" t="s">
        <v>104</v>
      </c>
      <c r="C15" s="318" t="s">
        <v>17</v>
      </c>
      <c r="D15" s="95">
        <v>1</v>
      </c>
      <c r="E15" s="95" t="s">
        <v>57</v>
      </c>
      <c r="F15" s="95" t="s">
        <v>57</v>
      </c>
      <c r="G15" s="123">
        <v>42.86</v>
      </c>
      <c r="H15" s="118"/>
      <c r="I15" s="95">
        <f t="shared" si="0"/>
        <v>42.86</v>
      </c>
      <c r="J15" s="95">
        <f>I15*D15</f>
        <v>42.86</v>
      </c>
      <c r="K15" s="103"/>
      <c r="L15" s="162" t="s">
        <v>17</v>
      </c>
      <c r="M15" s="108">
        <v>1</v>
      </c>
      <c r="N15" s="145">
        <f>41.56-2.35</f>
        <v>39.21</v>
      </c>
      <c r="O15" s="123">
        <v>2.8</v>
      </c>
      <c r="P15" s="92"/>
      <c r="Q15" s="92"/>
      <c r="R15" s="108">
        <f t="shared" si="2"/>
        <v>109.788</v>
      </c>
      <c r="S15" s="146"/>
      <c r="T15" s="108" t="s">
        <v>21</v>
      </c>
      <c r="U15" s="92">
        <f>N15*M15</f>
        <v>39.21</v>
      </c>
      <c r="V15" s="103"/>
      <c r="W15" s="162" t="s">
        <v>17</v>
      </c>
      <c r="X15" s="108" t="str">
        <f>E15</f>
        <v>cad</v>
      </c>
      <c r="Y15" s="108" t="str">
        <f>F15</f>
        <v>cad</v>
      </c>
      <c r="Z15" s="108">
        <f t="shared" si="5"/>
        <v>42.86</v>
      </c>
      <c r="AA15" s="108">
        <f t="shared" si="6"/>
        <v>0</v>
      </c>
      <c r="AB15" s="108">
        <f t="shared" si="7"/>
        <v>42.86</v>
      </c>
      <c r="AC15" s="108">
        <f t="shared" si="8"/>
        <v>42.86</v>
      </c>
      <c r="AD15" s="90"/>
      <c r="AE15" s="102" t="s">
        <v>17</v>
      </c>
      <c r="AF15" s="99">
        <f>N15*M15</f>
        <v>39.21</v>
      </c>
      <c r="AG15" s="90"/>
      <c r="AH15" s="90"/>
      <c r="AI15" s="90"/>
    </row>
    <row r="16" spans="1:38" s="11" customFormat="1" ht="14.4">
      <c r="A16" s="18"/>
      <c r="B16" s="138"/>
      <c r="C16" s="95"/>
      <c r="D16" s="95"/>
      <c r="E16" s="95"/>
      <c r="F16" s="95"/>
      <c r="G16" s="141"/>
      <c r="H16" s="118"/>
      <c r="I16" s="95"/>
      <c r="J16" s="95"/>
      <c r="K16" s="103"/>
      <c r="L16" s="162"/>
      <c r="M16" s="108"/>
      <c r="N16" s="95"/>
      <c r="O16" s="95"/>
      <c r="P16" s="92"/>
      <c r="Q16" s="92"/>
      <c r="R16" s="108"/>
      <c r="S16" s="146"/>
      <c r="T16" s="108"/>
      <c r="U16" s="92"/>
      <c r="V16" s="103"/>
      <c r="W16" s="162" t="s">
        <v>19</v>
      </c>
      <c r="X16" s="141">
        <f>E16</f>
        <v>0</v>
      </c>
      <c r="Y16" s="141">
        <f>F16</f>
        <v>0</v>
      </c>
      <c r="Z16" s="141">
        <v>19.54</v>
      </c>
      <c r="AA16" s="108">
        <f t="shared" ref="AA16" si="11">H16</f>
        <v>0</v>
      </c>
      <c r="AB16" s="141">
        <f>Z16</f>
        <v>19.54</v>
      </c>
      <c r="AC16" s="141">
        <f>Z16</f>
        <v>19.54</v>
      </c>
      <c r="AD16" s="90"/>
      <c r="AE16" s="102"/>
      <c r="AF16" s="99"/>
      <c r="AG16" s="90"/>
      <c r="AH16" s="90"/>
      <c r="AI16" s="90"/>
    </row>
    <row r="17" spans="1:35" s="11" customFormat="1" ht="14.4">
      <c r="A17" s="18"/>
      <c r="B17" s="138" t="s">
        <v>324</v>
      </c>
      <c r="C17" s="318" t="s">
        <v>17</v>
      </c>
      <c r="D17" s="95">
        <v>1</v>
      </c>
      <c r="E17" s="95" t="s">
        <v>57</v>
      </c>
      <c r="F17" s="95" t="s">
        <v>57</v>
      </c>
      <c r="G17" s="123">
        <v>14.05</v>
      </c>
      <c r="H17" s="118"/>
      <c r="I17" s="95">
        <f t="shared" ref="I17" si="12">(G17-H17)</f>
        <v>14.05</v>
      </c>
      <c r="J17" s="95">
        <f t="shared" ref="J17" si="13">I17*D17</f>
        <v>14.05</v>
      </c>
      <c r="K17" s="103"/>
      <c r="L17" s="162" t="s">
        <v>17</v>
      </c>
      <c r="M17" s="108">
        <v>1</v>
      </c>
      <c r="N17" s="145">
        <f>17.71-5.3</f>
        <v>12.41</v>
      </c>
      <c r="O17" s="123">
        <v>2.7</v>
      </c>
      <c r="P17" s="92"/>
      <c r="Q17" s="92"/>
      <c r="R17" s="108">
        <f t="shared" ref="R17" si="14">(N17*O17-P17)*M17</f>
        <v>33.507000000000005</v>
      </c>
      <c r="S17" s="146"/>
      <c r="T17" s="108" t="s">
        <v>21</v>
      </c>
      <c r="U17" s="92">
        <f>N17*M17</f>
        <v>12.41</v>
      </c>
      <c r="V17" s="103"/>
      <c r="W17" s="162" t="s">
        <v>17</v>
      </c>
      <c r="X17" s="108" t="str">
        <f t="shared" ref="X17" si="15">E17</f>
        <v>cad</v>
      </c>
      <c r="Y17" s="108" t="str">
        <f t="shared" ref="Y17" si="16">F17</f>
        <v>cad</v>
      </c>
      <c r="Z17" s="108">
        <f t="shared" ref="Z17" si="17">G17</f>
        <v>14.05</v>
      </c>
      <c r="AA17" s="108">
        <f t="shared" ref="AA17" si="18">H17</f>
        <v>0</v>
      </c>
      <c r="AB17" s="108">
        <f t="shared" ref="AB17" si="19">I17</f>
        <v>14.05</v>
      </c>
      <c r="AC17" s="108">
        <f t="shared" ref="AC17" si="20">J17</f>
        <v>14.05</v>
      </c>
      <c r="AD17" s="90"/>
      <c r="AE17" s="102" t="s">
        <v>357</v>
      </c>
      <c r="AF17" s="99">
        <f>N17*M17</f>
        <v>12.41</v>
      </c>
      <c r="AG17" s="90"/>
      <c r="AH17" s="90"/>
      <c r="AI17" s="90"/>
    </row>
    <row r="18" spans="1:35" s="11" customFormat="1" ht="14.4">
      <c r="A18" s="18"/>
      <c r="B18" s="138" t="s">
        <v>587</v>
      </c>
      <c r="C18" s="95" t="s">
        <v>17</v>
      </c>
      <c r="D18" s="95">
        <v>1</v>
      </c>
      <c r="E18" s="95" t="s">
        <v>57</v>
      </c>
      <c r="F18" s="95" t="s">
        <v>57</v>
      </c>
      <c r="G18" s="123">
        <v>7.92</v>
      </c>
      <c r="H18" s="118"/>
      <c r="I18" s="95">
        <f t="shared" si="0"/>
        <v>7.92</v>
      </c>
      <c r="J18" s="95">
        <f t="shared" si="1"/>
        <v>7.92</v>
      </c>
      <c r="K18" s="103"/>
      <c r="L18" s="162" t="s">
        <v>17</v>
      </c>
      <c r="M18" s="108">
        <v>1</v>
      </c>
      <c r="N18" s="145">
        <v>11.43</v>
      </c>
      <c r="O18" s="123">
        <v>2.7</v>
      </c>
      <c r="P18" s="92"/>
      <c r="Q18" s="92"/>
      <c r="R18" s="108">
        <f t="shared" si="2"/>
        <v>30.861000000000001</v>
      </c>
      <c r="S18" s="146"/>
      <c r="T18" s="108" t="s">
        <v>17</v>
      </c>
      <c r="U18" s="92">
        <f>N18*M18</f>
        <v>11.43</v>
      </c>
      <c r="V18" s="103"/>
      <c r="W18" s="162" t="s">
        <v>17</v>
      </c>
      <c r="X18" s="108" t="str">
        <f t="shared" si="3"/>
        <v>cad</v>
      </c>
      <c r="Y18" s="108" t="str">
        <f t="shared" si="4"/>
        <v>cad</v>
      </c>
      <c r="Z18" s="108">
        <f t="shared" si="5"/>
        <v>7.92</v>
      </c>
      <c r="AA18" s="108">
        <f t="shared" si="6"/>
        <v>0</v>
      </c>
      <c r="AB18" s="108">
        <f t="shared" si="7"/>
        <v>7.92</v>
      </c>
      <c r="AC18" s="108">
        <f t="shared" si="8"/>
        <v>7.92</v>
      </c>
      <c r="AD18" s="90"/>
      <c r="AE18" s="102" t="s">
        <v>357</v>
      </c>
      <c r="AF18" s="99">
        <f t="shared" ref="AF18:AF21" si="21">N18*M18</f>
        <v>11.43</v>
      </c>
      <c r="AG18" s="90"/>
      <c r="AH18" s="90"/>
      <c r="AI18" s="90"/>
    </row>
    <row r="19" spans="1:35" s="11" customFormat="1" ht="14.4">
      <c r="A19" s="18"/>
      <c r="B19" s="138" t="s">
        <v>147</v>
      </c>
      <c r="C19" s="95" t="s">
        <v>20</v>
      </c>
      <c r="D19" s="95">
        <v>1</v>
      </c>
      <c r="E19" s="95" t="s">
        <v>57</v>
      </c>
      <c r="F19" s="95" t="s">
        <v>57</v>
      </c>
      <c r="G19" s="123">
        <v>3.23</v>
      </c>
      <c r="H19" s="118"/>
      <c r="I19" s="95">
        <f t="shared" si="0"/>
        <v>3.23</v>
      </c>
      <c r="J19" s="95">
        <f t="shared" si="1"/>
        <v>3.23</v>
      </c>
      <c r="K19" s="103"/>
      <c r="L19" s="162" t="s">
        <v>18</v>
      </c>
      <c r="M19" s="108">
        <v>1</v>
      </c>
      <c r="N19" s="145">
        <v>7.2</v>
      </c>
      <c r="O19" s="123">
        <v>2.7</v>
      </c>
      <c r="P19" s="92"/>
      <c r="Q19" s="92"/>
      <c r="R19" s="108">
        <f t="shared" si="2"/>
        <v>19.440000000000001</v>
      </c>
      <c r="S19" s="146"/>
      <c r="T19" s="108" t="s">
        <v>18</v>
      </c>
      <c r="U19" s="163">
        <f>N19*M19</f>
        <v>7.2</v>
      </c>
      <c r="V19" s="103"/>
      <c r="W19" s="162" t="s">
        <v>18</v>
      </c>
      <c r="X19" s="108" t="str">
        <f t="shared" si="3"/>
        <v>cad</v>
      </c>
      <c r="Y19" s="108" t="str">
        <f t="shared" si="4"/>
        <v>cad</v>
      </c>
      <c r="Z19" s="108">
        <f t="shared" si="5"/>
        <v>3.23</v>
      </c>
      <c r="AA19" s="108">
        <f t="shared" si="6"/>
        <v>0</v>
      </c>
      <c r="AB19" s="108">
        <f t="shared" si="7"/>
        <v>3.23</v>
      </c>
      <c r="AC19" s="108">
        <f t="shared" si="8"/>
        <v>3.23</v>
      </c>
      <c r="AD19" s="90"/>
      <c r="AE19" s="102" t="s">
        <v>357</v>
      </c>
      <c r="AF19" s="99">
        <f t="shared" si="21"/>
        <v>7.2</v>
      </c>
      <c r="AG19" s="90"/>
      <c r="AH19" s="90"/>
      <c r="AI19" s="90"/>
    </row>
    <row r="20" spans="1:35" s="11" customFormat="1" ht="14.4">
      <c r="A20" s="18"/>
      <c r="B20" s="201" t="s">
        <v>147</v>
      </c>
      <c r="C20" s="95" t="s">
        <v>20</v>
      </c>
      <c r="D20" s="95">
        <v>1</v>
      </c>
      <c r="E20" s="95" t="s">
        <v>57</v>
      </c>
      <c r="F20" s="95" t="s">
        <v>57</v>
      </c>
      <c r="G20" s="168">
        <v>2.66</v>
      </c>
      <c r="H20" s="118"/>
      <c r="I20" s="95">
        <f t="shared" ref="I20" si="22">(G20-H20)</f>
        <v>2.66</v>
      </c>
      <c r="J20" s="95">
        <f t="shared" ref="J20" si="23">I20*D20</f>
        <v>2.66</v>
      </c>
      <c r="K20" s="103"/>
      <c r="L20" s="162" t="s">
        <v>18</v>
      </c>
      <c r="M20" s="108">
        <v>1</v>
      </c>
      <c r="N20" s="169">
        <v>6.63</v>
      </c>
      <c r="O20" s="168">
        <v>2.7</v>
      </c>
      <c r="P20" s="92"/>
      <c r="Q20" s="92"/>
      <c r="R20" s="108">
        <f t="shared" ref="R20:R21" si="24">(N20*O20-P20)*M20</f>
        <v>17.901</v>
      </c>
      <c r="S20" s="146"/>
      <c r="T20" s="108" t="s">
        <v>18</v>
      </c>
      <c r="U20" s="163">
        <f t="shared" ref="U20:U21" si="25">N20*M20</f>
        <v>6.63</v>
      </c>
      <c r="V20" s="103"/>
      <c r="W20" s="162" t="s">
        <v>18</v>
      </c>
      <c r="X20" s="108" t="str">
        <f t="shared" ref="X20:X21" si="26">E20</f>
        <v>cad</v>
      </c>
      <c r="Y20" s="108" t="str">
        <f t="shared" ref="Y20:Y21" si="27">F20</f>
        <v>cad</v>
      </c>
      <c r="Z20" s="108">
        <f t="shared" ref="Z20:Z21" si="28">G20</f>
        <v>2.66</v>
      </c>
      <c r="AA20" s="108">
        <f t="shared" ref="AA20:AA21" si="29">H20</f>
        <v>0</v>
      </c>
      <c r="AB20" s="108">
        <f t="shared" ref="AB20:AB21" si="30">I20</f>
        <v>2.66</v>
      </c>
      <c r="AC20" s="108">
        <f t="shared" ref="AC20:AC21" si="31">J20</f>
        <v>2.66</v>
      </c>
      <c r="AD20" s="90"/>
      <c r="AE20" s="102" t="s">
        <v>357</v>
      </c>
      <c r="AF20" s="99">
        <f t="shared" si="21"/>
        <v>6.63</v>
      </c>
      <c r="AG20" s="90"/>
      <c r="AH20" s="90"/>
      <c r="AI20" s="90"/>
    </row>
    <row r="21" spans="1:35" s="11" customFormat="1" ht="14.4">
      <c r="A21" s="18"/>
      <c r="B21" s="201" t="s">
        <v>147</v>
      </c>
      <c r="C21" s="95" t="s">
        <v>20</v>
      </c>
      <c r="D21" s="95">
        <v>1</v>
      </c>
      <c r="E21" s="95" t="s">
        <v>57</v>
      </c>
      <c r="F21" s="95" t="s">
        <v>57</v>
      </c>
      <c r="G21" s="168">
        <v>2.23</v>
      </c>
      <c r="H21" s="118"/>
      <c r="I21" s="95">
        <f t="shared" ref="I21" si="32">(G21-H21)</f>
        <v>2.23</v>
      </c>
      <c r="J21" s="95">
        <f t="shared" ref="J21" si="33">I21*D21</f>
        <v>2.23</v>
      </c>
      <c r="K21" s="103"/>
      <c r="L21" s="162" t="s">
        <v>18</v>
      </c>
      <c r="M21" s="108">
        <v>1</v>
      </c>
      <c r="N21" s="169">
        <v>6</v>
      </c>
      <c r="O21" s="168">
        <v>2.7</v>
      </c>
      <c r="P21" s="92"/>
      <c r="Q21" s="92"/>
      <c r="R21" s="108">
        <f t="shared" si="24"/>
        <v>16.200000000000003</v>
      </c>
      <c r="S21" s="146"/>
      <c r="T21" s="108" t="s">
        <v>18</v>
      </c>
      <c r="U21" s="163">
        <f t="shared" si="25"/>
        <v>6</v>
      </c>
      <c r="V21" s="103"/>
      <c r="W21" s="162" t="s">
        <v>18</v>
      </c>
      <c r="X21" s="108" t="str">
        <f t="shared" si="26"/>
        <v>cad</v>
      </c>
      <c r="Y21" s="108" t="str">
        <f t="shared" si="27"/>
        <v>cad</v>
      </c>
      <c r="Z21" s="108">
        <f t="shared" si="28"/>
        <v>2.23</v>
      </c>
      <c r="AA21" s="108">
        <f t="shared" si="29"/>
        <v>0</v>
      </c>
      <c r="AB21" s="108">
        <f t="shared" si="30"/>
        <v>2.23</v>
      </c>
      <c r="AC21" s="108">
        <f t="shared" si="31"/>
        <v>2.23</v>
      </c>
      <c r="AD21" s="90"/>
      <c r="AE21" s="102" t="s">
        <v>357</v>
      </c>
      <c r="AF21" s="99">
        <f t="shared" si="21"/>
        <v>6</v>
      </c>
      <c r="AG21" s="90"/>
      <c r="AH21" s="90"/>
      <c r="AI21" s="90"/>
    </row>
    <row r="22" spans="1:35" s="11" customFormat="1" ht="14.4">
      <c r="A22" s="18"/>
      <c r="B22" s="138" t="s">
        <v>123</v>
      </c>
      <c r="C22" s="95" t="s">
        <v>22</v>
      </c>
      <c r="D22" s="95">
        <v>1</v>
      </c>
      <c r="E22" s="95" t="s">
        <v>57</v>
      </c>
      <c r="F22" s="95" t="s">
        <v>57</v>
      </c>
      <c r="G22" s="123">
        <v>3.55</v>
      </c>
      <c r="H22" s="118"/>
      <c r="I22" s="95">
        <f t="shared" si="0"/>
        <v>3.55</v>
      </c>
      <c r="J22" s="95">
        <f t="shared" si="1"/>
        <v>3.55</v>
      </c>
      <c r="K22" s="103"/>
      <c r="L22" s="162" t="s">
        <v>20</v>
      </c>
      <c r="M22" s="108">
        <v>1</v>
      </c>
      <c r="N22" s="145">
        <v>7.74</v>
      </c>
      <c r="O22" s="123">
        <v>2.7</v>
      </c>
      <c r="P22" s="92"/>
      <c r="Q22" s="92"/>
      <c r="R22" s="108">
        <f t="shared" si="2"/>
        <v>20.898000000000003</v>
      </c>
      <c r="S22" s="146"/>
      <c r="T22" s="108"/>
      <c r="U22" s="108"/>
      <c r="V22" s="103"/>
      <c r="W22" s="162" t="s">
        <v>18</v>
      </c>
      <c r="X22" s="108" t="str">
        <f t="shared" si="3"/>
        <v>cad</v>
      </c>
      <c r="Y22" s="108" t="str">
        <f t="shared" si="4"/>
        <v>cad</v>
      </c>
      <c r="Z22" s="108">
        <f t="shared" si="5"/>
        <v>3.55</v>
      </c>
      <c r="AA22" s="108">
        <f t="shared" si="6"/>
        <v>0</v>
      </c>
      <c r="AB22" s="108">
        <f t="shared" si="7"/>
        <v>3.55</v>
      </c>
      <c r="AC22" s="108">
        <f t="shared" si="8"/>
        <v>3.55</v>
      </c>
      <c r="AD22" s="90"/>
      <c r="AE22" s="102" t="s">
        <v>357</v>
      </c>
      <c r="AF22" s="99">
        <f>N22*M22</f>
        <v>7.74</v>
      </c>
      <c r="AG22" s="90"/>
      <c r="AH22" s="90"/>
      <c r="AI22" s="90"/>
    </row>
    <row r="23" spans="1:35" s="11" customFormat="1" ht="14.4">
      <c r="A23" s="18"/>
      <c r="B23" s="138" t="s">
        <v>150</v>
      </c>
      <c r="C23" s="95" t="s">
        <v>17</v>
      </c>
      <c r="D23" s="95">
        <v>1</v>
      </c>
      <c r="E23" s="95" t="s">
        <v>57</v>
      </c>
      <c r="F23" s="95" t="s">
        <v>57</v>
      </c>
      <c r="G23" s="123">
        <v>15.88</v>
      </c>
      <c r="H23" s="118"/>
      <c r="I23" s="95">
        <f t="shared" si="0"/>
        <v>15.88</v>
      </c>
      <c r="J23" s="95">
        <f t="shared" si="1"/>
        <v>15.88</v>
      </c>
      <c r="K23" s="103"/>
      <c r="L23" s="162" t="s">
        <v>17</v>
      </c>
      <c r="M23" s="108">
        <v>1</v>
      </c>
      <c r="N23" s="145">
        <v>21.9</v>
      </c>
      <c r="O23" s="108">
        <v>2.8</v>
      </c>
      <c r="P23" s="92"/>
      <c r="Q23" s="92"/>
      <c r="R23" s="108">
        <f t="shared" si="2"/>
        <v>61.319999999999993</v>
      </c>
      <c r="S23" s="146"/>
      <c r="T23" s="108" t="s">
        <v>357</v>
      </c>
      <c r="U23" s="92">
        <f>N23*M23</f>
        <v>21.9</v>
      </c>
      <c r="V23" s="103"/>
      <c r="W23" s="162" t="s">
        <v>17</v>
      </c>
      <c r="X23" s="108" t="str">
        <f t="shared" si="3"/>
        <v>cad</v>
      </c>
      <c r="Y23" s="108" t="str">
        <f t="shared" si="4"/>
        <v>cad</v>
      </c>
      <c r="Z23" s="108">
        <f t="shared" si="5"/>
        <v>15.88</v>
      </c>
      <c r="AA23" s="108">
        <f t="shared" si="6"/>
        <v>0</v>
      </c>
      <c r="AB23" s="108">
        <f t="shared" si="7"/>
        <v>15.88</v>
      </c>
      <c r="AC23" s="108">
        <f t="shared" si="8"/>
        <v>15.88</v>
      </c>
      <c r="AD23" s="90"/>
      <c r="AE23" s="102" t="s">
        <v>357</v>
      </c>
      <c r="AF23" s="99">
        <f>N23*M23</f>
        <v>21.9</v>
      </c>
      <c r="AG23" s="90"/>
      <c r="AH23" s="90"/>
      <c r="AI23" s="90"/>
    </row>
    <row r="24" spans="1:35" s="11" customFormat="1" ht="14.4">
      <c r="A24" s="18"/>
      <c r="B24" s="138"/>
      <c r="C24" s="95"/>
      <c r="D24" s="95"/>
      <c r="E24" s="95"/>
      <c r="F24" s="95"/>
      <c r="G24" s="141"/>
      <c r="H24" s="118"/>
      <c r="I24" s="95"/>
      <c r="J24" s="95"/>
      <c r="K24" s="103"/>
      <c r="L24" s="162"/>
      <c r="M24" s="108"/>
      <c r="N24" s="95"/>
      <c r="O24" s="108"/>
      <c r="P24" s="92"/>
      <c r="Q24" s="92"/>
      <c r="R24" s="108"/>
      <c r="S24" s="146"/>
      <c r="T24" s="108"/>
      <c r="U24" s="92"/>
      <c r="V24" s="103"/>
      <c r="W24" s="162" t="s">
        <v>19</v>
      </c>
      <c r="X24" s="141">
        <f t="shared" ref="X24" si="34">E24</f>
        <v>0</v>
      </c>
      <c r="Y24" s="141">
        <f t="shared" ref="Y24" si="35">F24</f>
        <v>0</v>
      </c>
      <c r="Z24" s="141">
        <v>3.91</v>
      </c>
      <c r="AA24" s="108">
        <f t="shared" ref="AA24" si="36">H24</f>
        <v>0</v>
      </c>
      <c r="AB24" s="141">
        <f>Z24</f>
        <v>3.91</v>
      </c>
      <c r="AC24" s="141">
        <f>Z24</f>
        <v>3.91</v>
      </c>
      <c r="AD24" s="90"/>
      <c r="AE24" s="102"/>
      <c r="AF24" s="99"/>
      <c r="AG24" s="90"/>
      <c r="AH24" s="90"/>
      <c r="AI24" s="90"/>
    </row>
    <row r="25" spans="1:35" s="11" customFormat="1" ht="14.4">
      <c r="A25" s="18"/>
      <c r="B25" s="138" t="s">
        <v>151</v>
      </c>
      <c r="C25" s="95" t="s">
        <v>24</v>
      </c>
      <c r="D25" s="95">
        <v>1</v>
      </c>
      <c r="E25" s="95" t="s">
        <v>57</v>
      </c>
      <c r="F25" s="95" t="s">
        <v>57</v>
      </c>
      <c r="G25" s="123">
        <v>7.68</v>
      </c>
      <c r="H25" s="118"/>
      <c r="I25" s="95">
        <f t="shared" si="0"/>
        <v>7.68</v>
      </c>
      <c r="J25" s="95">
        <f t="shared" si="1"/>
        <v>7.68</v>
      </c>
      <c r="K25" s="103"/>
      <c r="L25" s="162" t="s">
        <v>339</v>
      </c>
      <c r="M25" s="108">
        <v>1</v>
      </c>
      <c r="N25" s="145">
        <v>12.14</v>
      </c>
      <c r="O25" s="123">
        <v>3.9</v>
      </c>
      <c r="P25" s="92"/>
      <c r="Q25" s="92"/>
      <c r="R25" s="108">
        <f t="shared" si="2"/>
        <v>47.346000000000004</v>
      </c>
      <c r="S25" s="146"/>
      <c r="T25" s="108" t="s">
        <v>356</v>
      </c>
      <c r="U25" s="92">
        <f t="shared" ref="U25:U30" si="37">N25*M25</f>
        <v>12.14</v>
      </c>
      <c r="V25" s="103"/>
      <c r="W25" s="162" t="s">
        <v>20</v>
      </c>
      <c r="X25" s="108" t="str">
        <f t="shared" si="3"/>
        <v>cad</v>
      </c>
      <c r="Y25" s="108" t="str">
        <f t="shared" si="4"/>
        <v>cad</v>
      </c>
      <c r="Z25" s="108">
        <f t="shared" si="5"/>
        <v>7.68</v>
      </c>
      <c r="AA25" s="108">
        <f t="shared" si="6"/>
        <v>0</v>
      </c>
      <c r="AB25" s="108">
        <f t="shared" si="7"/>
        <v>7.68</v>
      </c>
      <c r="AC25" s="108">
        <f t="shared" si="8"/>
        <v>7.68</v>
      </c>
      <c r="AD25" s="90"/>
      <c r="AE25" s="102"/>
      <c r="AF25" s="99"/>
      <c r="AG25" s="90"/>
      <c r="AH25" s="90"/>
      <c r="AI25" s="90"/>
    </row>
    <row r="26" spans="1:35" s="11" customFormat="1" ht="14.4">
      <c r="A26" s="18"/>
      <c r="B26" s="138" t="s">
        <v>152</v>
      </c>
      <c r="C26" s="95" t="s">
        <v>24</v>
      </c>
      <c r="D26" s="95">
        <v>1</v>
      </c>
      <c r="E26" s="95" t="s">
        <v>57</v>
      </c>
      <c r="F26" s="95" t="s">
        <v>57</v>
      </c>
      <c r="G26" s="123">
        <v>4.0199999999999996</v>
      </c>
      <c r="H26" s="118"/>
      <c r="I26" s="95">
        <f t="shared" si="0"/>
        <v>4.0199999999999996</v>
      </c>
      <c r="J26" s="95">
        <f t="shared" si="1"/>
        <v>4.0199999999999996</v>
      </c>
      <c r="K26" s="103"/>
      <c r="L26" s="162" t="s">
        <v>339</v>
      </c>
      <c r="M26" s="108">
        <v>1</v>
      </c>
      <c r="N26" s="145">
        <v>8.07</v>
      </c>
      <c r="O26" s="123">
        <v>3.9</v>
      </c>
      <c r="P26" s="92"/>
      <c r="Q26" s="92"/>
      <c r="R26" s="108">
        <f t="shared" si="2"/>
        <v>31.472999999999999</v>
      </c>
      <c r="S26" s="146"/>
      <c r="T26" s="108" t="s">
        <v>356</v>
      </c>
      <c r="U26" s="92">
        <f t="shared" si="37"/>
        <v>8.07</v>
      </c>
      <c r="V26" s="103"/>
      <c r="W26" s="162" t="s">
        <v>20</v>
      </c>
      <c r="X26" s="108" t="str">
        <f t="shared" si="3"/>
        <v>cad</v>
      </c>
      <c r="Y26" s="108" t="str">
        <f t="shared" si="4"/>
        <v>cad</v>
      </c>
      <c r="Z26" s="108">
        <f t="shared" si="5"/>
        <v>4.0199999999999996</v>
      </c>
      <c r="AA26" s="108">
        <f t="shared" si="6"/>
        <v>0</v>
      </c>
      <c r="AB26" s="108">
        <f t="shared" si="7"/>
        <v>4.0199999999999996</v>
      </c>
      <c r="AC26" s="108">
        <f t="shared" si="8"/>
        <v>4.0199999999999996</v>
      </c>
      <c r="AD26" s="90"/>
      <c r="AE26" s="102"/>
      <c r="AF26" s="99"/>
      <c r="AG26" s="90"/>
      <c r="AH26" s="90"/>
      <c r="AI26" s="90"/>
    </row>
    <row r="27" spans="1:35" s="11" customFormat="1" ht="14.4">
      <c r="A27" s="18"/>
      <c r="B27" s="138" t="s">
        <v>116</v>
      </c>
      <c r="C27" s="95" t="s">
        <v>17</v>
      </c>
      <c r="D27" s="95">
        <v>1</v>
      </c>
      <c r="E27" s="95" t="s">
        <v>57</v>
      </c>
      <c r="F27" s="95" t="s">
        <v>57</v>
      </c>
      <c r="G27" s="123">
        <v>4.33</v>
      </c>
      <c r="H27" s="118"/>
      <c r="I27" s="95">
        <f t="shared" si="0"/>
        <v>4.33</v>
      </c>
      <c r="J27" s="95">
        <f t="shared" si="1"/>
        <v>4.33</v>
      </c>
      <c r="K27" s="103"/>
      <c r="L27" s="162" t="s">
        <v>17</v>
      </c>
      <c r="M27" s="108">
        <v>1</v>
      </c>
      <c r="N27" s="145">
        <v>8.42</v>
      </c>
      <c r="O27" s="123">
        <v>2.7</v>
      </c>
      <c r="P27" s="92"/>
      <c r="Q27" s="92"/>
      <c r="R27" s="108">
        <f t="shared" si="2"/>
        <v>22.734000000000002</v>
      </c>
      <c r="S27" s="146"/>
      <c r="T27" s="108" t="s">
        <v>17</v>
      </c>
      <c r="U27" s="92">
        <f t="shared" si="37"/>
        <v>8.42</v>
      </c>
      <c r="V27" s="103"/>
      <c r="W27" s="162" t="s">
        <v>17</v>
      </c>
      <c r="X27" s="108" t="str">
        <f t="shared" si="3"/>
        <v>cad</v>
      </c>
      <c r="Y27" s="108" t="str">
        <f t="shared" si="4"/>
        <v>cad</v>
      </c>
      <c r="Z27" s="108">
        <f t="shared" si="5"/>
        <v>4.33</v>
      </c>
      <c r="AA27" s="108">
        <f t="shared" si="6"/>
        <v>0</v>
      </c>
      <c r="AB27" s="108">
        <f t="shared" si="7"/>
        <v>4.33</v>
      </c>
      <c r="AC27" s="108">
        <f t="shared" si="8"/>
        <v>4.33</v>
      </c>
      <c r="AD27" s="90"/>
      <c r="AE27" s="102" t="s">
        <v>357</v>
      </c>
      <c r="AF27" s="99">
        <f t="shared" ref="AF27:AF30" si="38">N27*M27</f>
        <v>8.42</v>
      </c>
      <c r="AG27" s="90"/>
      <c r="AH27" s="90"/>
      <c r="AI27" s="90"/>
    </row>
    <row r="28" spans="1:35" s="11" customFormat="1" ht="14.4">
      <c r="A28" s="18"/>
      <c r="B28" s="138" t="s">
        <v>583</v>
      </c>
      <c r="C28" s="95" t="s">
        <v>20</v>
      </c>
      <c r="D28" s="95">
        <v>1</v>
      </c>
      <c r="E28" s="95" t="s">
        <v>57</v>
      </c>
      <c r="F28" s="95" t="s">
        <v>57</v>
      </c>
      <c r="G28" s="95">
        <v>6.3</v>
      </c>
      <c r="H28" s="118"/>
      <c r="I28" s="95">
        <f t="shared" si="0"/>
        <v>6.3</v>
      </c>
      <c r="J28" s="95">
        <f t="shared" si="1"/>
        <v>6.3</v>
      </c>
      <c r="K28" s="103"/>
      <c r="L28" s="162" t="s">
        <v>18</v>
      </c>
      <c r="M28" s="108">
        <v>1</v>
      </c>
      <c r="N28" s="145">
        <v>10.57</v>
      </c>
      <c r="O28" s="123">
        <v>2.7</v>
      </c>
      <c r="P28" s="92"/>
      <c r="Q28" s="92"/>
      <c r="R28" s="108">
        <f t="shared" si="2"/>
        <v>28.539000000000001</v>
      </c>
      <c r="S28" s="146"/>
      <c r="T28" s="108" t="s">
        <v>18</v>
      </c>
      <c r="U28" s="92">
        <f t="shared" si="37"/>
        <v>10.57</v>
      </c>
      <c r="V28" s="103"/>
      <c r="W28" s="162" t="s">
        <v>18</v>
      </c>
      <c r="X28" s="108" t="str">
        <f t="shared" si="3"/>
        <v>cad</v>
      </c>
      <c r="Y28" s="108" t="str">
        <f t="shared" si="4"/>
        <v>cad</v>
      </c>
      <c r="Z28" s="108">
        <f t="shared" si="5"/>
        <v>6.3</v>
      </c>
      <c r="AA28" s="108">
        <f t="shared" si="6"/>
        <v>0</v>
      </c>
      <c r="AB28" s="108">
        <f t="shared" si="7"/>
        <v>6.3</v>
      </c>
      <c r="AC28" s="108">
        <f t="shared" si="8"/>
        <v>6.3</v>
      </c>
      <c r="AD28" s="90"/>
      <c r="AE28" s="102" t="s">
        <v>357</v>
      </c>
      <c r="AF28" s="99">
        <f t="shared" si="38"/>
        <v>10.57</v>
      </c>
      <c r="AG28" s="90"/>
      <c r="AH28" s="90"/>
      <c r="AI28" s="90"/>
    </row>
    <row r="29" spans="1:35" s="11" customFormat="1" ht="14.4">
      <c r="A29" s="18"/>
      <c r="B29" s="201" t="s">
        <v>539</v>
      </c>
      <c r="C29" s="95" t="s">
        <v>17</v>
      </c>
      <c r="D29" s="95">
        <v>1</v>
      </c>
      <c r="E29" s="95" t="s">
        <v>57</v>
      </c>
      <c r="F29" s="95" t="s">
        <v>57</v>
      </c>
      <c r="G29" s="168">
        <v>3.79</v>
      </c>
      <c r="H29" s="118"/>
      <c r="I29" s="95">
        <f t="shared" ref="I29:I66" si="39">(G29-H29)</f>
        <v>3.79</v>
      </c>
      <c r="J29" s="95">
        <f t="shared" ref="J29:J66" si="40">I29*D29</f>
        <v>3.79</v>
      </c>
      <c r="K29" s="103"/>
      <c r="L29" s="162" t="s">
        <v>17</v>
      </c>
      <c r="M29" s="108">
        <v>1</v>
      </c>
      <c r="N29" s="169">
        <v>7.94</v>
      </c>
      <c r="O29" s="168">
        <v>2.7</v>
      </c>
      <c r="P29" s="92"/>
      <c r="Q29" s="92"/>
      <c r="R29" s="108">
        <f t="shared" ref="R29:R69" si="41">(N29*O29-P29)*M29</f>
        <v>21.438000000000002</v>
      </c>
      <c r="S29" s="146"/>
      <c r="T29" s="108" t="s">
        <v>17</v>
      </c>
      <c r="U29" s="92">
        <f t="shared" si="37"/>
        <v>7.94</v>
      </c>
      <c r="V29" s="103"/>
      <c r="W29" s="162" t="s">
        <v>17</v>
      </c>
      <c r="X29" s="108" t="str">
        <f t="shared" ref="X29:X65" si="42">E29</f>
        <v>cad</v>
      </c>
      <c r="Y29" s="108" t="str">
        <f t="shared" ref="Y29:Y65" si="43">F29</f>
        <v>cad</v>
      </c>
      <c r="Z29" s="108">
        <f t="shared" ref="Z29:Z65" si="44">G29</f>
        <v>3.79</v>
      </c>
      <c r="AA29" s="108">
        <f t="shared" ref="AA29:AA65" si="45">H29</f>
        <v>0</v>
      </c>
      <c r="AB29" s="108">
        <f t="shared" ref="AB29:AB65" si="46">I29</f>
        <v>3.79</v>
      </c>
      <c r="AC29" s="108">
        <f t="shared" ref="AC29:AC65" si="47">J29</f>
        <v>3.79</v>
      </c>
      <c r="AD29" s="90"/>
      <c r="AE29" s="102" t="s">
        <v>17</v>
      </c>
      <c r="AF29" s="99">
        <f t="shared" si="38"/>
        <v>7.94</v>
      </c>
      <c r="AG29" s="90"/>
      <c r="AH29" s="90"/>
      <c r="AI29" s="90"/>
    </row>
    <row r="30" spans="1:35" s="11" customFormat="1" ht="14.4">
      <c r="A30" s="18"/>
      <c r="B30" s="201" t="s">
        <v>325</v>
      </c>
      <c r="C30" s="318" t="s">
        <v>17</v>
      </c>
      <c r="D30" s="95">
        <v>1</v>
      </c>
      <c r="E30" s="95" t="s">
        <v>57</v>
      </c>
      <c r="F30" s="95" t="s">
        <v>57</v>
      </c>
      <c r="G30" s="168">
        <v>22.12</v>
      </c>
      <c r="H30" s="118"/>
      <c r="I30" s="95">
        <f t="shared" si="39"/>
        <v>22.12</v>
      </c>
      <c r="J30" s="95">
        <f t="shared" si="40"/>
        <v>22.12</v>
      </c>
      <c r="K30" s="103"/>
      <c r="L30" s="162" t="s">
        <v>17</v>
      </c>
      <c r="M30" s="108">
        <v>1</v>
      </c>
      <c r="N30" s="169">
        <v>24.27</v>
      </c>
      <c r="O30" s="168">
        <v>2.7</v>
      </c>
      <c r="P30" s="92"/>
      <c r="Q30" s="92"/>
      <c r="R30" s="108">
        <f t="shared" si="41"/>
        <v>65.528999999999996</v>
      </c>
      <c r="S30" s="146"/>
      <c r="T30" s="108" t="s">
        <v>21</v>
      </c>
      <c r="U30" s="92">
        <f t="shared" si="37"/>
        <v>24.27</v>
      </c>
      <c r="V30" s="103"/>
      <c r="W30" s="162" t="s">
        <v>17</v>
      </c>
      <c r="X30" s="108" t="str">
        <f t="shared" si="42"/>
        <v>cad</v>
      </c>
      <c r="Y30" s="108" t="str">
        <f t="shared" si="43"/>
        <v>cad</v>
      </c>
      <c r="Z30" s="108">
        <f t="shared" si="44"/>
        <v>22.12</v>
      </c>
      <c r="AA30" s="108">
        <f t="shared" si="45"/>
        <v>0</v>
      </c>
      <c r="AB30" s="108">
        <f t="shared" si="46"/>
        <v>22.12</v>
      </c>
      <c r="AC30" s="108">
        <f t="shared" si="47"/>
        <v>22.12</v>
      </c>
      <c r="AD30" s="90"/>
      <c r="AE30" s="102" t="s">
        <v>17</v>
      </c>
      <c r="AF30" s="99">
        <f t="shared" si="38"/>
        <v>24.27</v>
      </c>
      <c r="AG30" s="90"/>
      <c r="AH30" s="90"/>
      <c r="AI30" s="90"/>
    </row>
    <row r="31" spans="1:35" s="11" customFormat="1" ht="14.4">
      <c r="A31" s="18"/>
      <c r="B31" s="201"/>
      <c r="C31" s="95"/>
      <c r="D31" s="95"/>
      <c r="E31" s="95"/>
      <c r="F31" s="95"/>
      <c r="G31" s="168"/>
      <c r="H31" s="118"/>
      <c r="I31" s="95"/>
      <c r="J31" s="95"/>
      <c r="K31" s="103"/>
      <c r="L31" s="162" t="s">
        <v>571</v>
      </c>
      <c r="M31" s="108">
        <v>1</v>
      </c>
      <c r="N31" s="169">
        <v>4.41</v>
      </c>
      <c r="O31" s="168">
        <v>2.7</v>
      </c>
      <c r="P31" s="92"/>
      <c r="Q31" s="92"/>
      <c r="R31" s="108">
        <f t="shared" si="41"/>
        <v>11.907000000000002</v>
      </c>
      <c r="S31" s="146"/>
      <c r="T31" s="108"/>
      <c r="U31" s="108"/>
      <c r="V31" s="103"/>
      <c r="W31" s="162"/>
      <c r="X31" s="108"/>
      <c r="Y31" s="108"/>
      <c r="Z31" s="108"/>
      <c r="AA31" s="108"/>
      <c r="AB31" s="108"/>
      <c r="AC31" s="108"/>
      <c r="AD31" s="90"/>
      <c r="AE31" s="102"/>
      <c r="AF31" s="108"/>
      <c r="AG31" s="90"/>
      <c r="AH31" s="90"/>
      <c r="AI31" s="90"/>
    </row>
    <row r="32" spans="1:35" s="11" customFormat="1" ht="14.4">
      <c r="A32" s="18"/>
      <c r="B32" s="201" t="s">
        <v>561</v>
      </c>
      <c r="C32" s="95" t="s">
        <v>17</v>
      </c>
      <c r="D32" s="95">
        <v>1</v>
      </c>
      <c r="E32" s="95" t="s">
        <v>57</v>
      </c>
      <c r="F32" s="95" t="s">
        <v>57</v>
      </c>
      <c r="G32" s="168">
        <v>6.51</v>
      </c>
      <c r="H32" s="118"/>
      <c r="I32" s="95">
        <f t="shared" si="39"/>
        <v>6.51</v>
      </c>
      <c r="J32" s="95">
        <f t="shared" si="40"/>
        <v>6.51</v>
      </c>
      <c r="K32" s="103"/>
      <c r="L32" s="162" t="s">
        <v>17</v>
      </c>
      <c r="M32" s="108">
        <v>1</v>
      </c>
      <c r="N32" s="169">
        <v>10.55</v>
      </c>
      <c r="O32" s="168">
        <v>2.7</v>
      </c>
      <c r="P32" s="92"/>
      <c r="Q32" s="92"/>
      <c r="R32" s="108">
        <f t="shared" si="41"/>
        <v>28.485000000000003</v>
      </c>
      <c r="S32" s="146"/>
      <c r="T32" s="108" t="s">
        <v>17</v>
      </c>
      <c r="U32" s="92">
        <f t="shared" ref="U32:U40" si="48">N32*M32</f>
        <v>10.55</v>
      </c>
      <c r="V32" s="103"/>
      <c r="W32" s="162" t="s">
        <v>17</v>
      </c>
      <c r="X32" s="108" t="str">
        <f t="shared" si="42"/>
        <v>cad</v>
      </c>
      <c r="Y32" s="108" t="str">
        <f t="shared" si="43"/>
        <v>cad</v>
      </c>
      <c r="Z32" s="108">
        <f t="shared" si="44"/>
        <v>6.51</v>
      </c>
      <c r="AA32" s="108">
        <f t="shared" si="45"/>
        <v>0</v>
      </c>
      <c r="AB32" s="108">
        <f t="shared" si="46"/>
        <v>6.51</v>
      </c>
      <c r="AC32" s="108">
        <f t="shared" si="47"/>
        <v>6.51</v>
      </c>
      <c r="AD32" s="90"/>
      <c r="AE32" s="102" t="s">
        <v>17</v>
      </c>
      <c r="AF32" s="99">
        <f t="shared" ref="AF32:AF34" si="49">N32*M32</f>
        <v>10.55</v>
      </c>
      <c r="AG32" s="90"/>
      <c r="AH32" s="90"/>
      <c r="AI32" s="90"/>
    </row>
    <row r="33" spans="1:35" s="11" customFormat="1" ht="14.4">
      <c r="A33" s="18"/>
      <c r="B33" s="201" t="s">
        <v>572</v>
      </c>
      <c r="C33" s="95" t="s">
        <v>17</v>
      </c>
      <c r="D33" s="95">
        <v>1</v>
      </c>
      <c r="E33" s="95" t="s">
        <v>57</v>
      </c>
      <c r="F33" s="95" t="s">
        <v>57</v>
      </c>
      <c r="G33" s="168">
        <v>27.88</v>
      </c>
      <c r="H33" s="118"/>
      <c r="I33" s="95">
        <f t="shared" si="39"/>
        <v>27.88</v>
      </c>
      <c r="J33" s="95">
        <f t="shared" si="40"/>
        <v>27.88</v>
      </c>
      <c r="K33" s="103"/>
      <c r="L33" s="162" t="s">
        <v>17</v>
      </c>
      <c r="M33" s="108">
        <v>1</v>
      </c>
      <c r="N33" s="169">
        <v>25.06</v>
      </c>
      <c r="O33" s="168">
        <v>2.7</v>
      </c>
      <c r="P33" s="92"/>
      <c r="Q33" s="92"/>
      <c r="R33" s="108">
        <f t="shared" si="41"/>
        <v>67.662000000000006</v>
      </c>
      <c r="S33" s="146"/>
      <c r="T33" s="108" t="s">
        <v>17</v>
      </c>
      <c r="U33" s="92">
        <f t="shared" si="48"/>
        <v>25.06</v>
      </c>
      <c r="V33" s="103"/>
      <c r="W33" s="162" t="s">
        <v>17</v>
      </c>
      <c r="X33" s="108" t="str">
        <f t="shared" si="42"/>
        <v>cad</v>
      </c>
      <c r="Y33" s="108" t="str">
        <f t="shared" si="43"/>
        <v>cad</v>
      </c>
      <c r="Z33" s="108">
        <f t="shared" si="44"/>
        <v>27.88</v>
      </c>
      <c r="AA33" s="108">
        <f t="shared" si="45"/>
        <v>0</v>
      </c>
      <c r="AB33" s="108">
        <f t="shared" si="46"/>
        <v>27.88</v>
      </c>
      <c r="AC33" s="108">
        <f t="shared" si="47"/>
        <v>27.88</v>
      </c>
      <c r="AD33" s="90"/>
      <c r="AE33" s="102" t="s">
        <v>17</v>
      </c>
      <c r="AF33" s="99">
        <f t="shared" si="49"/>
        <v>25.06</v>
      </c>
      <c r="AG33" s="90"/>
      <c r="AH33" s="90"/>
      <c r="AI33" s="90"/>
    </row>
    <row r="34" spans="1:35" s="11" customFormat="1" ht="14.4">
      <c r="A34" s="18"/>
      <c r="B34" s="201" t="s">
        <v>573</v>
      </c>
      <c r="C34" s="95" t="s">
        <v>17</v>
      </c>
      <c r="D34" s="95">
        <v>1</v>
      </c>
      <c r="E34" s="95" t="s">
        <v>57</v>
      </c>
      <c r="F34" s="95" t="s">
        <v>57</v>
      </c>
      <c r="G34" s="168">
        <v>34.380000000000003</v>
      </c>
      <c r="H34" s="118"/>
      <c r="I34" s="95">
        <f t="shared" si="39"/>
        <v>34.380000000000003</v>
      </c>
      <c r="J34" s="95">
        <f t="shared" si="40"/>
        <v>34.380000000000003</v>
      </c>
      <c r="K34" s="103"/>
      <c r="L34" s="162" t="s">
        <v>17</v>
      </c>
      <c r="M34" s="108">
        <v>1</v>
      </c>
      <c r="N34" s="169">
        <v>30.36</v>
      </c>
      <c r="O34" s="168">
        <v>2.7</v>
      </c>
      <c r="P34" s="92"/>
      <c r="Q34" s="92"/>
      <c r="R34" s="108">
        <f t="shared" si="41"/>
        <v>81.972000000000008</v>
      </c>
      <c r="S34" s="146"/>
      <c r="T34" s="108" t="s">
        <v>17</v>
      </c>
      <c r="U34" s="92">
        <f t="shared" si="48"/>
        <v>30.36</v>
      </c>
      <c r="V34" s="103"/>
      <c r="W34" s="162" t="s">
        <v>17</v>
      </c>
      <c r="X34" s="108" t="str">
        <f t="shared" si="42"/>
        <v>cad</v>
      </c>
      <c r="Y34" s="108" t="str">
        <f t="shared" si="43"/>
        <v>cad</v>
      </c>
      <c r="Z34" s="108">
        <f t="shared" si="44"/>
        <v>34.380000000000003</v>
      </c>
      <c r="AA34" s="108">
        <f t="shared" si="45"/>
        <v>0</v>
      </c>
      <c r="AB34" s="108">
        <f t="shared" si="46"/>
        <v>34.380000000000003</v>
      </c>
      <c r="AC34" s="108">
        <f t="shared" si="47"/>
        <v>34.380000000000003</v>
      </c>
      <c r="AD34" s="90"/>
      <c r="AE34" s="102" t="s">
        <v>17</v>
      </c>
      <c r="AF34" s="99">
        <f t="shared" si="49"/>
        <v>30.36</v>
      </c>
      <c r="AG34" s="90"/>
      <c r="AH34" s="90"/>
      <c r="AI34" s="90"/>
    </row>
    <row r="35" spans="1:35" s="11" customFormat="1" ht="14.4">
      <c r="A35" s="18"/>
      <c r="B35" s="201"/>
      <c r="C35" s="95"/>
      <c r="D35" s="95"/>
      <c r="E35" s="95"/>
      <c r="F35" s="95"/>
      <c r="G35" s="141"/>
      <c r="H35" s="118"/>
      <c r="I35" s="95"/>
      <c r="J35" s="95"/>
      <c r="K35" s="103"/>
      <c r="L35" s="162"/>
      <c r="M35" s="108"/>
      <c r="N35" s="95"/>
      <c r="O35" s="95"/>
      <c r="P35" s="92"/>
      <c r="Q35" s="92"/>
      <c r="R35" s="108"/>
      <c r="S35" s="146"/>
      <c r="T35" s="108"/>
      <c r="U35" s="92"/>
      <c r="V35" s="103"/>
      <c r="W35" s="162" t="s">
        <v>19</v>
      </c>
      <c r="X35" s="141">
        <f t="shared" ref="X35:X36" si="50">E35</f>
        <v>0</v>
      </c>
      <c r="Y35" s="141">
        <f t="shared" ref="Y35:Y36" si="51">F35</f>
        <v>0</v>
      </c>
      <c r="Z35" s="141">
        <v>10.15</v>
      </c>
      <c r="AA35" s="108">
        <f t="shared" ref="AA35:AA36" si="52">H35</f>
        <v>0</v>
      </c>
      <c r="AB35" s="141">
        <f t="shared" ref="AB35:AB36" si="53">Z35</f>
        <v>10.15</v>
      </c>
      <c r="AC35" s="141">
        <f t="shared" ref="AC35:AC36" si="54">Z35</f>
        <v>10.15</v>
      </c>
      <c r="AD35" s="90"/>
      <c r="AE35" s="102"/>
      <c r="AF35" s="108"/>
      <c r="AG35" s="90"/>
      <c r="AH35" s="90"/>
      <c r="AI35" s="90"/>
    </row>
    <row r="36" spans="1:35" s="11" customFormat="1" ht="14.4">
      <c r="A36" s="18"/>
      <c r="B36" s="201"/>
      <c r="C36" s="95"/>
      <c r="D36" s="95"/>
      <c r="E36" s="95"/>
      <c r="F36" s="95"/>
      <c r="G36" s="141"/>
      <c r="H36" s="118"/>
      <c r="I36" s="95"/>
      <c r="J36" s="95"/>
      <c r="K36" s="103"/>
      <c r="L36" s="162"/>
      <c r="M36" s="108"/>
      <c r="N36" s="95"/>
      <c r="O36" s="95"/>
      <c r="P36" s="92"/>
      <c r="Q36" s="92"/>
      <c r="R36" s="108"/>
      <c r="S36" s="146"/>
      <c r="T36" s="108"/>
      <c r="U36" s="92"/>
      <c r="V36" s="103"/>
      <c r="W36" s="162" t="s">
        <v>20</v>
      </c>
      <c r="X36" s="141">
        <f t="shared" si="50"/>
        <v>0</v>
      </c>
      <c r="Y36" s="141">
        <f t="shared" si="51"/>
        <v>0</v>
      </c>
      <c r="Z36" s="141">
        <v>1.56</v>
      </c>
      <c r="AA36" s="108">
        <f t="shared" si="52"/>
        <v>0</v>
      </c>
      <c r="AB36" s="141">
        <f t="shared" si="53"/>
        <v>1.56</v>
      </c>
      <c r="AC36" s="141">
        <f t="shared" si="54"/>
        <v>1.56</v>
      </c>
      <c r="AD36" s="90"/>
      <c r="AE36" s="102"/>
      <c r="AF36" s="108"/>
      <c r="AG36" s="90"/>
      <c r="AH36" s="90"/>
      <c r="AI36" s="90"/>
    </row>
    <row r="37" spans="1:35" s="11" customFormat="1" ht="14.4">
      <c r="A37" s="18"/>
      <c r="B37" s="201" t="s">
        <v>559</v>
      </c>
      <c r="C37" s="95" t="s">
        <v>17</v>
      </c>
      <c r="D37" s="95">
        <v>1</v>
      </c>
      <c r="E37" s="95" t="s">
        <v>57</v>
      </c>
      <c r="F37" s="95" t="s">
        <v>57</v>
      </c>
      <c r="G37" s="168">
        <v>7.34</v>
      </c>
      <c r="H37" s="118"/>
      <c r="I37" s="95">
        <f t="shared" si="39"/>
        <v>7.34</v>
      </c>
      <c r="J37" s="95">
        <f t="shared" si="40"/>
        <v>7.34</v>
      </c>
      <c r="K37" s="103"/>
      <c r="L37" s="162" t="s">
        <v>17</v>
      </c>
      <c r="M37" s="108">
        <v>1</v>
      </c>
      <c r="N37" s="169">
        <v>11.08</v>
      </c>
      <c r="O37" s="168">
        <v>2.7</v>
      </c>
      <c r="P37" s="92"/>
      <c r="Q37" s="92"/>
      <c r="R37" s="108">
        <f t="shared" si="41"/>
        <v>29.916000000000004</v>
      </c>
      <c r="S37" s="146"/>
      <c r="T37" s="108" t="s">
        <v>17</v>
      </c>
      <c r="U37" s="92">
        <f t="shared" si="48"/>
        <v>11.08</v>
      </c>
      <c r="V37" s="103"/>
      <c r="W37" s="162" t="s">
        <v>17</v>
      </c>
      <c r="X37" s="108" t="str">
        <f t="shared" si="42"/>
        <v>cad</v>
      </c>
      <c r="Y37" s="108" t="str">
        <f t="shared" si="43"/>
        <v>cad</v>
      </c>
      <c r="Z37" s="108">
        <f t="shared" si="44"/>
        <v>7.34</v>
      </c>
      <c r="AA37" s="108">
        <f t="shared" si="45"/>
        <v>0</v>
      </c>
      <c r="AB37" s="108">
        <f t="shared" si="46"/>
        <v>7.34</v>
      </c>
      <c r="AC37" s="108">
        <f t="shared" si="47"/>
        <v>7.34</v>
      </c>
      <c r="AD37" s="90"/>
      <c r="AE37" s="102" t="s">
        <v>17</v>
      </c>
      <c r="AF37" s="99">
        <f t="shared" ref="AF37:AF47" si="55">N37*M37</f>
        <v>11.08</v>
      </c>
      <c r="AG37" s="90"/>
      <c r="AH37" s="90"/>
      <c r="AI37" s="90"/>
    </row>
    <row r="38" spans="1:35" s="11" customFormat="1" ht="14.4">
      <c r="A38" s="18"/>
      <c r="B38" s="201" t="s">
        <v>574</v>
      </c>
      <c r="C38" s="95" t="s">
        <v>17</v>
      </c>
      <c r="D38" s="95">
        <v>1</v>
      </c>
      <c r="E38" s="95" t="s">
        <v>57</v>
      </c>
      <c r="F38" s="95" t="s">
        <v>57</v>
      </c>
      <c r="G38" s="168">
        <v>8.6999999999999993</v>
      </c>
      <c r="H38" s="118"/>
      <c r="I38" s="95">
        <f t="shared" si="39"/>
        <v>8.6999999999999993</v>
      </c>
      <c r="J38" s="95">
        <f t="shared" si="40"/>
        <v>8.6999999999999993</v>
      </c>
      <c r="K38" s="103"/>
      <c r="L38" s="162" t="s">
        <v>17</v>
      </c>
      <c r="M38" s="108">
        <v>1</v>
      </c>
      <c r="N38" s="169">
        <v>12.27</v>
      </c>
      <c r="O38" s="168">
        <v>2.7</v>
      </c>
      <c r="P38" s="92"/>
      <c r="Q38" s="92"/>
      <c r="R38" s="108">
        <f t="shared" si="41"/>
        <v>33.128999999999998</v>
      </c>
      <c r="S38" s="146"/>
      <c r="T38" s="108" t="s">
        <v>17</v>
      </c>
      <c r="U38" s="92">
        <f t="shared" si="48"/>
        <v>12.27</v>
      </c>
      <c r="V38" s="103"/>
      <c r="W38" s="162" t="s">
        <v>17</v>
      </c>
      <c r="X38" s="108" t="str">
        <f t="shared" si="42"/>
        <v>cad</v>
      </c>
      <c r="Y38" s="108" t="str">
        <f t="shared" si="43"/>
        <v>cad</v>
      </c>
      <c r="Z38" s="108">
        <f t="shared" si="44"/>
        <v>8.6999999999999993</v>
      </c>
      <c r="AA38" s="108">
        <f t="shared" si="45"/>
        <v>0</v>
      </c>
      <c r="AB38" s="108">
        <f t="shared" si="46"/>
        <v>8.6999999999999993</v>
      </c>
      <c r="AC38" s="108">
        <f t="shared" si="47"/>
        <v>8.6999999999999993</v>
      </c>
      <c r="AD38" s="90"/>
      <c r="AE38" s="102" t="s">
        <v>17</v>
      </c>
      <c r="AF38" s="99">
        <f t="shared" si="55"/>
        <v>12.27</v>
      </c>
      <c r="AG38" s="90"/>
      <c r="AH38" s="90"/>
      <c r="AI38" s="90"/>
    </row>
    <row r="39" spans="1:35" s="11" customFormat="1" ht="14.4">
      <c r="A39" s="18"/>
      <c r="B39" s="201" t="s">
        <v>575</v>
      </c>
      <c r="C39" s="95" t="s">
        <v>17</v>
      </c>
      <c r="D39" s="95">
        <v>1</v>
      </c>
      <c r="E39" s="95" t="s">
        <v>57</v>
      </c>
      <c r="F39" s="95" t="s">
        <v>57</v>
      </c>
      <c r="G39" s="168">
        <v>5.94</v>
      </c>
      <c r="H39" s="118"/>
      <c r="I39" s="95">
        <f t="shared" si="39"/>
        <v>5.94</v>
      </c>
      <c r="J39" s="95">
        <f t="shared" si="40"/>
        <v>5.94</v>
      </c>
      <c r="K39" s="103"/>
      <c r="L39" s="162" t="s">
        <v>17</v>
      </c>
      <c r="M39" s="108">
        <v>1</v>
      </c>
      <c r="N39" s="169">
        <v>10.33</v>
      </c>
      <c r="O39" s="168">
        <v>2.7</v>
      </c>
      <c r="P39" s="92"/>
      <c r="Q39" s="92"/>
      <c r="R39" s="108">
        <f t="shared" si="41"/>
        <v>27.891000000000002</v>
      </c>
      <c r="S39" s="146"/>
      <c r="T39" s="108" t="s">
        <v>17</v>
      </c>
      <c r="U39" s="92">
        <f t="shared" si="48"/>
        <v>10.33</v>
      </c>
      <c r="V39" s="103"/>
      <c r="W39" s="162" t="s">
        <v>17</v>
      </c>
      <c r="X39" s="108" t="str">
        <f t="shared" si="42"/>
        <v>cad</v>
      </c>
      <c r="Y39" s="108" t="str">
        <f t="shared" si="43"/>
        <v>cad</v>
      </c>
      <c r="Z39" s="108">
        <f t="shared" si="44"/>
        <v>5.94</v>
      </c>
      <c r="AA39" s="108">
        <f t="shared" si="45"/>
        <v>0</v>
      </c>
      <c r="AB39" s="108">
        <f t="shared" si="46"/>
        <v>5.94</v>
      </c>
      <c r="AC39" s="108">
        <f t="shared" si="47"/>
        <v>5.94</v>
      </c>
      <c r="AD39" s="90"/>
      <c r="AE39" s="102" t="s">
        <v>17</v>
      </c>
      <c r="AF39" s="99">
        <f t="shared" si="55"/>
        <v>10.33</v>
      </c>
      <c r="AG39" s="90"/>
      <c r="AH39" s="90"/>
      <c r="AI39" s="90"/>
    </row>
    <row r="40" spans="1:35" s="11" customFormat="1" ht="14.4">
      <c r="A40" s="18"/>
      <c r="B40" s="201" t="s">
        <v>567</v>
      </c>
      <c r="C40" s="95" t="s">
        <v>17</v>
      </c>
      <c r="D40" s="95">
        <v>1</v>
      </c>
      <c r="E40" s="95" t="s">
        <v>57</v>
      </c>
      <c r="F40" s="95" t="s">
        <v>57</v>
      </c>
      <c r="G40" s="168">
        <v>10.43</v>
      </c>
      <c r="H40" s="118"/>
      <c r="I40" s="95">
        <f t="shared" si="39"/>
        <v>10.43</v>
      </c>
      <c r="J40" s="95">
        <f t="shared" si="40"/>
        <v>10.43</v>
      </c>
      <c r="K40" s="103"/>
      <c r="L40" s="162" t="s">
        <v>17</v>
      </c>
      <c r="M40" s="108">
        <v>1</v>
      </c>
      <c r="N40" s="169">
        <v>13.31</v>
      </c>
      <c r="O40" s="168">
        <v>2.7</v>
      </c>
      <c r="P40" s="92"/>
      <c r="Q40" s="92"/>
      <c r="R40" s="108">
        <f t="shared" si="41"/>
        <v>35.937000000000005</v>
      </c>
      <c r="S40" s="146"/>
      <c r="T40" s="108" t="s">
        <v>17</v>
      </c>
      <c r="U40" s="92">
        <f t="shared" si="48"/>
        <v>13.31</v>
      </c>
      <c r="V40" s="103"/>
      <c r="W40" s="162" t="s">
        <v>17</v>
      </c>
      <c r="X40" s="108" t="str">
        <f t="shared" si="42"/>
        <v>cad</v>
      </c>
      <c r="Y40" s="108" t="str">
        <f t="shared" si="43"/>
        <v>cad</v>
      </c>
      <c r="Z40" s="108">
        <f t="shared" si="44"/>
        <v>10.43</v>
      </c>
      <c r="AA40" s="108">
        <f t="shared" si="45"/>
        <v>0</v>
      </c>
      <c r="AB40" s="108">
        <f t="shared" si="46"/>
        <v>10.43</v>
      </c>
      <c r="AC40" s="108">
        <f t="shared" si="47"/>
        <v>10.43</v>
      </c>
      <c r="AD40" s="90"/>
      <c r="AE40" s="102" t="s">
        <v>17</v>
      </c>
      <c r="AF40" s="99">
        <f t="shared" si="55"/>
        <v>13.31</v>
      </c>
      <c r="AG40" s="90"/>
      <c r="AH40" s="90"/>
      <c r="AI40" s="90"/>
    </row>
    <row r="41" spans="1:35" s="11" customFormat="1" ht="14.4">
      <c r="A41" s="18"/>
      <c r="B41" s="201" t="s">
        <v>84</v>
      </c>
      <c r="C41" s="95" t="s">
        <v>17</v>
      </c>
      <c r="D41" s="95">
        <v>1</v>
      </c>
      <c r="E41" s="95" t="s">
        <v>57</v>
      </c>
      <c r="F41" s="95" t="s">
        <v>57</v>
      </c>
      <c r="G41" s="168">
        <v>5.34</v>
      </c>
      <c r="H41" s="118"/>
      <c r="I41" s="95">
        <f t="shared" si="39"/>
        <v>5.34</v>
      </c>
      <c r="J41" s="95">
        <f t="shared" si="40"/>
        <v>5.34</v>
      </c>
      <c r="K41" s="103"/>
      <c r="L41" s="162" t="s">
        <v>17</v>
      </c>
      <c r="M41" s="108">
        <v>1</v>
      </c>
      <c r="N41" s="169">
        <v>9.8800000000000008</v>
      </c>
      <c r="O41" s="168">
        <v>2.7</v>
      </c>
      <c r="P41" s="92"/>
      <c r="Q41" s="92"/>
      <c r="R41" s="108">
        <f t="shared" si="41"/>
        <v>26.676000000000005</v>
      </c>
      <c r="S41" s="146"/>
      <c r="T41" s="108" t="s">
        <v>17</v>
      </c>
      <c r="U41" s="92">
        <f t="shared" ref="U41:U62" si="56">N41*M41</f>
        <v>9.8800000000000008</v>
      </c>
      <c r="V41" s="103"/>
      <c r="W41" s="162" t="s">
        <v>17</v>
      </c>
      <c r="X41" s="108" t="str">
        <f t="shared" si="42"/>
        <v>cad</v>
      </c>
      <c r="Y41" s="108" t="str">
        <f t="shared" si="43"/>
        <v>cad</v>
      </c>
      <c r="Z41" s="108">
        <f t="shared" si="44"/>
        <v>5.34</v>
      </c>
      <c r="AA41" s="108">
        <f t="shared" si="45"/>
        <v>0</v>
      </c>
      <c r="AB41" s="108">
        <f t="shared" si="46"/>
        <v>5.34</v>
      </c>
      <c r="AC41" s="108">
        <f t="shared" si="47"/>
        <v>5.34</v>
      </c>
      <c r="AD41" s="90"/>
      <c r="AE41" s="102" t="s">
        <v>17</v>
      </c>
      <c r="AF41" s="99">
        <f t="shared" si="55"/>
        <v>9.8800000000000008</v>
      </c>
      <c r="AG41" s="90"/>
      <c r="AH41" s="90"/>
      <c r="AI41" s="90"/>
    </row>
    <row r="42" spans="1:35" s="11" customFormat="1" ht="14.4">
      <c r="A42" s="18"/>
      <c r="B42" s="201" t="s">
        <v>576</v>
      </c>
      <c r="C42" s="95" t="s">
        <v>17</v>
      </c>
      <c r="D42" s="95">
        <v>1</v>
      </c>
      <c r="E42" s="95" t="s">
        <v>57</v>
      </c>
      <c r="F42" s="95" t="s">
        <v>57</v>
      </c>
      <c r="G42" s="168">
        <v>15.69</v>
      </c>
      <c r="H42" s="118"/>
      <c r="I42" s="95">
        <f t="shared" si="39"/>
        <v>15.69</v>
      </c>
      <c r="J42" s="95">
        <f t="shared" si="40"/>
        <v>15.69</v>
      </c>
      <c r="K42" s="103"/>
      <c r="L42" s="162" t="s">
        <v>17</v>
      </c>
      <c r="M42" s="108">
        <v>1</v>
      </c>
      <c r="N42" s="169">
        <v>16.079999999999998</v>
      </c>
      <c r="O42" s="168">
        <v>2.7</v>
      </c>
      <c r="P42" s="92"/>
      <c r="Q42" s="92"/>
      <c r="R42" s="108">
        <f t="shared" si="41"/>
        <v>43.415999999999997</v>
      </c>
      <c r="S42" s="146"/>
      <c r="T42" s="108" t="s">
        <v>17</v>
      </c>
      <c r="U42" s="92">
        <f t="shared" si="56"/>
        <v>16.079999999999998</v>
      </c>
      <c r="V42" s="103"/>
      <c r="W42" s="162" t="s">
        <v>17</v>
      </c>
      <c r="X42" s="108" t="str">
        <f t="shared" si="42"/>
        <v>cad</v>
      </c>
      <c r="Y42" s="108" t="str">
        <f t="shared" si="43"/>
        <v>cad</v>
      </c>
      <c r="Z42" s="108">
        <f t="shared" si="44"/>
        <v>15.69</v>
      </c>
      <c r="AA42" s="108">
        <f t="shared" si="45"/>
        <v>0</v>
      </c>
      <c r="AB42" s="108">
        <f t="shared" si="46"/>
        <v>15.69</v>
      </c>
      <c r="AC42" s="108">
        <f t="shared" si="47"/>
        <v>15.69</v>
      </c>
      <c r="AD42" s="90"/>
      <c r="AE42" s="102" t="s">
        <v>17</v>
      </c>
      <c r="AF42" s="99">
        <f t="shared" si="55"/>
        <v>16.079999999999998</v>
      </c>
      <c r="AG42" s="90"/>
      <c r="AH42" s="90"/>
      <c r="AI42" s="90"/>
    </row>
    <row r="43" spans="1:35" s="11" customFormat="1" ht="14.4">
      <c r="A43" s="18"/>
      <c r="B43" s="201" t="s">
        <v>568</v>
      </c>
      <c r="C43" s="95" t="s">
        <v>17</v>
      </c>
      <c r="D43" s="95">
        <v>2</v>
      </c>
      <c r="E43" s="95" t="s">
        <v>57</v>
      </c>
      <c r="F43" s="95" t="s">
        <v>57</v>
      </c>
      <c r="G43" s="168">
        <v>15.37</v>
      </c>
      <c r="H43" s="118"/>
      <c r="I43" s="95">
        <f t="shared" si="39"/>
        <v>15.37</v>
      </c>
      <c r="J43" s="95">
        <f t="shared" si="40"/>
        <v>30.74</v>
      </c>
      <c r="K43" s="103"/>
      <c r="L43" s="162" t="s">
        <v>17</v>
      </c>
      <c r="M43" s="108">
        <v>2</v>
      </c>
      <c r="N43" s="169">
        <v>15.88</v>
      </c>
      <c r="O43" s="168">
        <v>2.7</v>
      </c>
      <c r="P43" s="92"/>
      <c r="Q43" s="92"/>
      <c r="R43" s="108">
        <f t="shared" si="41"/>
        <v>85.75200000000001</v>
      </c>
      <c r="S43" s="146"/>
      <c r="T43" s="108" t="s">
        <v>17</v>
      </c>
      <c r="U43" s="92">
        <f t="shared" si="56"/>
        <v>31.76</v>
      </c>
      <c r="V43" s="103"/>
      <c r="W43" s="162" t="s">
        <v>17</v>
      </c>
      <c r="X43" s="108" t="str">
        <f t="shared" si="42"/>
        <v>cad</v>
      </c>
      <c r="Y43" s="108" t="str">
        <f t="shared" si="43"/>
        <v>cad</v>
      </c>
      <c r="Z43" s="108">
        <f t="shared" si="44"/>
        <v>15.37</v>
      </c>
      <c r="AA43" s="108">
        <f t="shared" si="45"/>
        <v>0</v>
      </c>
      <c r="AB43" s="108">
        <f t="shared" si="46"/>
        <v>15.37</v>
      </c>
      <c r="AC43" s="108">
        <f t="shared" si="47"/>
        <v>30.74</v>
      </c>
      <c r="AD43" s="90"/>
      <c r="AE43" s="102" t="s">
        <v>17</v>
      </c>
      <c r="AF43" s="99">
        <f t="shared" si="55"/>
        <v>31.76</v>
      </c>
      <c r="AG43" s="90"/>
      <c r="AH43" s="90"/>
      <c r="AI43" s="90"/>
    </row>
    <row r="44" spans="1:35" s="11" customFormat="1" ht="14.4">
      <c r="A44" s="18"/>
      <c r="B44" s="201" t="s">
        <v>577</v>
      </c>
      <c r="C44" s="95" t="s">
        <v>20</v>
      </c>
      <c r="D44" s="95">
        <v>2</v>
      </c>
      <c r="E44" s="95" t="s">
        <v>57</v>
      </c>
      <c r="F44" s="95" t="s">
        <v>57</v>
      </c>
      <c r="G44" s="168">
        <v>4.7300000000000004</v>
      </c>
      <c r="H44" s="118"/>
      <c r="I44" s="95">
        <f t="shared" si="39"/>
        <v>4.7300000000000004</v>
      </c>
      <c r="J44" s="95">
        <f t="shared" si="40"/>
        <v>9.4600000000000009</v>
      </c>
      <c r="K44" s="103"/>
      <c r="L44" s="162" t="s">
        <v>18</v>
      </c>
      <c r="M44" s="108">
        <v>2</v>
      </c>
      <c r="N44" s="169">
        <v>9.2799999999999994</v>
      </c>
      <c r="O44" s="168">
        <v>2.7</v>
      </c>
      <c r="P44" s="92"/>
      <c r="Q44" s="92"/>
      <c r="R44" s="108">
        <f t="shared" si="41"/>
        <v>50.112000000000002</v>
      </c>
      <c r="S44" s="146"/>
      <c r="T44" s="108" t="s">
        <v>18</v>
      </c>
      <c r="U44" s="92">
        <f t="shared" si="56"/>
        <v>18.559999999999999</v>
      </c>
      <c r="V44" s="103"/>
      <c r="W44" s="162" t="s">
        <v>18</v>
      </c>
      <c r="X44" s="108" t="str">
        <f t="shared" si="42"/>
        <v>cad</v>
      </c>
      <c r="Y44" s="108" t="str">
        <f t="shared" si="43"/>
        <v>cad</v>
      </c>
      <c r="Z44" s="108">
        <f t="shared" si="44"/>
        <v>4.7300000000000004</v>
      </c>
      <c r="AA44" s="108">
        <f t="shared" si="45"/>
        <v>0</v>
      </c>
      <c r="AB44" s="108">
        <f t="shared" si="46"/>
        <v>4.7300000000000004</v>
      </c>
      <c r="AC44" s="108">
        <f t="shared" si="47"/>
        <v>9.4600000000000009</v>
      </c>
      <c r="AD44" s="90"/>
      <c r="AE44" s="102" t="s">
        <v>17</v>
      </c>
      <c r="AF44" s="99">
        <f t="shared" si="55"/>
        <v>18.559999999999999</v>
      </c>
      <c r="AG44" s="90"/>
      <c r="AH44" s="90"/>
      <c r="AI44" s="90"/>
    </row>
    <row r="45" spans="1:35" s="11" customFormat="1" ht="14.4">
      <c r="A45" s="18"/>
      <c r="B45" s="201" t="s">
        <v>154</v>
      </c>
      <c r="C45" s="318" t="s">
        <v>17</v>
      </c>
      <c r="D45" s="95">
        <v>1</v>
      </c>
      <c r="E45" s="95" t="s">
        <v>57</v>
      </c>
      <c r="F45" s="95" t="s">
        <v>57</v>
      </c>
      <c r="G45" s="168">
        <v>3.48</v>
      </c>
      <c r="H45" s="118"/>
      <c r="I45" s="95">
        <f t="shared" si="39"/>
        <v>3.48</v>
      </c>
      <c r="J45" s="95">
        <f t="shared" si="40"/>
        <v>3.48</v>
      </c>
      <c r="K45" s="103"/>
      <c r="L45" s="162" t="s">
        <v>17</v>
      </c>
      <c r="M45" s="108">
        <v>1</v>
      </c>
      <c r="N45" s="169">
        <v>8.82</v>
      </c>
      <c r="O45" s="168">
        <v>2.7</v>
      </c>
      <c r="P45" s="92"/>
      <c r="Q45" s="92"/>
      <c r="R45" s="108">
        <f t="shared" si="41"/>
        <v>23.814000000000004</v>
      </c>
      <c r="S45" s="146"/>
      <c r="T45" s="108" t="s">
        <v>21</v>
      </c>
      <c r="U45" s="92">
        <f t="shared" si="56"/>
        <v>8.82</v>
      </c>
      <c r="V45" s="103"/>
      <c r="W45" s="162" t="s">
        <v>17</v>
      </c>
      <c r="X45" s="108" t="str">
        <f t="shared" si="42"/>
        <v>cad</v>
      </c>
      <c r="Y45" s="108" t="str">
        <f t="shared" si="43"/>
        <v>cad</v>
      </c>
      <c r="Z45" s="108">
        <f t="shared" si="44"/>
        <v>3.48</v>
      </c>
      <c r="AA45" s="108">
        <f t="shared" si="45"/>
        <v>0</v>
      </c>
      <c r="AB45" s="108">
        <f t="shared" si="46"/>
        <v>3.48</v>
      </c>
      <c r="AC45" s="108">
        <f t="shared" si="47"/>
        <v>3.48</v>
      </c>
      <c r="AD45" s="90"/>
      <c r="AE45" s="102" t="s">
        <v>17</v>
      </c>
      <c r="AF45" s="99">
        <f t="shared" si="55"/>
        <v>8.82</v>
      </c>
      <c r="AG45" s="90"/>
      <c r="AH45" s="90"/>
      <c r="AI45" s="90"/>
    </row>
    <row r="46" spans="1:35" s="11" customFormat="1" ht="14.4">
      <c r="A46" s="18"/>
      <c r="B46" s="201" t="s">
        <v>569</v>
      </c>
      <c r="C46" s="95" t="s">
        <v>17</v>
      </c>
      <c r="D46" s="95">
        <v>1</v>
      </c>
      <c r="E46" s="95" t="s">
        <v>57</v>
      </c>
      <c r="F46" s="95" t="s">
        <v>57</v>
      </c>
      <c r="G46" s="168">
        <v>4.76</v>
      </c>
      <c r="H46" s="118"/>
      <c r="I46" s="95">
        <f t="shared" si="39"/>
        <v>4.76</v>
      </c>
      <c r="J46" s="95">
        <f t="shared" si="40"/>
        <v>4.76</v>
      </c>
      <c r="K46" s="103"/>
      <c r="L46" s="162" t="s">
        <v>17</v>
      </c>
      <c r="M46" s="108">
        <v>1</v>
      </c>
      <c r="N46" s="169">
        <f>9.7-1.38</f>
        <v>8.32</v>
      </c>
      <c r="O46" s="168">
        <v>2.7</v>
      </c>
      <c r="P46" s="92"/>
      <c r="Q46" s="92"/>
      <c r="R46" s="108">
        <f t="shared" si="41"/>
        <v>22.464000000000002</v>
      </c>
      <c r="S46" s="146"/>
      <c r="T46" s="108" t="s">
        <v>17</v>
      </c>
      <c r="U46" s="92">
        <f t="shared" si="56"/>
        <v>8.32</v>
      </c>
      <c r="V46" s="103"/>
      <c r="W46" s="162" t="s">
        <v>17</v>
      </c>
      <c r="X46" s="108" t="str">
        <f t="shared" si="42"/>
        <v>cad</v>
      </c>
      <c r="Y46" s="108" t="str">
        <f t="shared" si="43"/>
        <v>cad</v>
      </c>
      <c r="Z46" s="108">
        <f t="shared" si="44"/>
        <v>4.76</v>
      </c>
      <c r="AA46" s="108">
        <f t="shared" si="45"/>
        <v>0</v>
      </c>
      <c r="AB46" s="108">
        <f t="shared" si="46"/>
        <v>4.76</v>
      </c>
      <c r="AC46" s="108">
        <f t="shared" si="47"/>
        <v>4.76</v>
      </c>
      <c r="AD46" s="90"/>
      <c r="AE46" s="102" t="s">
        <v>17</v>
      </c>
      <c r="AF46" s="99">
        <f t="shared" si="55"/>
        <v>8.32</v>
      </c>
      <c r="AG46" s="90"/>
      <c r="AH46" s="90"/>
      <c r="AI46" s="90"/>
    </row>
    <row r="47" spans="1:35" s="11" customFormat="1" ht="14.4">
      <c r="A47" s="18"/>
      <c r="B47" s="201" t="s">
        <v>548</v>
      </c>
      <c r="C47" s="318" t="s">
        <v>17</v>
      </c>
      <c r="D47" s="95">
        <v>1</v>
      </c>
      <c r="E47" s="95" t="s">
        <v>57</v>
      </c>
      <c r="F47" s="95" t="s">
        <v>57</v>
      </c>
      <c r="G47" s="168">
        <v>12.46</v>
      </c>
      <c r="H47" s="118"/>
      <c r="I47" s="95">
        <f t="shared" si="39"/>
        <v>12.46</v>
      </c>
      <c r="J47" s="95">
        <f t="shared" si="40"/>
        <v>12.46</v>
      </c>
      <c r="K47" s="103"/>
      <c r="L47" s="162" t="s">
        <v>589</v>
      </c>
      <c r="M47" s="108">
        <v>1</v>
      </c>
      <c r="N47" s="169">
        <f>14.38-3.88</f>
        <v>10.5</v>
      </c>
      <c r="O47" s="168">
        <v>2.7</v>
      </c>
      <c r="P47" s="92"/>
      <c r="Q47" s="92"/>
      <c r="R47" s="108">
        <f t="shared" si="41"/>
        <v>28.35</v>
      </c>
      <c r="S47" s="146"/>
      <c r="T47" s="108" t="s">
        <v>21</v>
      </c>
      <c r="U47" s="92">
        <f t="shared" si="56"/>
        <v>10.5</v>
      </c>
      <c r="V47" s="103"/>
      <c r="W47" s="162" t="s">
        <v>17</v>
      </c>
      <c r="X47" s="108" t="str">
        <f t="shared" si="42"/>
        <v>cad</v>
      </c>
      <c r="Y47" s="108" t="str">
        <f t="shared" si="43"/>
        <v>cad</v>
      </c>
      <c r="Z47" s="108">
        <f t="shared" si="44"/>
        <v>12.46</v>
      </c>
      <c r="AA47" s="108">
        <f t="shared" si="45"/>
        <v>0</v>
      </c>
      <c r="AB47" s="108">
        <f t="shared" si="46"/>
        <v>12.46</v>
      </c>
      <c r="AC47" s="108">
        <f t="shared" si="47"/>
        <v>12.46</v>
      </c>
      <c r="AD47" s="90"/>
      <c r="AE47" s="102" t="s">
        <v>17</v>
      </c>
      <c r="AF47" s="99">
        <f t="shared" si="55"/>
        <v>10.5</v>
      </c>
      <c r="AG47" s="90"/>
      <c r="AH47" s="90"/>
      <c r="AI47" s="90"/>
    </row>
    <row r="48" spans="1:35" s="11" customFormat="1" ht="14.4">
      <c r="A48" s="18"/>
      <c r="B48" s="201"/>
      <c r="C48" s="95"/>
      <c r="D48" s="95"/>
      <c r="E48" s="95"/>
      <c r="F48" s="95"/>
      <c r="G48" s="141"/>
      <c r="H48" s="118"/>
      <c r="I48" s="95"/>
      <c r="J48" s="95"/>
      <c r="K48" s="103"/>
      <c r="L48" s="162"/>
      <c r="M48" s="108"/>
      <c r="N48" s="95"/>
      <c r="O48" s="95"/>
      <c r="P48" s="92"/>
      <c r="Q48" s="92"/>
      <c r="R48" s="108"/>
      <c r="S48" s="146"/>
      <c r="T48" s="108"/>
      <c r="U48" s="92"/>
      <c r="V48" s="103"/>
      <c r="W48" s="162" t="s">
        <v>19</v>
      </c>
      <c r="X48" s="141">
        <f t="shared" ref="X48" si="57">E48</f>
        <v>0</v>
      </c>
      <c r="Y48" s="141">
        <f t="shared" ref="Y48" si="58">F48</f>
        <v>0</v>
      </c>
      <c r="Z48" s="141">
        <v>2.21</v>
      </c>
      <c r="AA48" s="108">
        <f t="shared" si="45"/>
        <v>0</v>
      </c>
      <c r="AB48" s="141">
        <f t="shared" ref="AB48:AB49" si="59">Z48</f>
        <v>2.21</v>
      </c>
      <c r="AC48" s="141">
        <f t="shared" ref="AC48:AC49" si="60">Z48</f>
        <v>2.21</v>
      </c>
      <c r="AD48" s="90"/>
      <c r="AE48" s="102"/>
      <c r="AF48" s="108"/>
      <c r="AG48" s="90"/>
      <c r="AH48" s="90"/>
      <c r="AI48" s="90"/>
    </row>
    <row r="49" spans="1:35" s="11" customFormat="1" ht="14.4">
      <c r="A49" s="18"/>
      <c r="B49" s="201"/>
      <c r="C49" s="95"/>
      <c r="D49" s="95"/>
      <c r="E49" s="95"/>
      <c r="F49" s="95"/>
      <c r="G49" s="141"/>
      <c r="H49" s="118"/>
      <c r="I49" s="95"/>
      <c r="J49" s="95"/>
      <c r="K49" s="103"/>
      <c r="L49" s="162"/>
      <c r="M49" s="108"/>
      <c r="N49" s="95"/>
      <c r="O49" s="95"/>
      <c r="P49" s="92"/>
      <c r="Q49" s="92"/>
      <c r="R49" s="108"/>
      <c r="S49" s="146"/>
      <c r="T49" s="108"/>
      <c r="U49" s="92"/>
      <c r="V49" s="103"/>
      <c r="W49" s="162" t="s">
        <v>20</v>
      </c>
      <c r="X49" s="141">
        <f t="shared" ref="X49" si="61">E49</f>
        <v>0</v>
      </c>
      <c r="Y49" s="141">
        <f t="shared" ref="Y49" si="62">F49</f>
        <v>0</v>
      </c>
      <c r="Z49" s="141">
        <v>1.56</v>
      </c>
      <c r="AA49" s="108">
        <f t="shared" ref="AA49" si="63">H49</f>
        <v>0</v>
      </c>
      <c r="AB49" s="141">
        <f t="shared" si="59"/>
        <v>1.56</v>
      </c>
      <c r="AC49" s="141">
        <f t="shared" si="60"/>
        <v>1.56</v>
      </c>
      <c r="AD49" s="90"/>
      <c r="AE49" s="102"/>
      <c r="AF49" s="108"/>
      <c r="AG49" s="90"/>
      <c r="AH49" s="90"/>
      <c r="AI49" s="90"/>
    </row>
    <row r="50" spans="1:35" s="11" customFormat="1" ht="14.4">
      <c r="A50" s="18"/>
      <c r="B50" s="201" t="s">
        <v>157</v>
      </c>
      <c r="C50" s="95" t="s">
        <v>17</v>
      </c>
      <c r="D50" s="95">
        <v>1</v>
      </c>
      <c r="E50" s="95" t="s">
        <v>57</v>
      </c>
      <c r="F50" s="95" t="s">
        <v>57</v>
      </c>
      <c r="G50" s="168">
        <v>7.15</v>
      </c>
      <c r="H50" s="118"/>
      <c r="I50" s="95">
        <f t="shared" si="39"/>
        <v>7.15</v>
      </c>
      <c r="J50" s="95">
        <f t="shared" si="40"/>
        <v>7.15</v>
      </c>
      <c r="K50" s="103"/>
      <c r="L50" s="162" t="s">
        <v>17</v>
      </c>
      <c r="M50" s="108">
        <v>1</v>
      </c>
      <c r="N50" s="169">
        <v>10.74</v>
      </c>
      <c r="O50" s="168">
        <v>2.8</v>
      </c>
      <c r="P50" s="92"/>
      <c r="Q50" s="92"/>
      <c r="R50" s="108">
        <f t="shared" si="41"/>
        <v>30.071999999999999</v>
      </c>
      <c r="S50" s="146"/>
      <c r="T50" s="108" t="s">
        <v>17</v>
      </c>
      <c r="U50" s="92">
        <f t="shared" si="56"/>
        <v>10.74</v>
      </c>
      <c r="V50" s="103"/>
      <c r="W50" s="162" t="s">
        <v>17</v>
      </c>
      <c r="X50" s="108" t="str">
        <f t="shared" si="42"/>
        <v>cad</v>
      </c>
      <c r="Y50" s="108" t="str">
        <f t="shared" si="43"/>
        <v>cad</v>
      </c>
      <c r="Z50" s="108">
        <f t="shared" si="44"/>
        <v>7.15</v>
      </c>
      <c r="AA50" s="108">
        <f t="shared" si="45"/>
        <v>0</v>
      </c>
      <c r="AB50" s="108">
        <f t="shared" si="46"/>
        <v>7.15</v>
      </c>
      <c r="AC50" s="108">
        <f t="shared" si="47"/>
        <v>7.15</v>
      </c>
      <c r="AD50" s="90"/>
      <c r="AE50" s="102" t="s">
        <v>17</v>
      </c>
      <c r="AF50" s="99">
        <f>N50*M50</f>
        <v>10.74</v>
      </c>
      <c r="AG50" s="90"/>
      <c r="AH50" s="90"/>
      <c r="AI50" s="90"/>
    </row>
    <row r="51" spans="1:35" s="11" customFormat="1" ht="14.4">
      <c r="A51" s="18"/>
      <c r="B51" s="201"/>
      <c r="C51" s="95"/>
      <c r="D51" s="95"/>
      <c r="E51" s="95"/>
      <c r="F51" s="95"/>
      <c r="G51" s="141"/>
      <c r="H51" s="118"/>
      <c r="I51" s="95"/>
      <c r="J51" s="95"/>
      <c r="K51" s="103"/>
      <c r="L51" s="162"/>
      <c r="M51" s="108"/>
      <c r="N51" s="95"/>
      <c r="O51" s="95"/>
      <c r="P51" s="92"/>
      <c r="Q51" s="92"/>
      <c r="R51" s="108"/>
      <c r="S51" s="146"/>
      <c r="T51" s="108"/>
      <c r="U51" s="92"/>
      <c r="V51" s="103"/>
      <c r="W51" s="162" t="s">
        <v>19</v>
      </c>
      <c r="X51" s="141">
        <f t="shared" si="42"/>
        <v>0</v>
      </c>
      <c r="Y51" s="141">
        <f t="shared" si="43"/>
        <v>0</v>
      </c>
      <c r="Z51" s="141">
        <v>2.48</v>
      </c>
      <c r="AA51" s="108">
        <f t="shared" si="45"/>
        <v>0</v>
      </c>
      <c r="AB51" s="141">
        <f t="shared" ref="AB51" si="64">Z51</f>
        <v>2.48</v>
      </c>
      <c r="AC51" s="141">
        <f t="shared" ref="AC51" si="65">Z51</f>
        <v>2.48</v>
      </c>
      <c r="AD51" s="90"/>
      <c r="AE51" s="102"/>
      <c r="AF51" s="108"/>
      <c r="AG51" s="90"/>
      <c r="AH51" s="90"/>
      <c r="AI51" s="90"/>
    </row>
    <row r="52" spans="1:35" s="11" customFormat="1" ht="14.4">
      <c r="A52" s="18"/>
      <c r="B52" s="243" t="s">
        <v>586</v>
      </c>
      <c r="C52" s="318" t="s">
        <v>17</v>
      </c>
      <c r="D52" s="95">
        <v>2</v>
      </c>
      <c r="E52" s="95" t="s">
        <v>57</v>
      </c>
      <c r="F52" s="95" t="s">
        <v>57</v>
      </c>
      <c r="G52" s="168">
        <v>22.16</v>
      </c>
      <c r="H52" s="118"/>
      <c r="I52" s="95">
        <f t="shared" si="39"/>
        <v>22.16</v>
      </c>
      <c r="J52" s="95">
        <f t="shared" si="40"/>
        <v>44.32</v>
      </c>
      <c r="K52" s="103"/>
      <c r="L52" s="162" t="s">
        <v>17</v>
      </c>
      <c r="M52" s="108">
        <v>2</v>
      </c>
      <c r="N52" s="169">
        <v>20.13</v>
      </c>
      <c r="O52" s="168">
        <v>3</v>
      </c>
      <c r="P52" s="92"/>
      <c r="Q52" s="92"/>
      <c r="R52" s="108">
        <f t="shared" si="41"/>
        <v>120.78</v>
      </c>
      <c r="S52" s="146"/>
      <c r="T52" s="108" t="s">
        <v>21</v>
      </c>
      <c r="U52" s="92">
        <f t="shared" si="56"/>
        <v>40.26</v>
      </c>
      <c r="V52" s="103"/>
      <c r="W52" s="162" t="s">
        <v>17</v>
      </c>
      <c r="X52" s="108" t="str">
        <f t="shared" si="42"/>
        <v>cad</v>
      </c>
      <c r="Y52" s="108" t="str">
        <f t="shared" si="43"/>
        <v>cad</v>
      </c>
      <c r="Z52" s="108">
        <f t="shared" si="44"/>
        <v>22.16</v>
      </c>
      <c r="AA52" s="108">
        <f t="shared" si="45"/>
        <v>0</v>
      </c>
      <c r="AB52" s="108">
        <f t="shared" si="46"/>
        <v>22.16</v>
      </c>
      <c r="AC52" s="108">
        <f t="shared" si="47"/>
        <v>44.32</v>
      </c>
      <c r="AD52" s="90"/>
      <c r="AE52" s="102" t="s">
        <v>17</v>
      </c>
      <c r="AF52" s="99">
        <f>N52*M52</f>
        <v>40.26</v>
      </c>
      <c r="AG52" s="90"/>
      <c r="AH52" s="90"/>
      <c r="AI52" s="90"/>
    </row>
    <row r="53" spans="1:35" s="11" customFormat="1" ht="14.4">
      <c r="A53" s="18"/>
      <c r="B53" s="243"/>
      <c r="C53" s="95"/>
      <c r="D53" s="95"/>
      <c r="E53" s="95"/>
      <c r="F53" s="95"/>
      <c r="G53" s="168"/>
      <c r="H53" s="118"/>
      <c r="I53" s="95"/>
      <c r="J53" s="95"/>
      <c r="K53" s="103"/>
      <c r="L53" s="162" t="s">
        <v>571</v>
      </c>
      <c r="M53" s="108">
        <v>2</v>
      </c>
      <c r="N53" s="169">
        <v>6.47</v>
      </c>
      <c r="O53" s="168">
        <v>3</v>
      </c>
      <c r="P53" s="92"/>
      <c r="Q53" s="92"/>
      <c r="R53" s="108">
        <f t="shared" si="41"/>
        <v>38.82</v>
      </c>
      <c r="S53" s="146"/>
      <c r="T53" s="108"/>
      <c r="U53" s="108"/>
      <c r="V53" s="103"/>
      <c r="W53" s="162"/>
      <c r="X53" s="108"/>
      <c r="Y53" s="108"/>
      <c r="Z53" s="108"/>
      <c r="AA53" s="108"/>
      <c r="AB53" s="108"/>
      <c r="AC53" s="108"/>
      <c r="AD53" s="90"/>
      <c r="AE53" s="102"/>
      <c r="AF53" s="108"/>
      <c r="AG53" s="90"/>
      <c r="AH53" s="90"/>
      <c r="AI53" s="90"/>
    </row>
    <row r="54" spans="1:35" s="11" customFormat="1" ht="41.4">
      <c r="A54" s="18"/>
      <c r="B54" s="243" t="s">
        <v>592</v>
      </c>
      <c r="C54" s="318" t="s">
        <v>17</v>
      </c>
      <c r="D54" s="95">
        <v>8</v>
      </c>
      <c r="E54" s="95" t="s">
        <v>57</v>
      </c>
      <c r="F54" s="95" t="s">
        <v>57</v>
      </c>
      <c r="G54" s="168">
        <v>26.03</v>
      </c>
      <c r="H54" s="118"/>
      <c r="I54" s="95">
        <f t="shared" ref="I54" si="66">(G54-H54)</f>
        <v>26.03</v>
      </c>
      <c r="J54" s="95">
        <f t="shared" ref="J54" si="67">I54*D54</f>
        <v>208.24</v>
      </c>
      <c r="K54" s="103"/>
      <c r="L54" s="162" t="s">
        <v>17</v>
      </c>
      <c r="M54" s="108">
        <v>8</v>
      </c>
      <c r="N54" s="169">
        <v>25.13</v>
      </c>
      <c r="O54" s="168">
        <v>3</v>
      </c>
      <c r="P54" s="92"/>
      <c r="Q54" s="92"/>
      <c r="R54" s="108">
        <f t="shared" si="41"/>
        <v>603.12</v>
      </c>
      <c r="S54" s="146"/>
      <c r="T54" s="108" t="s">
        <v>21</v>
      </c>
      <c r="U54" s="92">
        <f t="shared" si="56"/>
        <v>201.04</v>
      </c>
      <c r="V54" s="103"/>
      <c r="W54" s="162" t="s">
        <v>17</v>
      </c>
      <c r="X54" s="108" t="str">
        <f t="shared" ref="X54" si="68">E54</f>
        <v>cad</v>
      </c>
      <c r="Y54" s="108" t="str">
        <f t="shared" ref="Y54" si="69">F54</f>
        <v>cad</v>
      </c>
      <c r="Z54" s="108">
        <f t="shared" ref="Z54" si="70">G54</f>
        <v>26.03</v>
      </c>
      <c r="AA54" s="108">
        <f t="shared" ref="AA54" si="71">H54</f>
        <v>0</v>
      </c>
      <c r="AB54" s="108">
        <f t="shared" ref="AB54" si="72">I54</f>
        <v>26.03</v>
      </c>
      <c r="AC54" s="108">
        <f t="shared" ref="AC54" si="73">J54</f>
        <v>208.24</v>
      </c>
      <c r="AD54" s="90"/>
      <c r="AE54" s="92" t="s">
        <v>17</v>
      </c>
      <c r="AF54" s="99">
        <f>N54*M54</f>
        <v>201.04</v>
      </c>
      <c r="AG54" s="90"/>
      <c r="AH54" s="90"/>
      <c r="AI54" s="90"/>
    </row>
    <row r="55" spans="1:35" s="11" customFormat="1" ht="14.4">
      <c r="A55" s="18"/>
      <c r="B55" s="243"/>
      <c r="C55" s="95"/>
      <c r="D55" s="95"/>
      <c r="E55" s="95"/>
      <c r="F55" s="95"/>
      <c r="G55" s="168"/>
      <c r="H55" s="118"/>
      <c r="I55" s="95"/>
      <c r="J55" s="95"/>
      <c r="K55" s="103"/>
      <c r="L55" s="162" t="s">
        <v>571</v>
      </c>
      <c r="M55" s="108">
        <v>8</v>
      </c>
      <c r="N55" s="169">
        <v>6.47</v>
      </c>
      <c r="O55" s="168">
        <v>3</v>
      </c>
      <c r="P55" s="92"/>
      <c r="Q55" s="92"/>
      <c r="R55" s="108">
        <f t="shared" si="41"/>
        <v>155.28</v>
      </c>
      <c r="S55" s="146"/>
      <c r="T55" s="108"/>
      <c r="U55" s="108"/>
      <c r="V55" s="103"/>
      <c r="W55" s="162"/>
      <c r="X55" s="108"/>
      <c r="Y55" s="108"/>
      <c r="Z55" s="108"/>
      <c r="AA55" s="108"/>
      <c r="AB55" s="108"/>
      <c r="AC55" s="108"/>
      <c r="AD55" s="90"/>
      <c r="AE55" s="102"/>
      <c r="AF55" s="108"/>
      <c r="AG55" s="90"/>
      <c r="AH55" s="90"/>
      <c r="AI55" s="90"/>
    </row>
    <row r="56" spans="1:35" s="11" customFormat="1" ht="14.4">
      <c r="A56" s="18"/>
      <c r="B56" s="201" t="s">
        <v>584</v>
      </c>
      <c r="C56" s="318" t="s">
        <v>17</v>
      </c>
      <c r="D56" s="95">
        <v>1</v>
      </c>
      <c r="E56" s="95" t="s">
        <v>57</v>
      </c>
      <c r="F56" s="95" t="s">
        <v>57</v>
      </c>
      <c r="G56" s="168">
        <v>25.81</v>
      </c>
      <c r="H56" s="118"/>
      <c r="I56" s="95">
        <f t="shared" ref="I56" si="74">(G56-H56)</f>
        <v>25.81</v>
      </c>
      <c r="J56" s="95">
        <f t="shared" ref="J56" si="75">I56*D56</f>
        <v>25.81</v>
      </c>
      <c r="K56" s="103"/>
      <c r="L56" s="162" t="s">
        <v>17</v>
      </c>
      <c r="M56" s="108">
        <v>1</v>
      </c>
      <c r="N56" s="169">
        <v>25.08</v>
      </c>
      <c r="O56" s="168">
        <v>3</v>
      </c>
      <c r="P56" s="92"/>
      <c r="Q56" s="92"/>
      <c r="R56" s="108">
        <f t="shared" si="41"/>
        <v>75.239999999999995</v>
      </c>
      <c r="S56" s="146"/>
      <c r="T56" s="108" t="s">
        <v>21</v>
      </c>
      <c r="U56" s="92">
        <f t="shared" si="56"/>
        <v>25.08</v>
      </c>
      <c r="V56" s="103"/>
      <c r="W56" s="162" t="s">
        <v>17</v>
      </c>
      <c r="X56" s="108" t="str">
        <f t="shared" ref="X56" si="76">E56</f>
        <v>cad</v>
      </c>
      <c r="Y56" s="108" t="str">
        <f t="shared" ref="Y56" si="77">F56</f>
        <v>cad</v>
      </c>
      <c r="Z56" s="108">
        <f t="shared" ref="Z56" si="78">G56</f>
        <v>25.81</v>
      </c>
      <c r="AA56" s="108">
        <f t="shared" ref="AA56" si="79">H56</f>
        <v>0</v>
      </c>
      <c r="AB56" s="108">
        <f t="shared" ref="AB56" si="80">I56</f>
        <v>25.81</v>
      </c>
      <c r="AC56" s="108">
        <f t="shared" ref="AC56" si="81">J56</f>
        <v>25.81</v>
      </c>
      <c r="AD56" s="90"/>
      <c r="AE56" s="102" t="s">
        <v>17</v>
      </c>
      <c r="AF56" s="99">
        <f>N56*M56</f>
        <v>25.08</v>
      </c>
      <c r="AG56" s="90"/>
      <c r="AH56" s="90"/>
      <c r="AI56" s="90"/>
    </row>
    <row r="57" spans="1:35" s="11" customFormat="1" ht="14.4">
      <c r="A57" s="18"/>
      <c r="B57" s="201"/>
      <c r="C57" s="95"/>
      <c r="D57" s="95"/>
      <c r="E57" s="95"/>
      <c r="F57" s="95"/>
      <c r="G57" s="168"/>
      <c r="H57" s="118"/>
      <c r="I57" s="95"/>
      <c r="J57" s="95"/>
      <c r="K57" s="103"/>
      <c r="L57" s="162" t="s">
        <v>571</v>
      </c>
      <c r="M57" s="108">
        <v>1</v>
      </c>
      <c r="N57" s="169">
        <v>6.47</v>
      </c>
      <c r="O57" s="168">
        <v>3</v>
      </c>
      <c r="P57" s="92"/>
      <c r="Q57" s="92"/>
      <c r="R57" s="108">
        <f t="shared" si="41"/>
        <v>19.41</v>
      </c>
      <c r="S57" s="146"/>
      <c r="T57" s="108"/>
      <c r="U57" s="108"/>
      <c r="V57" s="103"/>
      <c r="W57" s="162"/>
      <c r="X57" s="108"/>
      <c r="Y57" s="108"/>
      <c r="Z57" s="108"/>
      <c r="AA57" s="108"/>
      <c r="AB57" s="108"/>
      <c r="AC57" s="108"/>
      <c r="AD57" s="90"/>
      <c r="AE57" s="102"/>
      <c r="AF57" s="108"/>
      <c r="AG57" s="90"/>
      <c r="AH57" s="90"/>
      <c r="AI57" s="90"/>
    </row>
    <row r="58" spans="1:35" s="11" customFormat="1" ht="14.4">
      <c r="A58" s="18"/>
      <c r="B58" s="201" t="s">
        <v>585</v>
      </c>
      <c r="C58" s="318" t="s">
        <v>17</v>
      </c>
      <c r="D58" s="95">
        <v>2</v>
      </c>
      <c r="E58" s="95" t="s">
        <v>57</v>
      </c>
      <c r="F58" s="95" t="s">
        <v>57</v>
      </c>
      <c r="G58" s="168">
        <v>30.78</v>
      </c>
      <c r="H58" s="118"/>
      <c r="I58" s="95">
        <f t="shared" si="39"/>
        <v>30.78</v>
      </c>
      <c r="J58" s="95">
        <f t="shared" si="40"/>
        <v>61.56</v>
      </c>
      <c r="K58" s="103"/>
      <c r="L58" s="162" t="s">
        <v>17</v>
      </c>
      <c r="M58" s="108">
        <v>2</v>
      </c>
      <c r="N58" s="169">
        <v>25.13</v>
      </c>
      <c r="O58" s="168">
        <v>3</v>
      </c>
      <c r="P58" s="92"/>
      <c r="Q58" s="92"/>
      <c r="R58" s="108">
        <f t="shared" si="41"/>
        <v>150.78</v>
      </c>
      <c r="S58" s="146"/>
      <c r="T58" s="108" t="s">
        <v>21</v>
      </c>
      <c r="U58" s="92">
        <f t="shared" si="56"/>
        <v>50.26</v>
      </c>
      <c r="V58" s="103"/>
      <c r="W58" s="162" t="s">
        <v>17</v>
      </c>
      <c r="X58" s="108" t="str">
        <f t="shared" si="42"/>
        <v>cad</v>
      </c>
      <c r="Y58" s="108" t="str">
        <f t="shared" si="43"/>
        <v>cad</v>
      </c>
      <c r="Z58" s="108">
        <f t="shared" si="44"/>
        <v>30.78</v>
      </c>
      <c r="AA58" s="108">
        <f t="shared" si="45"/>
        <v>0</v>
      </c>
      <c r="AB58" s="108">
        <f t="shared" si="46"/>
        <v>30.78</v>
      </c>
      <c r="AC58" s="108">
        <f t="shared" si="47"/>
        <v>61.56</v>
      </c>
      <c r="AD58" s="90"/>
      <c r="AE58" s="102" t="s">
        <v>17</v>
      </c>
      <c r="AF58" s="99">
        <f>N58*M58</f>
        <v>50.26</v>
      </c>
      <c r="AG58" s="90"/>
      <c r="AH58" s="90"/>
      <c r="AI58" s="90"/>
    </row>
    <row r="59" spans="1:35" s="11" customFormat="1" ht="14.4">
      <c r="A59" s="18"/>
      <c r="B59" s="201"/>
      <c r="C59" s="95"/>
      <c r="D59" s="95"/>
      <c r="E59" s="95"/>
      <c r="F59" s="95"/>
      <c r="G59" s="168"/>
      <c r="H59" s="118"/>
      <c r="I59" s="95"/>
      <c r="J59" s="95"/>
      <c r="K59" s="103"/>
      <c r="L59" s="162" t="s">
        <v>571</v>
      </c>
      <c r="M59" s="108">
        <v>2</v>
      </c>
      <c r="N59" s="169">
        <v>8.9700000000000006</v>
      </c>
      <c r="O59" s="168">
        <v>3</v>
      </c>
      <c r="P59" s="92"/>
      <c r="Q59" s="92"/>
      <c r="R59" s="108">
        <f t="shared" si="41"/>
        <v>53.820000000000007</v>
      </c>
      <c r="S59" s="146"/>
      <c r="T59" s="108"/>
      <c r="U59" s="108"/>
      <c r="V59" s="103"/>
      <c r="W59" s="162"/>
      <c r="X59" s="108"/>
      <c r="Y59" s="108"/>
      <c r="Z59" s="108"/>
      <c r="AA59" s="108"/>
      <c r="AB59" s="108"/>
      <c r="AC59" s="108"/>
      <c r="AD59" s="90"/>
      <c r="AE59" s="102"/>
      <c r="AF59" s="108"/>
      <c r="AG59" s="90"/>
      <c r="AH59" s="90"/>
      <c r="AI59" s="90"/>
    </row>
    <row r="60" spans="1:35" s="11" customFormat="1" ht="14.4">
      <c r="A60" s="18"/>
      <c r="B60" s="201" t="s">
        <v>578</v>
      </c>
      <c r="C60" s="318" t="s">
        <v>17</v>
      </c>
      <c r="D60" s="95">
        <v>1</v>
      </c>
      <c r="E60" s="95" t="s">
        <v>57</v>
      </c>
      <c r="F60" s="95" t="s">
        <v>57</v>
      </c>
      <c r="G60" s="168">
        <v>16.21</v>
      </c>
      <c r="H60" s="118"/>
      <c r="I60" s="95">
        <f t="shared" si="39"/>
        <v>16.21</v>
      </c>
      <c r="J60" s="95">
        <f t="shared" si="40"/>
        <v>16.21</v>
      </c>
      <c r="K60" s="103"/>
      <c r="L60" s="162" t="s">
        <v>17</v>
      </c>
      <c r="M60" s="108">
        <v>1</v>
      </c>
      <c r="N60" s="169">
        <v>16.77</v>
      </c>
      <c r="O60" s="168">
        <v>3</v>
      </c>
      <c r="P60" s="92"/>
      <c r="Q60" s="92"/>
      <c r="R60" s="108">
        <f t="shared" si="41"/>
        <v>50.31</v>
      </c>
      <c r="S60" s="146"/>
      <c r="T60" s="108" t="s">
        <v>21</v>
      </c>
      <c r="U60" s="92">
        <f t="shared" si="56"/>
        <v>16.77</v>
      </c>
      <c r="V60" s="103"/>
      <c r="W60" s="162" t="s">
        <v>17</v>
      </c>
      <c r="X60" s="108" t="str">
        <f t="shared" si="42"/>
        <v>cad</v>
      </c>
      <c r="Y60" s="108" t="str">
        <f t="shared" si="43"/>
        <v>cad</v>
      </c>
      <c r="Z60" s="108">
        <f t="shared" si="44"/>
        <v>16.21</v>
      </c>
      <c r="AA60" s="108">
        <f t="shared" si="45"/>
        <v>0</v>
      </c>
      <c r="AB60" s="108">
        <f t="shared" si="46"/>
        <v>16.21</v>
      </c>
      <c r="AC60" s="108">
        <f t="shared" si="47"/>
        <v>16.21</v>
      </c>
      <c r="AD60" s="90"/>
      <c r="AE60" s="102" t="s">
        <v>17</v>
      </c>
      <c r="AF60" s="99">
        <f>N60*M60</f>
        <v>16.77</v>
      </c>
      <c r="AG60" s="90"/>
      <c r="AH60" s="90"/>
      <c r="AI60" s="90"/>
    </row>
    <row r="61" spans="1:35" s="11" customFormat="1" ht="14.4">
      <c r="A61" s="18"/>
      <c r="B61" s="201"/>
      <c r="C61" s="95"/>
      <c r="D61" s="95"/>
      <c r="E61" s="95"/>
      <c r="F61" s="95"/>
      <c r="G61" s="168"/>
      <c r="H61" s="118"/>
      <c r="I61" s="95"/>
      <c r="J61" s="95"/>
      <c r="K61" s="103"/>
      <c r="L61" s="162" t="s">
        <v>571</v>
      </c>
      <c r="M61" s="108">
        <v>1</v>
      </c>
      <c r="N61" s="169">
        <v>3.63</v>
      </c>
      <c r="O61" s="168">
        <v>3</v>
      </c>
      <c r="P61" s="92"/>
      <c r="Q61" s="92"/>
      <c r="R61" s="108">
        <f t="shared" si="41"/>
        <v>10.89</v>
      </c>
      <c r="S61" s="146"/>
      <c r="T61" s="108"/>
      <c r="U61" s="108"/>
      <c r="V61" s="103"/>
      <c r="W61" s="162"/>
      <c r="X61" s="108"/>
      <c r="Y61" s="108"/>
      <c r="Z61" s="108"/>
      <c r="AA61" s="108"/>
      <c r="AB61" s="108"/>
      <c r="AC61" s="108"/>
      <c r="AD61" s="90"/>
      <c r="AE61" s="102"/>
      <c r="AF61" s="108"/>
      <c r="AG61" s="90"/>
      <c r="AH61" s="90"/>
      <c r="AI61" s="90"/>
    </row>
    <row r="62" spans="1:35" s="11" customFormat="1" ht="14.4">
      <c r="A62" s="18"/>
      <c r="B62" s="201" t="s">
        <v>579</v>
      </c>
      <c r="C62" s="95" t="s">
        <v>20</v>
      </c>
      <c r="D62" s="95">
        <v>1</v>
      </c>
      <c r="E62" s="95" t="s">
        <v>57</v>
      </c>
      <c r="F62" s="95" t="s">
        <v>57</v>
      </c>
      <c r="G62" s="168">
        <v>5.41</v>
      </c>
      <c r="H62" s="118"/>
      <c r="I62" s="95">
        <f t="shared" si="39"/>
        <v>5.41</v>
      </c>
      <c r="J62" s="95">
        <f t="shared" si="40"/>
        <v>5.41</v>
      </c>
      <c r="K62" s="103"/>
      <c r="L62" s="162" t="s">
        <v>18</v>
      </c>
      <c r="M62" s="108">
        <v>1</v>
      </c>
      <c r="N62" s="169">
        <v>10.08</v>
      </c>
      <c r="O62" s="168">
        <v>2.7</v>
      </c>
      <c r="P62" s="92"/>
      <c r="Q62" s="92"/>
      <c r="R62" s="108">
        <f t="shared" si="41"/>
        <v>27.216000000000001</v>
      </c>
      <c r="S62" s="146"/>
      <c r="T62" s="108" t="s">
        <v>18</v>
      </c>
      <c r="U62" s="163">
        <f t="shared" si="56"/>
        <v>10.08</v>
      </c>
      <c r="V62" s="103"/>
      <c r="W62" s="162" t="s">
        <v>18</v>
      </c>
      <c r="X62" s="108" t="str">
        <f t="shared" si="42"/>
        <v>cad</v>
      </c>
      <c r="Y62" s="108" t="str">
        <f t="shared" si="43"/>
        <v>cad</v>
      </c>
      <c r="Z62" s="108">
        <f t="shared" si="44"/>
        <v>5.41</v>
      </c>
      <c r="AA62" s="108">
        <f t="shared" si="45"/>
        <v>0</v>
      </c>
      <c r="AB62" s="108">
        <f t="shared" si="46"/>
        <v>5.41</v>
      </c>
      <c r="AC62" s="108">
        <f t="shared" si="47"/>
        <v>5.41</v>
      </c>
      <c r="AD62" s="90"/>
      <c r="AE62" s="102" t="s">
        <v>17</v>
      </c>
      <c r="AF62" s="99">
        <f t="shared" ref="AF62:AF69" si="82">N62*M62</f>
        <v>10.08</v>
      </c>
      <c r="AG62" s="90"/>
      <c r="AH62" s="90"/>
      <c r="AI62" s="90"/>
    </row>
    <row r="63" spans="1:35" s="11" customFormat="1" ht="14.4">
      <c r="A63" s="18"/>
      <c r="B63" s="201" t="s">
        <v>580</v>
      </c>
      <c r="C63" s="95" t="s">
        <v>20</v>
      </c>
      <c r="D63" s="95">
        <v>9</v>
      </c>
      <c r="E63" s="95" t="s">
        <v>57</v>
      </c>
      <c r="F63" s="95" t="s">
        <v>57</v>
      </c>
      <c r="G63" s="168">
        <v>4</v>
      </c>
      <c r="H63" s="118"/>
      <c r="I63" s="95">
        <f t="shared" si="39"/>
        <v>4</v>
      </c>
      <c r="J63" s="95">
        <f t="shared" si="40"/>
        <v>36</v>
      </c>
      <c r="K63" s="103"/>
      <c r="L63" s="162" t="s">
        <v>18</v>
      </c>
      <c r="M63" s="108">
        <v>9</v>
      </c>
      <c r="N63" s="169">
        <v>8.1</v>
      </c>
      <c r="O63" s="168">
        <v>2.7</v>
      </c>
      <c r="P63" s="92"/>
      <c r="Q63" s="92"/>
      <c r="R63" s="108">
        <f t="shared" si="41"/>
        <v>196.83</v>
      </c>
      <c r="S63" s="146"/>
      <c r="T63" s="108" t="s">
        <v>18</v>
      </c>
      <c r="U63" s="163">
        <f t="shared" ref="U63:U68" si="83">N63*M63</f>
        <v>72.899999999999991</v>
      </c>
      <c r="V63" s="103"/>
      <c r="W63" s="162" t="s">
        <v>18</v>
      </c>
      <c r="X63" s="108" t="str">
        <f t="shared" si="42"/>
        <v>cad</v>
      </c>
      <c r="Y63" s="108" t="str">
        <f t="shared" si="43"/>
        <v>cad</v>
      </c>
      <c r="Z63" s="108">
        <f t="shared" si="44"/>
        <v>4</v>
      </c>
      <c r="AA63" s="108">
        <f t="shared" si="45"/>
        <v>0</v>
      </c>
      <c r="AB63" s="108">
        <f t="shared" si="46"/>
        <v>4</v>
      </c>
      <c r="AC63" s="108">
        <f t="shared" si="47"/>
        <v>36</v>
      </c>
      <c r="AD63" s="90"/>
      <c r="AE63" s="102" t="s">
        <v>17</v>
      </c>
      <c r="AF63" s="99">
        <f t="shared" si="82"/>
        <v>72.899999999999991</v>
      </c>
      <c r="AG63" s="90"/>
      <c r="AH63" s="90"/>
      <c r="AI63" s="90"/>
    </row>
    <row r="64" spans="1:35" s="11" customFormat="1" ht="14.4">
      <c r="A64" s="18"/>
      <c r="B64" s="201" t="s">
        <v>581</v>
      </c>
      <c r="C64" s="95" t="s">
        <v>20</v>
      </c>
      <c r="D64" s="95">
        <v>2</v>
      </c>
      <c r="E64" s="95" t="s">
        <v>57</v>
      </c>
      <c r="F64" s="95" t="s">
        <v>57</v>
      </c>
      <c r="G64" s="168">
        <v>4.1100000000000003</v>
      </c>
      <c r="H64" s="118"/>
      <c r="I64" s="95">
        <f t="shared" si="39"/>
        <v>4.1100000000000003</v>
      </c>
      <c r="J64" s="95">
        <f t="shared" si="40"/>
        <v>8.2200000000000006</v>
      </c>
      <c r="K64" s="103"/>
      <c r="L64" s="162" t="s">
        <v>18</v>
      </c>
      <c r="M64" s="108">
        <v>2</v>
      </c>
      <c r="N64" s="169">
        <v>8.1999999999999993</v>
      </c>
      <c r="O64" s="168">
        <v>2.7</v>
      </c>
      <c r="P64" s="92"/>
      <c r="Q64" s="92"/>
      <c r="R64" s="108">
        <f t="shared" si="41"/>
        <v>44.28</v>
      </c>
      <c r="S64" s="146"/>
      <c r="T64" s="108" t="s">
        <v>18</v>
      </c>
      <c r="U64" s="163">
        <f t="shared" si="83"/>
        <v>16.399999999999999</v>
      </c>
      <c r="V64" s="103"/>
      <c r="W64" s="162" t="s">
        <v>18</v>
      </c>
      <c r="X64" s="108" t="str">
        <f t="shared" si="42"/>
        <v>cad</v>
      </c>
      <c r="Y64" s="108" t="str">
        <f t="shared" si="43"/>
        <v>cad</v>
      </c>
      <c r="Z64" s="108">
        <f t="shared" si="44"/>
        <v>4.1100000000000003</v>
      </c>
      <c r="AA64" s="108">
        <f t="shared" si="45"/>
        <v>0</v>
      </c>
      <c r="AB64" s="108">
        <f t="shared" si="46"/>
        <v>4.1100000000000003</v>
      </c>
      <c r="AC64" s="108">
        <f t="shared" si="47"/>
        <v>8.2200000000000006</v>
      </c>
      <c r="AD64" s="90"/>
      <c r="AE64" s="102" t="s">
        <v>17</v>
      </c>
      <c r="AF64" s="99">
        <f t="shared" si="82"/>
        <v>16.399999999999999</v>
      </c>
      <c r="AG64" s="90"/>
      <c r="AH64" s="90"/>
      <c r="AI64" s="90"/>
    </row>
    <row r="65" spans="1:35" s="11" customFormat="1" ht="14.4">
      <c r="A65" s="18"/>
      <c r="B65" s="201" t="s">
        <v>581</v>
      </c>
      <c r="C65" s="95" t="s">
        <v>20</v>
      </c>
      <c r="D65" s="95">
        <v>1</v>
      </c>
      <c r="E65" s="95" t="s">
        <v>57</v>
      </c>
      <c r="F65" s="95" t="s">
        <v>57</v>
      </c>
      <c r="G65" s="168">
        <v>4.32</v>
      </c>
      <c r="H65" s="118"/>
      <c r="I65" s="95">
        <f t="shared" si="39"/>
        <v>4.32</v>
      </c>
      <c r="J65" s="95">
        <f t="shared" si="40"/>
        <v>4.32</v>
      </c>
      <c r="K65" s="103"/>
      <c r="L65" s="162" t="s">
        <v>18</v>
      </c>
      <c r="M65" s="108">
        <v>1</v>
      </c>
      <c r="N65" s="169">
        <v>8.2200000000000006</v>
      </c>
      <c r="O65" s="168">
        <v>2.7</v>
      </c>
      <c r="P65" s="92"/>
      <c r="Q65" s="92"/>
      <c r="R65" s="108">
        <f t="shared" si="41"/>
        <v>22.194000000000003</v>
      </c>
      <c r="S65" s="146"/>
      <c r="T65" s="108" t="s">
        <v>18</v>
      </c>
      <c r="U65" s="163">
        <f t="shared" si="83"/>
        <v>8.2200000000000006</v>
      </c>
      <c r="V65" s="103"/>
      <c r="W65" s="162" t="s">
        <v>18</v>
      </c>
      <c r="X65" s="108" t="str">
        <f t="shared" si="42"/>
        <v>cad</v>
      </c>
      <c r="Y65" s="108" t="str">
        <f t="shared" si="43"/>
        <v>cad</v>
      </c>
      <c r="Z65" s="108">
        <f t="shared" si="44"/>
        <v>4.32</v>
      </c>
      <c r="AA65" s="108">
        <f t="shared" si="45"/>
        <v>0</v>
      </c>
      <c r="AB65" s="108">
        <f t="shared" si="46"/>
        <v>4.32</v>
      </c>
      <c r="AC65" s="108">
        <f t="shared" si="47"/>
        <v>4.32</v>
      </c>
      <c r="AD65" s="90"/>
      <c r="AE65" s="102" t="s">
        <v>17</v>
      </c>
      <c r="AF65" s="99">
        <f t="shared" si="82"/>
        <v>8.2200000000000006</v>
      </c>
      <c r="AG65" s="90"/>
      <c r="AH65" s="90"/>
      <c r="AI65" s="90"/>
    </row>
    <row r="66" spans="1:35" s="11" customFormat="1" ht="14.4">
      <c r="A66" s="18"/>
      <c r="B66" s="201" t="s">
        <v>581</v>
      </c>
      <c r="C66" s="95" t="s">
        <v>20</v>
      </c>
      <c r="D66" s="95">
        <v>1</v>
      </c>
      <c r="E66" s="95" t="s">
        <v>57</v>
      </c>
      <c r="F66" s="95" t="s">
        <v>57</v>
      </c>
      <c r="G66" s="168">
        <v>5.34</v>
      </c>
      <c r="H66" s="118"/>
      <c r="I66" s="95">
        <f t="shared" si="39"/>
        <v>5.34</v>
      </c>
      <c r="J66" s="95">
        <f t="shared" si="40"/>
        <v>5.34</v>
      </c>
      <c r="K66" s="103"/>
      <c r="L66" s="162" t="s">
        <v>18</v>
      </c>
      <c r="M66" s="108">
        <v>1</v>
      </c>
      <c r="N66" s="169">
        <v>10</v>
      </c>
      <c r="O66" s="168">
        <v>2.7</v>
      </c>
      <c r="P66" s="92"/>
      <c r="Q66" s="92"/>
      <c r="R66" s="108">
        <f t="shared" si="41"/>
        <v>27</v>
      </c>
      <c r="S66" s="146"/>
      <c r="T66" s="108" t="s">
        <v>18</v>
      </c>
      <c r="U66" s="163">
        <f t="shared" si="83"/>
        <v>10</v>
      </c>
      <c r="V66" s="103"/>
      <c r="W66" s="162" t="s">
        <v>18</v>
      </c>
      <c r="X66" s="108" t="str">
        <f t="shared" ref="X66:X68" si="84">E66</f>
        <v>cad</v>
      </c>
      <c r="Y66" s="108" t="str">
        <f t="shared" ref="Y66:Y68" si="85">F66</f>
        <v>cad</v>
      </c>
      <c r="Z66" s="108">
        <f t="shared" ref="Z66:Z68" si="86">G66</f>
        <v>5.34</v>
      </c>
      <c r="AA66" s="108">
        <f t="shared" ref="AA66:AA68" si="87">H66</f>
        <v>0</v>
      </c>
      <c r="AB66" s="108">
        <f t="shared" ref="AB66:AB68" si="88">I66</f>
        <v>5.34</v>
      </c>
      <c r="AC66" s="108">
        <f t="shared" ref="AC66:AC68" si="89">J66</f>
        <v>5.34</v>
      </c>
      <c r="AD66" s="90"/>
      <c r="AE66" s="102" t="s">
        <v>17</v>
      </c>
      <c r="AF66" s="99">
        <f t="shared" si="82"/>
        <v>10</v>
      </c>
      <c r="AG66" s="90"/>
      <c r="AH66" s="90"/>
      <c r="AI66" s="90"/>
    </row>
    <row r="67" spans="1:35" s="11" customFormat="1" ht="14.4">
      <c r="A67" s="18"/>
      <c r="B67" s="201" t="s">
        <v>588</v>
      </c>
      <c r="C67" s="95" t="s">
        <v>20</v>
      </c>
      <c r="D67" s="95">
        <v>1</v>
      </c>
      <c r="E67" s="95" t="s">
        <v>57</v>
      </c>
      <c r="F67" s="95" t="s">
        <v>57</v>
      </c>
      <c r="G67" s="168">
        <v>5.24</v>
      </c>
      <c r="H67" s="118"/>
      <c r="I67" s="95">
        <f t="shared" ref="I67:I68" si="90">(G67-H67)</f>
        <v>5.24</v>
      </c>
      <c r="J67" s="95">
        <f t="shared" ref="J67:J68" si="91">I67*D67</f>
        <v>5.24</v>
      </c>
      <c r="K67" s="103"/>
      <c r="L67" s="162" t="s">
        <v>18</v>
      </c>
      <c r="M67" s="108">
        <v>1</v>
      </c>
      <c r="N67" s="169">
        <v>10.06</v>
      </c>
      <c r="O67" s="168">
        <v>2.7</v>
      </c>
      <c r="P67" s="92"/>
      <c r="Q67" s="92"/>
      <c r="R67" s="108">
        <f t="shared" si="41"/>
        <v>27.162000000000003</v>
      </c>
      <c r="S67" s="146"/>
      <c r="T67" s="108" t="s">
        <v>18</v>
      </c>
      <c r="U67" s="163">
        <f t="shared" si="83"/>
        <v>10.06</v>
      </c>
      <c r="V67" s="103"/>
      <c r="W67" s="162" t="s">
        <v>18</v>
      </c>
      <c r="X67" s="108" t="str">
        <f t="shared" si="84"/>
        <v>cad</v>
      </c>
      <c r="Y67" s="108" t="str">
        <f t="shared" si="85"/>
        <v>cad</v>
      </c>
      <c r="Z67" s="108">
        <f t="shared" si="86"/>
        <v>5.24</v>
      </c>
      <c r="AA67" s="108">
        <f t="shared" si="87"/>
        <v>0</v>
      </c>
      <c r="AB67" s="108">
        <f t="shared" si="88"/>
        <v>5.24</v>
      </c>
      <c r="AC67" s="108">
        <f t="shared" si="89"/>
        <v>5.24</v>
      </c>
      <c r="AD67" s="90"/>
      <c r="AE67" s="102" t="s">
        <v>17</v>
      </c>
      <c r="AF67" s="99">
        <f t="shared" si="82"/>
        <v>10.06</v>
      </c>
      <c r="AG67" s="90"/>
      <c r="AH67" s="90"/>
      <c r="AI67" s="90"/>
    </row>
    <row r="68" spans="1:35" s="11" customFormat="1" ht="14.4">
      <c r="A68" s="18"/>
      <c r="B68" s="201" t="s">
        <v>588</v>
      </c>
      <c r="C68" s="95" t="s">
        <v>20</v>
      </c>
      <c r="D68" s="95">
        <v>1</v>
      </c>
      <c r="E68" s="95" t="s">
        <v>57</v>
      </c>
      <c r="F68" s="95" t="s">
        <v>57</v>
      </c>
      <c r="G68" s="168">
        <v>4.62</v>
      </c>
      <c r="H68" s="118"/>
      <c r="I68" s="95">
        <f t="shared" si="90"/>
        <v>4.62</v>
      </c>
      <c r="J68" s="95">
        <f t="shared" si="91"/>
        <v>4.62</v>
      </c>
      <c r="K68" s="103"/>
      <c r="L68" s="162" t="s">
        <v>18</v>
      </c>
      <c r="M68" s="108">
        <v>1</v>
      </c>
      <c r="N68" s="169">
        <v>10.02</v>
      </c>
      <c r="O68" s="168">
        <v>2.7</v>
      </c>
      <c r="P68" s="92"/>
      <c r="Q68" s="92"/>
      <c r="R68" s="108">
        <f t="shared" si="41"/>
        <v>27.054000000000002</v>
      </c>
      <c r="S68" s="146"/>
      <c r="T68" s="108" t="s">
        <v>18</v>
      </c>
      <c r="U68" s="163">
        <f t="shared" si="83"/>
        <v>10.02</v>
      </c>
      <c r="V68" s="103"/>
      <c r="W68" s="162" t="s">
        <v>18</v>
      </c>
      <c r="X68" s="108" t="str">
        <f t="shared" si="84"/>
        <v>cad</v>
      </c>
      <c r="Y68" s="108" t="str">
        <f t="shared" si="85"/>
        <v>cad</v>
      </c>
      <c r="Z68" s="108">
        <f t="shared" si="86"/>
        <v>4.62</v>
      </c>
      <c r="AA68" s="108">
        <f t="shared" si="87"/>
        <v>0</v>
      </c>
      <c r="AB68" s="108">
        <f t="shared" si="88"/>
        <v>4.62</v>
      </c>
      <c r="AC68" s="108">
        <f t="shared" si="89"/>
        <v>4.62</v>
      </c>
      <c r="AD68" s="90"/>
      <c r="AE68" s="102" t="s">
        <v>17</v>
      </c>
      <c r="AF68" s="99">
        <f t="shared" si="82"/>
        <v>10.02</v>
      </c>
      <c r="AG68" s="90"/>
      <c r="AH68" s="90"/>
      <c r="AI68" s="90"/>
    </row>
    <row r="69" spans="1:35" s="11" customFormat="1" ht="14.4">
      <c r="A69" s="18"/>
      <c r="B69" s="201" t="s">
        <v>119</v>
      </c>
      <c r="C69" s="95" t="s">
        <v>22</v>
      </c>
      <c r="D69" s="95">
        <v>1</v>
      </c>
      <c r="E69" s="95" t="s">
        <v>57</v>
      </c>
      <c r="F69" s="95" t="s">
        <v>57</v>
      </c>
      <c r="G69" s="168">
        <v>8.1300000000000008</v>
      </c>
      <c r="H69" s="118"/>
      <c r="I69" s="95">
        <f t="shared" ref="I69" si="92">(G69-H69)</f>
        <v>8.1300000000000008</v>
      </c>
      <c r="J69" s="95">
        <f t="shared" ref="J69" si="93">I69*D69</f>
        <v>8.1300000000000008</v>
      </c>
      <c r="K69" s="103"/>
      <c r="L69" s="162" t="s">
        <v>20</v>
      </c>
      <c r="M69" s="108">
        <v>1</v>
      </c>
      <c r="N69" s="169">
        <v>12.65</v>
      </c>
      <c r="O69" s="168">
        <v>2.7</v>
      </c>
      <c r="P69" s="92"/>
      <c r="Q69" s="92"/>
      <c r="R69" s="108">
        <f t="shared" si="41"/>
        <v>34.155000000000001</v>
      </c>
      <c r="S69" s="146"/>
      <c r="T69" s="108"/>
      <c r="U69" s="108"/>
      <c r="V69" s="103"/>
      <c r="W69" s="162" t="s">
        <v>18</v>
      </c>
      <c r="X69" s="108" t="str">
        <f t="shared" ref="X69" si="94">E69</f>
        <v>cad</v>
      </c>
      <c r="Y69" s="108" t="str">
        <f t="shared" ref="Y69" si="95">F69</f>
        <v>cad</v>
      </c>
      <c r="Z69" s="108">
        <f t="shared" ref="Z69" si="96">G69</f>
        <v>8.1300000000000008</v>
      </c>
      <c r="AA69" s="108">
        <f t="shared" ref="AA69" si="97">H69</f>
        <v>0</v>
      </c>
      <c r="AB69" s="108">
        <f t="shared" ref="AB69" si="98">I69</f>
        <v>8.1300000000000008</v>
      </c>
      <c r="AC69" s="108">
        <f t="shared" ref="AC69" si="99">J69</f>
        <v>8.1300000000000008</v>
      </c>
      <c r="AD69" s="90"/>
      <c r="AE69" s="102" t="s">
        <v>17</v>
      </c>
      <c r="AF69" s="99">
        <f t="shared" si="82"/>
        <v>12.65</v>
      </c>
      <c r="AG69" s="90"/>
      <c r="AH69" s="90"/>
      <c r="AI69" s="90"/>
    </row>
    <row r="70" spans="1:35" s="11" customFormat="1" ht="14.4">
      <c r="A70" s="18"/>
      <c r="B70" s="138" t="s">
        <v>155</v>
      </c>
      <c r="C70" s="95" t="s">
        <v>20</v>
      </c>
      <c r="D70" s="95">
        <v>1</v>
      </c>
      <c r="E70" s="95" t="s">
        <v>57</v>
      </c>
      <c r="F70" s="95" t="s">
        <v>57</v>
      </c>
      <c r="G70" s="95">
        <v>2.8</v>
      </c>
      <c r="H70" s="118"/>
      <c r="I70" s="95">
        <f t="shared" ref="I70:I74" si="100">(G70-H70)</f>
        <v>2.8</v>
      </c>
      <c r="J70" s="95">
        <f t="shared" ref="J70:J74" si="101">I70*D70</f>
        <v>2.8</v>
      </c>
      <c r="K70" s="103"/>
      <c r="L70" s="162" t="s">
        <v>18</v>
      </c>
      <c r="M70" s="108">
        <v>1</v>
      </c>
      <c r="N70" s="145">
        <v>6.85</v>
      </c>
      <c r="O70" s="123">
        <v>2.7</v>
      </c>
      <c r="P70" s="92"/>
      <c r="Q70" s="92"/>
      <c r="R70" s="108">
        <f t="shared" ref="R70:R74" si="102">(N70*O70-P70)*M70</f>
        <v>18.495000000000001</v>
      </c>
      <c r="S70" s="146"/>
      <c r="T70" s="108" t="s">
        <v>18</v>
      </c>
      <c r="U70" s="163">
        <f t="shared" ref="U70:U72" si="103">N70*M70</f>
        <v>6.85</v>
      </c>
      <c r="V70" s="103"/>
      <c r="W70" s="162" t="s">
        <v>18</v>
      </c>
      <c r="X70" s="108" t="str">
        <f t="shared" ref="X70:X74" si="104">E70</f>
        <v>cad</v>
      </c>
      <c r="Y70" s="108" t="str">
        <f t="shared" ref="Y70:Y74" si="105">F70</f>
        <v>cad</v>
      </c>
      <c r="Z70" s="108">
        <f t="shared" ref="Z70:Z74" si="106">G70</f>
        <v>2.8</v>
      </c>
      <c r="AA70" s="108">
        <f t="shared" ref="AA70:AA74" si="107">H70</f>
        <v>0</v>
      </c>
      <c r="AB70" s="108">
        <f t="shared" ref="AB70:AB74" si="108">I70</f>
        <v>2.8</v>
      </c>
      <c r="AC70" s="108">
        <f t="shared" ref="AC70:AC74" si="109">J70</f>
        <v>2.8</v>
      </c>
      <c r="AD70" s="90"/>
      <c r="AE70" s="102" t="s">
        <v>357</v>
      </c>
      <c r="AF70" s="99">
        <f t="shared" ref="AF70:AF72" si="110">N70*M70</f>
        <v>6.85</v>
      </c>
      <c r="AG70" s="90"/>
      <c r="AH70" s="90"/>
      <c r="AI70" s="90"/>
    </row>
    <row r="71" spans="1:35" s="11" customFormat="1" ht="14.4">
      <c r="A71" s="18"/>
      <c r="B71" s="138" t="s">
        <v>582</v>
      </c>
      <c r="C71" s="95" t="s">
        <v>20</v>
      </c>
      <c r="D71" s="95">
        <v>1</v>
      </c>
      <c r="E71" s="95" t="s">
        <v>57</v>
      </c>
      <c r="F71" s="95" t="s">
        <v>57</v>
      </c>
      <c r="G71" s="95">
        <v>2.8</v>
      </c>
      <c r="H71" s="118"/>
      <c r="I71" s="95">
        <f t="shared" si="100"/>
        <v>2.8</v>
      </c>
      <c r="J71" s="95">
        <f t="shared" si="101"/>
        <v>2.8</v>
      </c>
      <c r="K71" s="103"/>
      <c r="L71" s="162" t="s">
        <v>18</v>
      </c>
      <c r="M71" s="108">
        <v>1</v>
      </c>
      <c r="N71" s="145">
        <v>6.85</v>
      </c>
      <c r="O71" s="123">
        <v>2.7</v>
      </c>
      <c r="P71" s="92"/>
      <c r="Q71" s="92"/>
      <c r="R71" s="108">
        <f t="shared" si="102"/>
        <v>18.495000000000001</v>
      </c>
      <c r="S71" s="146"/>
      <c r="T71" s="108" t="s">
        <v>18</v>
      </c>
      <c r="U71" s="163">
        <f t="shared" si="103"/>
        <v>6.85</v>
      </c>
      <c r="V71" s="103"/>
      <c r="W71" s="162" t="s">
        <v>18</v>
      </c>
      <c r="X71" s="108" t="str">
        <f t="shared" si="104"/>
        <v>cad</v>
      </c>
      <c r="Y71" s="108" t="str">
        <f t="shared" si="105"/>
        <v>cad</v>
      </c>
      <c r="Z71" s="108">
        <f t="shared" si="106"/>
        <v>2.8</v>
      </c>
      <c r="AA71" s="108">
        <f t="shared" si="107"/>
        <v>0</v>
      </c>
      <c r="AB71" s="108">
        <f t="shared" si="108"/>
        <v>2.8</v>
      </c>
      <c r="AC71" s="108">
        <f t="shared" si="109"/>
        <v>2.8</v>
      </c>
      <c r="AD71" s="90"/>
      <c r="AE71" s="102" t="s">
        <v>357</v>
      </c>
      <c r="AF71" s="99">
        <f t="shared" si="110"/>
        <v>6.85</v>
      </c>
      <c r="AG71" s="90"/>
      <c r="AH71" s="90"/>
      <c r="AI71" s="90"/>
    </row>
    <row r="72" spans="1:35" s="11" customFormat="1" ht="14.4">
      <c r="A72" s="18"/>
      <c r="B72" s="138" t="s">
        <v>156</v>
      </c>
      <c r="C72" s="95" t="s">
        <v>17</v>
      </c>
      <c r="D72" s="95">
        <v>1</v>
      </c>
      <c r="E72" s="95" t="s">
        <v>57</v>
      </c>
      <c r="F72" s="95" t="s">
        <v>57</v>
      </c>
      <c r="G72" s="123">
        <v>7.51</v>
      </c>
      <c r="H72" s="118"/>
      <c r="I72" s="95">
        <f t="shared" ref="I72" si="111">(G72-H72)</f>
        <v>7.51</v>
      </c>
      <c r="J72" s="95">
        <f t="shared" ref="J72" si="112">I72*D72</f>
        <v>7.51</v>
      </c>
      <c r="K72" s="103"/>
      <c r="L72" s="162" t="s">
        <v>17</v>
      </c>
      <c r="M72" s="108">
        <v>1</v>
      </c>
      <c r="N72" s="162">
        <v>11.18</v>
      </c>
      <c r="O72" s="123">
        <v>2.7</v>
      </c>
      <c r="P72" s="92"/>
      <c r="Q72" s="92"/>
      <c r="R72" s="108">
        <f t="shared" ref="R72" si="113">(N72*O72-P72)*M72</f>
        <v>30.186</v>
      </c>
      <c r="S72" s="146"/>
      <c r="T72" s="108" t="s">
        <v>17</v>
      </c>
      <c r="U72" s="163">
        <f t="shared" si="103"/>
        <v>11.18</v>
      </c>
      <c r="V72" s="103"/>
      <c r="W72" s="162" t="s">
        <v>17</v>
      </c>
      <c r="X72" s="108" t="str">
        <f t="shared" ref="X72" si="114">E72</f>
        <v>cad</v>
      </c>
      <c r="Y72" s="108" t="str">
        <f t="shared" ref="Y72" si="115">F72</f>
        <v>cad</v>
      </c>
      <c r="Z72" s="108">
        <f t="shared" ref="Z72" si="116">G72</f>
        <v>7.51</v>
      </c>
      <c r="AA72" s="108">
        <f t="shared" ref="AA72" si="117">H72</f>
        <v>0</v>
      </c>
      <c r="AB72" s="108">
        <f t="shared" ref="AB72" si="118">I72</f>
        <v>7.51</v>
      </c>
      <c r="AC72" s="108">
        <f t="shared" ref="AC72" si="119">J72</f>
        <v>7.51</v>
      </c>
      <c r="AD72" s="90"/>
      <c r="AE72" s="102" t="s">
        <v>357</v>
      </c>
      <c r="AF72" s="99">
        <f t="shared" si="110"/>
        <v>11.18</v>
      </c>
      <c r="AG72" s="90"/>
      <c r="AH72" s="90"/>
      <c r="AI72" s="90"/>
    </row>
    <row r="73" spans="1:35" s="11" customFormat="1" ht="14.4">
      <c r="A73" s="18"/>
      <c r="B73" s="138" t="s">
        <v>126</v>
      </c>
      <c r="C73" s="95" t="s">
        <v>17</v>
      </c>
      <c r="D73" s="95">
        <v>1</v>
      </c>
      <c r="E73" s="95" t="s">
        <v>57</v>
      </c>
      <c r="F73" s="95" t="s">
        <v>57</v>
      </c>
      <c r="G73" s="123">
        <v>2.4700000000000002</v>
      </c>
      <c r="H73" s="118"/>
      <c r="I73" s="95">
        <f t="shared" si="100"/>
        <v>2.4700000000000002</v>
      </c>
      <c r="J73" s="95">
        <f t="shared" si="101"/>
        <v>2.4700000000000002</v>
      </c>
      <c r="K73" s="103"/>
      <c r="L73" s="162" t="s">
        <v>17</v>
      </c>
      <c r="M73" s="108">
        <v>1</v>
      </c>
      <c r="N73" s="145">
        <v>8.1</v>
      </c>
      <c r="O73" s="123">
        <v>2.7</v>
      </c>
      <c r="P73" s="92"/>
      <c r="Q73" s="92"/>
      <c r="R73" s="108">
        <f t="shared" si="102"/>
        <v>21.87</v>
      </c>
      <c r="S73" s="146"/>
      <c r="T73" s="108" t="s">
        <v>357</v>
      </c>
      <c r="U73" s="163">
        <f>N73*M73</f>
        <v>8.1</v>
      </c>
      <c r="V73" s="103"/>
      <c r="W73" s="162" t="s">
        <v>19</v>
      </c>
      <c r="X73" s="108" t="str">
        <f t="shared" si="104"/>
        <v>cad</v>
      </c>
      <c r="Y73" s="108" t="str">
        <f t="shared" si="105"/>
        <v>cad</v>
      </c>
      <c r="Z73" s="108">
        <f t="shared" si="106"/>
        <v>2.4700000000000002</v>
      </c>
      <c r="AA73" s="108">
        <f t="shared" si="107"/>
        <v>0</v>
      </c>
      <c r="AB73" s="108">
        <f t="shared" si="108"/>
        <v>2.4700000000000002</v>
      </c>
      <c r="AC73" s="108">
        <f t="shared" si="109"/>
        <v>2.4700000000000002</v>
      </c>
      <c r="AD73" s="90"/>
      <c r="AE73" s="102"/>
      <c r="AF73" s="108"/>
      <c r="AG73" s="90"/>
      <c r="AH73" s="90"/>
      <c r="AI73" s="90"/>
    </row>
    <row r="74" spans="1:35" s="11" customFormat="1" ht="14.4">
      <c r="A74" s="18"/>
      <c r="B74" s="138" t="s">
        <v>133</v>
      </c>
      <c r="C74" s="95" t="s">
        <v>17</v>
      </c>
      <c r="D74" s="95">
        <v>1</v>
      </c>
      <c r="E74" s="95" t="s">
        <v>57</v>
      </c>
      <c r="F74" s="95" t="s">
        <v>57</v>
      </c>
      <c r="G74" s="123">
        <v>26.91</v>
      </c>
      <c r="H74" s="118"/>
      <c r="I74" s="95">
        <f t="shared" si="100"/>
        <v>26.91</v>
      </c>
      <c r="J74" s="95">
        <f t="shared" si="101"/>
        <v>26.91</v>
      </c>
      <c r="K74" s="103"/>
      <c r="L74" s="162" t="s">
        <v>17</v>
      </c>
      <c r="M74" s="108">
        <v>1</v>
      </c>
      <c r="N74" s="145">
        <v>29.55</v>
      </c>
      <c r="O74" s="123">
        <v>2.7</v>
      </c>
      <c r="P74" s="92"/>
      <c r="Q74" s="92"/>
      <c r="R74" s="108">
        <f t="shared" si="102"/>
        <v>79.785000000000011</v>
      </c>
      <c r="S74" s="146"/>
      <c r="T74" s="108" t="s">
        <v>357</v>
      </c>
      <c r="U74" s="92">
        <f>N74*M74</f>
        <v>29.55</v>
      </c>
      <c r="V74" s="103"/>
      <c r="W74" s="162" t="s">
        <v>17</v>
      </c>
      <c r="X74" s="108" t="str">
        <f t="shared" si="104"/>
        <v>cad</v>
      </c>
      <c r="Y74" s="108" t="str">
        <f t="shared" si="105"/>
        <v>cad</v>
      </c>
      <c r="Z74" s="108">
        <f t="shared" si="106"/>
        <v>26.91</v>
      </c>
      <c r="AA74" s="108">
        <f t="shared" si="107"/>
        <v>0</v>
      </c>
      <c r="AB74" s="108">
        <f t="shared" si="108"/>
        <v>26.91</v>
      </c>
      <c r="AC74" s="108">
        <f t="shared" si="109"/>
        <v>26.91</v>
      </c>
      <c r="AD74" s="90"/>
      <c r="AE74" s="102" t="s">
        <v>357</v>
      </c>
      <c r="AF74" s="99">
        <f>N74*M74</f>
        <v>29.55</v>
      </c>
      <c r="AG74" s="90"/>
      <c r="AH74" s="90"/>
      <c r="AI74" s="90"/>
    </row>
    <row r="75" spans="1:35" s="11" customFormat="1" ht="14.4">
      <c r="A75" s="18"/>
      <c r="B75" s="138" t="s">
        <v>66</v>
      </c>
      <c r="C75" s="95" t="s">
        <v>24</v>
      </c>
      <c r="D75" s="95">
        <v>1</v>
      </c>
      <c r="E75" s="95" t="s">
        <v>57</v>
      </c>
      <c r="F75" s="95" t="s">
        <v>57</v>
      </c>
      <c r="G75" s="123">
        <v>40.909999999999997</v>
      </c>
      <c r="H75" s="118"/>
      <c r="I75" s="95">
        <f t="shared" ref="I75:I79" si="120">(G75-H75)</f>
        <v>40.909999999999997</v>
      </c>
      <c r="J75" s="95">
        <f t="shared" ref="J75:J85" si="121">I75*D75</f>
        <v>40.909999999999997</v>
      </c>
      <c r="K75" s="103"/>
      <c r="L75" s="162" t="s">
        <v>339</v>
      </c>
      <c r="M75" s="108">
        <v>1</v>
      </c>
      <c r="N75" s="95">
        <v>26.71</v>
      </c>
      <c r="O75" s="123">
        <v>3.9</v>
      </c>
      <c r="P75" s="92"/>
      <c r="Q75" s="92"/>
      <c r="R75" s="108">
        <f t="shared" ref="R75:R87" si="122">(N75*O75-P75)*M75</f>
        <v>104.169</v>
      </c>
      <c r="S75" s="146"/>
      <c r="T75" s="108" t="s">
        <v>20</v>
      </c>
      <c r="U75" s="92">
        <f>N75*M75</f>
        <v>26.71</v>
      </c>
      <c r="V75" s="103"/>
      <c r="W75" s="162" t="s">
        <v>20</v>
      </c>
      <c r="X75" s="108" t="str">
        <f t="shared" ref="X75:X87" si="123">E75</f>
        <v>cad</v>
      </c>
      <c r="Y75" s="108" t="str">
        <f t="shared" ref="Y75:Y87" si="124">F75</f>
        <v>cad</v>
      </c>
      <c r="Z75" s="108">
        <f t="shared" ref="Z75:Z87" si="125">G75</f>
        <v>40.909999999999997</v>
      </c>
      <c r="AA75" s="108">
        <f t="shared" ref="AA75:AA87" si="126">H75</f>
        <v>0</v>
      </c>
      <c r="AB75" s="108">
        <f t="shared" ref="AB75:AB87" si="127">I75</f>
        <v>40.909999999999997</v>
      </c>
      <c r="AC75" s="108">
        <f t="shared" ref="AC75:AC87" si="128">J75</f>
        <v>40.909999999999997</v>
      </c>
      <c r="AD75" s="90"/>
      <c r="AE75" s="102"/>
      <c r="AF75" s="108"/>
      <c r="AG75" s="90"/>
      <c r="AH75" s="90"/>
      <c r="AI75" s="90"/>
    </row>
    <row r="76" spans="1:35" s="11" customFormat="1" ht="14.4">
      <c r="A76" s="18"/>
      <c r="B76" s="138"/>
      <c r="C76" s="95" t="s">
        <v>24</v>
      </c>
      <c r="D76" s="95">
        <v>1</v>
      </c>
      <c r="E76" s="95" t="s">
        <v>57</v>
      </c>
      <c r="F76" s="95" t="s">
        <v>57</v>
      </c>
      <c r="G76" s="123">
        <v>9.7100000000000009</v>
      </c>
      <c r="H76" s="118"/>
      <c r="I76" s="95">
        <f t="shared" ref="I76" si="129">(G76-H76)</f>
        <v>9.7100000000000009</v>
      </c>
      <c r="J76" s="95">
        <f t="shared" ref="J76" si="130">I76*D76</f>
        <v>9.7100000000000009</v>
      </c>
      <c r="K76" s="103"/>
      <c r="L76" s="162"/>
      <c r="M76" s="108"/>
      <c r="N76" s="95"/>
      <c r="O76" s="95"/>
      <c r="P76" s="92"/>
      <c r="Q76" s="92"/>
      <c r="R76" s="108"/>
      <c r="S76" s="146"/>
      <c r="T76" s="108"/>
      <c r="U76" s="92"/>
      <c r="V76" s="103"/>
      <c r="W76" s="162"/>
      <c r="X76" s="108"/>
      <c r="Y76" s="108"/>
      <c r="Z76" s="108"/>
      <c r="AA76" s="108"/>
      <c r="AB76" s="108"/>
      <c r="AC76" s="108"/>
      <c r="AD76" s="90"/>
      <c r="AE76" s="102"/>
      <c r="AF76" s="108"/>
      <c r="AG76" s="90"/>
      <c r="AH76" s="90"/>
      <c r="AI76" s="90"/>
    </row>
    <row r="77" spans="1:35" s="11" customFormat="1" ht="14.4">
      <c r="A77" s="18"/>
      <c r="B77" s="118" t="s">
        <v>134</v>
      </c>
      <c r="C77" s="95"/>
      <c r="D77" s="95"/>
      <c r="E77" s="95"/>
      <c r="F77" s="95"/>
      <c r="G77" s="95"/>
      <c r="H77" s="118"/>
      <c r="I77" s="95"/>
      <c r="J77" s="217"/>
      <c r="K77" s="103"/>
      <c r="L77" s="108"/>
      <c r="M77" s="108"/>
      <c r="N77" s="108"/>
      <c r="O77" s="108"/>
      <c r="P77" s="92"/>
      <c r="Q77" s="92"/>
      <c r="R77" s="108"/>
      <c r="S77" s="146"/>
      <c r="T77" s="108"/>
      <c r="U77" s="108"/>
      <c r="V77" s="103"/>
      <c r="W77" s="108"/>
      <c r="X77" s="108"/>
      <c r="Y77" s="108"/>
      <c r="Z77" s="108"/>
      <c r="AA77" s="108"/>
      <c r="AB77" s="108"/>
      <c r="AC77" s="108"/>
      <c r="AD77" s="90"/>
      <c r="AE77" s="102"/>
      <c r="AF77" s="108"/>
      <c r="AG77" s="90"/>
      <c r="AH77" s="90"/>
      <c r="AI77" s="90"/>
    </row>
    <row r="78" spans="1:35" s="11" customFormat="1" ht="14.4">
      <c r="A78" s="18"/>
      <c r="B78" s="118" t="s">
        <v>135</v>
      </c>
      <c r="C78" s="95"/>
      <c r="D78" s="95"/>
      <c r="E78" s="95"/>
      <c r="F78" s="95"/>
      <c r="G78" s="95"/>
      <c r="H78" s="118"/>
      <c r="I78" s="95"/>
      <c r="J78" s="217"/>
      <c r="K78" s="103"/>
      <c r="L78" s="108"/>
      <c r="M78" s="108"/>
      <c r="N78" s="108"/>
      <c r="O78" s="108"/>
      <c r="P78" s="92"/>
      <c r="Q78" s="92"/>
      <c r="R78" s="108"/>
      <c r="S78" s="146"/>
      <c r="T78" s="108"/>
      <c r="U78" s="108"/>
      <c r="V78" s="103"/>
      <c r="W78" s="108"/>
      <c r="X78" s="108"/>
      <c r="Y78" s="108"/>
      <c r="Z78" s="108"/>
      <c r="AA78" s="108"/>
      <c r="AB78" s="108"/>
      <c r="AC78" s="108"/>
      <c r="AD78" s="90"/>
      <c r="AE78" s="102"/>
      <c r="AF78" s="108"/>
      <c r="AG78" s="90"/>
      <c r="AH78" s="90"/>
      <c r="AI78" s="90"/>
    </row>
    <row r="79" spans="1:35" s="11" customFormat="1" ht="14.4">
      <c r="A79" s="18"/>
      <c r="B79" s="138" t="s">
        <v>158</v>
      </c>
      <c r="C79" s="318" t="s">
        <v>17</v>
      </c>
      <c r="D79" s="95">
        <v>1</v>
      </c>
      <c r="E79" s="95" t="s">
        <v>57</v>
      </c>
      <c r="F79" s="95" t="s">
        <v>57</v>
      </c>
      <c r="G79" s="123">
        <v>75.5</v>
      </c>
      <c r="H79" s="118"/>
      <c r="I79" s="95">
        <f t="shared" si="120"/>
        <v>75.5</v>
      </c>
      <c r="J79" s="95">
        <f t="shared" si="121"/>
        <v>75.5</v>
      </c>
      <c r="K79" s="103"/>
      <c r="L79" s="162" t="s">
        <v>17</v>
      </c>
      <c r="M79" s="108">
        <v>1</v>
      </c>
      <c r="N79" s="145">
        <f>65.4-2.5</f>
        <v>62.900000000000006</v>
      </c>
      <c r="O79" s="95">
        <v>2.8</v>
      </c>
      <c r="P79" s="92"/>
      <c r="Q79" s="92"/>
      <c r="R79" s="108">
        <f t="shared" si="122"/>
        <v>176.12</v>
      </c>
      <c r="S79" s="146"/>
      <c r="T79" s="108" t="s">
        <v>21</v>
      </c>
      <c r="U79" s="163">
        <f>N79*M79</f>
        <v>62.900000000000006</v>
      </c>
      <c r="V79" s="103"/>
      <c r="W79" s="162" t="s">
        <v>17</v>
      </c>
      <c r="X79" s="108" t="str">
        <f t="shared" si="123"/>
        <v>cad</v>
      </c>
      <c r="Y79" s="108" t="str">
        <f t="shared" si="124"/>
        <v>cad</v>
      </c>
      <c r="Z79" s="108">
        <f t="shared" si="125"/>
        <v>75.5</v>
      </c>
      <c r="AA79" s="108">
        <f t="shared" si="126"/>
        <v>0</v>
      </c>
      <c r="AB79" s="108">
        <f t="shared" si="127"/>
        <v>75.5</v>
      </c>
      <c r="AC79" s="108">
        <f t="shared" si="128"/>
        <v>75.5</v>
      </c>
      <c r="AD79" s="90"/>
      <c r="AE79" s="102" t="s">
        <v>17</v>
      </c>
      <c r="AF79" s="99">
        <f>N79*M79</f>
        <v>62.900000000000006</v>
      </c>
      <c r="AG79" s="90"/>
      <c r="AH79" s="90"/>
      <c r="AI79" s="90"/>
    </row>
    <row r="80" spans="1:35" s="11" customFormat="1" ht="14.4">
      <c r="A80" s="18"/>
      <c r="B80" s="138"/>
      <c r="C80" s="95"/>
      <c r="D80" s="95"/>
      <c r="E80" s="95"/>
      <c r="F80" s="95"/>
      <c r="G80" s="141"/>
      <c r="H80" s="118"/>
      <c r="I80" s="95"/>
      <c r="J80" s="95"/>
      <c r="K80" s="103"/>
      <c r="L80" s="162"/>
      <c r="M80" s="108"/>
      <c r="N80" s="95"/>
      <c r="O80" s="95"/>
      <c r="P80" s="92"/>
      <c r="Q80" s="92"/>
      <c r="R80" s="108"/>
      <c r="S80" s="146"/>
      <c r="T80" s="108"/>
      <c r="U80" s="163"/>
      <c r="V80" s="103"/>
      <c r="W80" s="162" t="s">
        <v>19</v>
      </c>
      <c r="X80" s="141">
        <f t="shared" ref="X80" si="131">E80</f>
        <v>0</v>
      </c>
      <c r="Y80" s="141">
        <f t="shared" ref="Y80" si="132">F80</f>
        <v>0</v>
      </c>
      <c r="Z80" s="141">
        <v>35.17</v>
      </c>
      <c r="AA80" s="108">
        <f t="shared" ref="AA80" si="133">H80</f>
        <v>0</v>
      </c>
      <c r="AB80" s="141">
        <f t="shared" ref="AB80" si="134">Z80</f>
        <v>35.17</v>
      </c>
      <c r="AC80" s="141">
        <f t="shared" ref="AC80" si="135">Z80</f>
        <v>35.17</v>
      </c>
      <c r="AD80" s="90"/>
      <c r="AE80" s="102"/>
      <c r="AF80" s="108"/>
      <c r="AG80" s="90"/>
      <c r="AH80" s="90"/>
      <c r="AI80" s="90"/>
    </row>
    <row r="81" spans="1:35" s="11" customFormat="1" ht="14.4">
      <c r="A81" s="18"/>
      <c r="B81" s="201" t="s">
        <v>157</v>
      </c>
      <c r="C81" s="318" t="s">
        <v>17</v>
      </c>
      <c r="D81" s="95">
        <v>1</v>
      </c>
      <c r="E81" s="95" t="s">
        <v>57</v>
      </c>
      <c r="F81" s="95" t="s">
        <v>57</v>
      </c>
      <c r="G81" s="168">
        <v>68.5</v>
      </c>
      <c r="H81" s="118"/>
      <c r="I81" s="95">
        <f t="shared" ref="I81" si="136">(G81-H81)</f>
        <v>68.5</v>
      </c>
      <c r="J81" s="95">
        <f t="shared" ref="J81" si="137">I81*D81</f>
        <v>68.5</v>
      </c>
      <c r="K81" s="103"/>
      <c r="L81" s="162" t="s">
        <v>17</v>
      </c>
      <c r="M81" s="108">
        <v>1</v>
      </c>
      <c r="N81" s="169">
        <f>60.19-7.68</f>
        <v>52.51</v>
      </c>
      <c r="O81" s="168">
        <v>2.8</v>
      </c>
      <c r="P81" s="92"/>
      <c r="Q81" s="92"/>
      <c r="R81" s="108">
        <f t="shared" si="122"/>
        <v>147.02799999999999</v>
      </c>
      <c r="S81" s="146"/>
      <c r="T81" s="108" t="s">
        <v>21</v>
      </c>
      <c r="U81" s="163">
        <f>N81*M81</f>
        <v>52.51</v>
      </c>
      <c r="V81" s="103"/>
      <c r="W81" s="162" t="s">
        <v>17</v>
      </c>
      <c r="X81" s="108" t="str">
        <f t="shared" ref="X81:X82" si="138">E81</f>
        <v>cad</v>
      </c>
      <c r="Y81" s="108" t="str">
        <f t="shared" ref="Y81:Y82" si="139">F81</f>
        <v>cad</v>
      </c>
      <c r="Z81" s="108">
        <f t="shared" ref="Z81" si="140">G81</f>
        <v>68.5</v>
      </c>
      <c r="AA81" s="108">
        <f t="shared" ref="AA81:AA82" si="141">H81</f>
        <v>0</v>
      </c>
      <c r="AB81" s="108">
        <f t="shared" ref="AB81" si="142">I81</f>
        <v>68.5</v>
      </c>
      <c r="AC81" s="108">
        <f t="shared" ref="AC81" si="143">J81</f>
        <v>68.5</v>
      </c>
      <c r="AD81" s="90"/>
      <c r="AE81" s="102" t="s">
        <v>17</v>
      </c>
      <c r="AF81" s="99">
        <f>N81*M81</f>
        <v>52.51</v>
      </c>
      <c r="AG81" s="90"/>
      <c r="AH81" s="90"/>
      <c r="AI81" s="90"/>
    </row>
    <row r="82" spans="1:35" s="11" customFormat="1" ht="14.4">
      <c r="A82" s="18"/>
      <c r="B82" s="201"/>
      <c r="C82" s="95"/>
      <c r="D82" s="95"/>
      <c r="E82" s="95"/>
      <c r="F82" s="95"/>
      <c r="G82" s="141"/>
      <c r="H82" s="118"/>
      <c r="I82" s="95"/>
      <c r="J82" s="95"/>
      <c r="K82" s="103"/>
      <c r="L82" s="162"/>
      <c r="M82" s="108"/>
      <c r="N82" s="95"/>
      <c r="O82" s="95"/>
      <c r="P82" s="92"/>
      <c r="Q82" s="92"/>
      <c r="R82" s="108"/>
      <c r="S82" s="146"/>
      <c r="T82" s="108"/>
      <c r="U82" s="163"/>
      <c r="V82" s="103"/>
      <c r="W82" s="162" t="s">
        <v>19</v>
      </c>
      <c r="X82" s="141">
        <f t="shared" si="138"/>
        <v>0</v>
      </c>
      <c r="Y82" s="141">
        <f t="shared" si="139"/>
        <v>0</v>
      </c>
      <c r="Z82" s="141">
        <v>25.79</v>
      </c>
      <c r="AA82" s="108">
        <f t="shared" si="141"/>
        <v>0</v>
      </c>
      <c r="AB82" s="141">
        <f t="shared" ref="AB82:AB83" si="144">Z82</f>
        <v>25.79</v>
      </c>
      <c r="AC82" s="141">
        <f t="shared" ref="AC82:AC83" si="145">Z82</f>
        <v>25.79</v>
      </c>
      <c r="AD82" s="90"/>
      <c r="AE82" s="102"/>
      <c r="AF82" s="108"/>
      <c r="AG82" s="90"/>
      <c r="AH82" s="90"/>
      <c r="AI82" s="90"/>
    </row>
    <row r="83" spans="1:35" s="11" customFormat="1" ht="14.4">
      <c r="A83" s="18"/>
      <c r="B83" s="201"/>
      <c r="C83" s="95"/>
      <c r="D83" s="95"/>
      <c r="E83" s="95"/>
      <c r="F83" s="95"/>
      <c r="G83" s="141"/>
      <c r="H83" s="118"/>
      <c r="I83" s="95"/>
      <c r="J83" s="95"/>
      <c r="K83" s="103"/>
      <c r="L83" s="162"/>
      <c r="M83" s="108"/>
      <c r="N83" s="95"/>
      <c r="O83" s="95"/>
      <c r="P83" s="92"/>
      <c r="Q83" s="92"/>
      <c r="R83" s="108"/>
      <c r="S83" s="146"/>
      <c r="T83" s="108"/>
      <c r="U83" s="163"/>
      <c r="V83" s="103"/>
      <c r="W83" s="162" t="s">
        <v>20</v>
      </c>
      <c r="X83" s="141">
        <f t="shared" ref="X83" si="146">E83</f>
        <v>0</v>
      </c>
      <c r="Y83" s="141">
        <f t="shared" ref="Y83" si="147">F83</f>
        <v>0</v>
      </c>
      <c r="Z83" s="141">
        <v>1.56</v>
      </c>
      <c r="AA83" s="108">
        <f t="shared" ref="AA83" si="148">H83</f>
        <v>0</v>
      </c>
      <c r="AB83" s="141">
        <f t="shared" si="144"/>
        <v>1.56</v>
      </c>
      <c r="AC83" s="141">
        <f t="shared" si="145"/>
        <v>1.56</v>
      </c>
      <c r="AD83" s="90"/>
      <c r="AE83" s="102"/>
      <c r="AF83" s="108"/>
      <c r="AG83" s="90"/>
      <c r="AH83" s="90"/>
      <c r="AI83" s="90"/>
    </row>
    <row r="84" spans="1:35" s="11" customFormat="1" ht="14.4">
      <c r="A84" s="18"/>
      <c r="B84" s="118" t="s">
        <v>159</v>
      </c>
      <c r="C84" s="95"/>
      <c r="D84" s="95"/>
      <c r="E84" s="95"/>
      <c r="F84" s="95"/>
      <c r="G84" s="95"/>
      <c r="H84" s="118"/>
      <c r="I84" s="95"/>
      <c r="J84" s="217">
        <f t="shared" si="121"/>
        <v>0</v>
      </c>
      <c r="K84" s="103"/>
      <c r="L84" s="108"/>
      <c r="M84" s="108"/>
      <c r="N84" s="108"/>
      <c r="O84" s="108"/>
      <c r="P84" s="92"/>
      <c r="Q84" s="92"/>
      <c r="R84" s="108">
        <f t="shared" si="122"/>
        <v>0</v>
      </c>
      <c r="S84" s="146"/>
      <c r="T84" s="108"/>
      <c r="U84" s="108"/>
      <c r="V84" s="103"/>
      <c r="W84" s="108"/>
      <c r="X84" s="108">
        <f t="shared" si="123"/>
        <v>0</v>
      </c>
      <c r="Y84" s="108">
        <f t="shared" si="124"/>
        <v>0</v>
      </c>
      <c r="Z84" s="108">
        <f t="shared" si="125"/>
        <v>0</v>
      </c>
      <c r="AA84" s="108"/>
      <c r="AB84" s="108">
        <f t="shared" ref="AB84:AB85" si="149">I84</f>
        <v>0</v>
      </c>
      <c r="AC84" s="108">
        <f t="shared" ref="AC84:AC85" si="150">J84</f>
        <v>0</v>
      </c>
      <c r="AD84" s="90"/>
      <c r="AE84" s="102"/>
      <c r="AF84" s="108">
        <f t="shared" ref="AF84:AF85" si="151">N84</f>
        <v>0</v>
      </c>
      <c r="AG84" s="90"/>
      <c r="AH84" s="90"/>
      <c r="AI84" s="90"/>
    </row>
    <row r="85" spans="1:35" s="11" customFormat="1" ht="14.4">
      <c r="A85" s="18"/>
      <c r="B85" s="118" t="s">
        <v>160</v>
      </c>
      <c r="C85" s="95"/>
      <c r="D85" s="95"/>
      <c r="E85" s="95"/>
      <c r="F85" s="95"/>
      <c r="G85" s="95"/>
      <c r="H85" s="118"/>
      <c r="I85" s="95"/>
      <c r="J85" s="217">
        <f t="shared" si="121"/>
        <v>0</v>
      </c>
      <c r="K85" s="103"/>
      <c r="L85" s="108"/>
      <c r="M85" s="108"/>
      <c r="N85" s="108"/>
      <c r="O85" s="108"/>
      <c r="P85" s="92"/>
      <c r="Q85" s="92"/>
      <c r="R85" s="108">
        <f t="shared" si="122"/>
        <v>0</v>
      </c>
      <c r="S85" s="146"/>
      <c r="T85" s="108"/>
      <c r="U85" s="108"/>
      <c r="V85" s="103"/>
      <c r="W85" s="108"/>
      <c r="X85" s="108">
        <f t="shared" si="123"/>
        <v>0</v>
      </c>
      <c r="Y85" s="108">
        <f t="shared" si="124"/>
        <v>0</v>
      </c>
      <c r="Z85" s="108">
        <f t="shared" si="125"/>
        <v>0</v>
      </c>
      <c r="AA85" s="108"/>
      <c r="AB85" s="108">
        <f t="shared" si="149"/>
        <v>0</v>
      </c>
      <c r="AC85" s="108">
        <f t="shared" si="150"/>
        <v>0</v>
      </c>
      <c r="AD85" s="90"/>
      <c r="AE85" s="102"/>
      <c r="AF85" s="108">
        <f t="shared" si="151"/>
        <v>0</v>
      </c>
      <c r="AG85" s="90"/>
      <c r="AH85" s="90"/>
      <c r="AI85" s="90"/>
    </row>
    <row r="86" spans="1:35" ht="14.4">
      <c r="B86" s="138" t="s">
        <v>373</v>
      </c>
      <c r="C86" s="95"/>
      <c r="D86" s="95"/>
      <c r="E86" s="95"/>
      <c r="F86" s="95"/>
      <c r="G86" s="123"/>
      <c r="H86" s="118"/>
      <c r="I86" s="95"/>
      <c r="J86" s="172"/>
      <c r="K86" s="85"/>
      <c r="L86" s="95" t="s">
        <v>32</v>
      </c>
      <c r="M86" s="95"/>
      <c r="N86" s="123">
        <v>46.76</v>
      </c>
      <c r="O86" s="95"/>
      <c r="P86" s="118"/>
      <c r="Q86" s="118"/>
      <c r="R86" s="108"/>
      <c r="S86" s="87"/>
      <c r="T86" s="95"/>
      <c r="U86" s="118"/>
      <c r="V86" s="85"/>
      <c r="W86" s="95"/>
      <c r="X86" s="108"/>
      <c r="Y86" s="108"/>
      <c r="Z86" s="108"/>
      <c r="AA86" s="95"/>
      <c r="AB86" s="108"/>
      <c r="AC86" s="108"/>
      <c r="AD86" s="83"/>
      <c r="AE86" s="97"/>
      <c r="AF86" s="108"/>
      <c r="AG86" s="83"/>
      <c r="AH86" s="83"/>
      <c r="AI86" s="83"/>
    </row>
    <row r="87" spans="1:35" s="11" customFormat="1" ht="14.4">
      <c r="A87" s="18"/>
      <c r="B87" s="92"/>
      <c r="C87" s="162"/>
      <c r="D87" s="108"/>
      <c r="E87" s="108"/>
      <c r="F87" s="242"/>
      <c r="G87" s="162"/>
      <c r="H87" s="92"/>
      <c r="I87" s="108"/>
      <c r="J87" s="242"/>
      <c r="K87" s="103"/>
      <c r="L87" s="162"/>
      <c r="M87" s="108"/>
      <c r="N87" s="162"/>
      <c r="O87" s="108"/>
      <c r="P87" s="92"/>
      <c r="Q87" s="92"/>
      <c r="R87" s="108">
        <f t="shared" si="122"/>
        <v>0</v>
      </c>
      <c r="S87" s="146"/>
      <c r="T87" s="108"/>
      <c r="U87" s="108"/>
      <c r="V87" s="103"/>
      <c r="W87" s="162"/>
      <c r="X87" s="108">
        <f t="shared" si="123"/>
        <v>0</v>
      </c>
      <c r="Y87" s="108">
        <f t="shared" si="124"/>
        <v>0</v>
      </c>
      <c r="Z87" s="108">
        <f t="shared" si="125"/>
        <v>0</v>
      </c>
      <c r="AA87" s="108">
        <f t="shared" si="126"/>
        <v>0</v>
      </c>
      <c r="AB87" s="108">
        <f t="shared" si="127"/>
        <v>0</v>
      </c>
      <c r="AC87" s="108">
        <f t="shared" si="128"/>
        <v>0</v>
      </c>
      <c r="AD87" s="90"/>
      <c r="AE87" s="102"/>
      <c r="AF87" s="92"/>
      <c r="AG87" s="90"/>
      <c r="AH87" s="90"/>
      <c r="AI87" s="90"/>
    </row>
    <row r="88" spans="1:35" ht="15.75" customHeight="1">
      <c r="B88" s="83"/>
      <c r="C88" s="85"/>
      <c r="D88" s="85"/>
      <c r="E88" s="85"/>
      <c r="F88" s="188"/>
      <c r="G88" s="85"/>
      <c r="H88" s="85"/>
      <c r="I88" s="85"/>
      <c r="J88" s="244">
        <f>SUM(J12:J87)</f>
        <v>1083.8599999999997</v>
      </c>
      <c r="K88" s="85"/>
      <c r="L88" s="85"/>
      <c r="M88" s="87"/>
      <c r="N88" s="189">
        <f>SUM(N12:N87)</f>
        <v>920.32</v>
      </c>
      <c r="O88" s="87"/>
      <c r="P88" s="87"/>
      <c r="Q88" s="85"/>
      <c r="R88" s="189">
        <f>SUM(R12:R87)</f>
        <v>3619.7009999999991</v>
      </c>
      <c r="S88" s="155"/>
      <c r="T88" s="155"/>
      <c r="U88" s="189">
        <f>SUM(U12:U87)</f>
        <v>1136.08</v>
      </c>
      <c r="V88" s="85"/>
      <c r="W88" s="85"/>
      <c r="X88" s="85"/>
      <c r="Y88" s="85"/>
      <c r="Z88" s="85"/>
      <c r="AA88" s="85"/>
      <c r="AB88" s="85"/>
      <c r="AC88" s="189">
        <f>SUM(AC12:AC87)</f>
        <v>1168.3699999999999</v>
      </c>
      <c r="AD88" s="83"/>
      <c r="AE88" s="83"/>
      <c r="AF88" s="190">
        <f>SUM(AF12:AF16,AF17,AF18:AF21,AF22:AF23,AF27:AF69,AF70:AF72,AF74:AF83)</f>
        <v>1074.7399999999998</v>
      </c>
      <c r="AG88" s="83"/>
      <c r="AH88" s="83"/>
      <c r="AI88" s="83"/>
    </row>
    <row r="89" spans="1:35" s="11" customFormat="1" ht="15.75" customHeight="1">
      <c r="A89" s="18"/>
      <c r="B89" s="90"/>
      <c r="C89" s="103"/>
      <c r="D89" s="103"/>
      <c r="E89" s="103"/>
      <c r="F89" s="150"/>
      <c r="G89" s="103"/>
      <c r="H89" s="103"/>
      <c r="I89" s="103"/>
      <c r="J89" s="245"/>
      <c r="K89" s="103"/>
      <c r="L89" s="103"/>
      <c r="M89" s="146"/>
      <c r="N89" s="155"/>
      <c r="O89" s="146"/>
      <c r="P89" s="146"/>
      <c r="Q89" s="103"/>
      <c r="R89" s="155"/>
      <c r="S89" s="155"/>
      <c r="T89" s="155"/>
      <c r="U89" s="155"/>
      <c r="V89" s="103"/>
      <c r="W89" s="103"/>
      <c r="X89" s="103"/>
      <c r="Y89" s="103"/>
      <c r="Z89" s="103"/>
      <c r="AA89" s="103"/>
      <c r="AB89" s="103"/>
      <c r="AC89" s="155"/>
      <c r="AD89" s="90"/>
      <c r="AE89" s="90"/>
      <c r="AF89" s="248"/>
      <c r="AG89" s="90"/>
      <c r="AH89" s="90"/>
      <c r="AI89" s="90"/>
    </row>
    <row r="90" spans="1:35" ht="15.75" customHeight="1">
      <c r="B90" s="227" t="s">
        <v>5</v>
      </c>
      <c r="C90" s="85"/>
      <c r="D90" s="85"/>
      <c r="E90" s="85"/>
      <c r="F90" s="188"/>
      <c r="G90" s="87"/>
      <c r="H90" s="85"/>
      <c r="I90" s="85"/>
      <c r="J90" s="223"/>
      <c r="K90" s="85"/>
      <c r="L90" s="85"/>
      <c r="M90" s="87"/>
      <c r="N90" s="87"/>
      <c r="O90" s="87"/>
      <c r="P90" s="87"/>
      <c r="Q90" s="85"/>
      <c r="R90" s="85"/>
      <c r="S90" s="85"/>
      <c r="T90" s="85"/>
      <c r="U90" s="229"/>
      <c r="V90" s="85"/>
      <c r="W90" s="85"/>
      <c r="X90" s="85"/>
      <c r="Y90" s="85"/>
      <c r="Z90" s="85"/>
      <c r="AA90" s="85"/>
      <c r="AB90" s="85"/>
      <c r="AC90" s="230"/>
      <c r="AD90" s="83"/>
      <c r="AE90" s="83"/>
      <c r="AF90" s="83"/>
      <c r="AG90" s="83"/>
      <c r="AH90" s="83"/>
      <c r="AI90" s="83"/>
    </row>
    <row r="91" spans="1:35" ht="15.75" customHeight="1">
      <c r="B91" s="227"/>
      <c r="C91" s="85"/>
      <c r="D91" s="85"/>
      <c r="E91" s="85"/>
      <c r="F91" s="188"/>
      <c r="G91" s="85"/>
      <c r="H91" s="85"/>
      <c r="I91" s="85"/>
      <c r="J91" s="223"/>
      <c r="K91" s="85"/>
      <c r="L91" s="85"/>
      <c r="M91" s="87"/>
      <c r="N91" s="87"/>
      <c r="O91" s="87"/>
      <c r="P91" s="87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3"/>
      <c r="AE91" s="83"/>
      <c r="AF91" s="83"/>
      <c r="AG91" s="83"/>
      <c r="AH91" s="83"/>
      <c r="AI91" s="83"/>
    </row>
    <row r="92" spans="1:35" ht="15.75" customHeight="1">
      <c r="B92" s="227" t="s">
        <v>3</v>
      </c>
      <c r="C92" s="85"/>
      <c r="D92" s="85"/>
      <c r="E92" s="85"/>
      <c r="F92" s="188"/>
      <c r="G92" s="85"/>
      <c r="H92" s="85"/>
      <c r="I92" s="85"/>
      <c r="J92" s="223"/>
      <c r="K92" s="85"/>
      <c r="L92" s="85"/>
      <c r="M92" s="227" t="s">
        <v>2</v>
      </c>
      <c r="N92" s="85"/>
      <c r="O92" s="87"/>
      <c r="P92" s="87"/>
      <c r="Q92" s="85"/>
      <c r="R92" s="85"/>
      <c r="S92" s="85"/>
      <c r="T92" s="85"/>
      <c r="U92" s="85"/>
      <c r="V92" s="85"/>
      <c r="W92" s="85"/>
      <c r="X92" s="227" t="s">
        <v>4</v>
      </c>
      <c r="Y92" s="85"/>
      <c r="Z92" s="85"/>
      <c r="AA92" s="85"/>
      <c r="AB92" s="85"/>
      <c r="AC92" s="85"/>
      <c r="AD92" s="83"/>
      <c r="AE92" s="227" t="s">
        <v>34</v>
      </c>
      <c r="AF92" s="80"/>
      <c r="AG92" s="80"/>
      <c r="AH92" s="80"/>
      <c r="AI92" s="188"/>
    </row>
    <row r="93" spans="1:35" ht="15.75" customHeight="1">
      <c r="B93" s="95" t="s">
        <v>17</v>
      </c>
      <c r="C93" s="218">
        <f>SUMIF(C$12:C$86,B93,J$12:J$86)</f>
        <v>860.61</v>
      </c>
      <c r="D93" s="85"/>
      <c r="E93" s="85"/>
      <c r="F93" s="188"/>
      <c r="G93" s="85"/>
      <c r="H93" s="85"/>
      <c r="I93" s="85"/>
      <c r="J93" s="223"/>
      <c r="K93" s="85"/>
      <c r="L93" s="85"/>
      <c r="M93" s="102" t="s">
        <v>17</v>
      </c>
      <c r="N93" s="219">
        <f>SUM(R12,R15,R17,R18,R23,R27,R29,R30,R32,R33,R34,R37:R43,R45,R46,R47,R50,R52,R54,R56,R58,R60,R72,R73,R74,R79,R81)</f>
        <v>2446.4459999999995</v>
      </c>
      <c r="O93" s="87"/>
      <c r="P93" s="87"/>
      <c r="Q93" s="85"/>
      <c r="R93" s="85"/>
      <c r="S93" s="85"/>
      <c r="T93" s="85"/>
      <c r="U93" s="85"/>
      <c r="V93" s="85"/>
      <c r="W93" s="85"/>
      <c r="X93" s="98" t="s">
        <v>17</v>
      </c>
      <c r="Y93" s="221">
        <f>SUMIF(W$12:W$83,X93,AC$12:AC$83)</f>
        <v>858.14</v>
      </c>
      <c r="Z93" s="85"/>
      <c r="AA93" s="85"/>
      <c r="AB93" s="85"/>
      <c r="AC93" s="85"/>
      <c r="AD93" s="83"/>
      <c r="AE93" s="118" t="s">
        <v>39</v>
      </c>
      <c r="AF93" s="324" t="s">
        <v>364</v>
      </c>
      <c r="AG93" s="324"/>
      <c r="AH93" s="324"/>
      <c r="AI93" s="118" t="s">
        <v>365</v>
      </c>
    </row>
    <row r="94" spans="1:35" ht="15.75" customHeight="1">
      <c r="B94" s="95" t="s">
        <v>18</v>
      </c>
      <c r="C94" s="218">
        <f t="shared" ref="C94:C107" si="152">SUMIF(C$12:C$86,B94,J$12:J$86)</f>
        <v>0</v>
      </c>
      <c r="D94" s="85"/>
      <c r="E94" s="85"/>
      <c r="F94" s="188"/>
      <c r="G94" s="85"/>
      <c r="H94" s="85"/>
      <c r="I94" s="85"/>
      <c r="J94" s="223"/>
      <c r="K94" s="85"/>
      <c r="L94" s="85"/>
      <c r="M94" s="102" t="s">
        <v>18</v>
      </c>
      <c r="N94" s="219">
        <f>SUM(R19,R20,R21,R28,R44,R62:R68,R70,R71)</f>
        <v>540.91800000000001</v>
      </c>
      <c r="O94" s="87"/>
      <c r="P94" s="87"/>
      <c r="Q94" s="85"/>
      <c r="R94" s="85"/>
      <c r="S94" s="85"/>
      <c r="T94" s="85"/>
      <c r="U94" s="85"/>
      <c r="V94" s="85"/>
      <c r="W94" s="85"/>
      <c r="X94" s="98" t="s">
        <v>18</v>
      </c>
      <c r="Y94" s="221">
        <f t="shared" ref="Y94:Y102" si="153">SUMIF(W$12:W$83,X94,AC$12:AC$83)</f>
        <v>110.30999999999999</v>
      </c>
      <c r="Z94" s="85"/>
      <c r="AA94" s="85"/>
      <c r="AB94" s="85"/>
      <c r="AC94" s="85"/>
      <c r="AD94" s="83"/>
      <c r="AE94" s="118" t="s">
        <v>357</v>
      </c>
      <c r="AF94" s="323" t="s">
        <v>363</v>
      </c>
      <c r="AG94" s="323"/>
      <c r="AH94" s="323"/>
      <c r="AI94" s="95">
        <f>AF88</f>
        <v>1074.7399999999998</v>
      </c>
    </row>
    <row r="95" spans="1:35" ht="15.75" customHeight="1">
      <c r="B95" s="95" t="s">
        <v>19</v>
      </c>
      <c r="C95" s="218">
        <f t="shared" si="152"/>
        <v>0</v>
      </c>
      <c r="D95" s="85"/>
      <c r="E95" s="85"/>
      <c r="F95" s="188"/>
      <c r="G95" s="85"/>
      <c r="H95" s="85"/>
      <c r="I95" s="85"/>
      <c r="J95" s="223"/>
      <c r="K95" s="85"/>
      <c r="L95" s="85"/>
      <c r="M95" s="102" t="s">
        <v>19</v>
      </c>
      <c r="N95" s="219"/>
      <c r="O95" s="87"/>
      <c r="P95" s="87"/>
      <c r="Q95" s="85"/>
      <c r="R95" s="85"/>
      <c r="S95" s="85"/>
      <c r="T95" s="85"/>
      <c r="U95" s="85"/>
      <c r="V95" s="85"/>
      <c r="W95" s="85"/>
      <c r="X95" s="98" t="s">
        <v>19</v>
      </c>
      <c r="Y95" s="221">
        <f t="shared" si="153"/>
        <v>101.72</v>
      </c>
      <c r="Z95" s="85"/>
      <c r="AA95" s="85"/>
      <c r="AB95" s="85"/>
      <c r="AC95" s="85"/>
      <c r="AD95" s="83"/>
      <c r="AE95" s="83"/>
      <c r="AF95" s="83"/>
      <c r="AG95" s="83"/>
      <c r="AH95" s="83"/>
      <c r="AI95" s="83"/>
    </row>
    <row r="96" spans="1:35" ht="15.75" customHeight="1">
      <c r="B96" s="95" t="s">
        <v>20</v>
      </c>
      <c r="C96" s="218">
        <f t="shared" si="152"/>
        <v>98.63000000000001</v>
      </c>
      <c r="D96" s="85"/>
      <c r="E96" s="85"/>
      <c r="F96" s="188"/>
      <c r="G96" s="85"/>
      <c r="H96" s="85"/>
      <c r="I96" s="85"/>
      <c r="J96" s="223"/>
      <c r="K96" s="85"/>
      <c r="L96" s="85"/>
      <c r="M96" s="102" t="s">
        <v>20</v>
      </c>
      <c r="N96" s="219">
        <f>SUM(R22,R69)</f>
        <v>55.053000000000004</v>
      </c>
      <c r="O96" s="87"/>
      <c r="P96" s="87"/>
      <c r="Q96" s="85"/>
      <c r="R96" s="85"/>
      <c r="S96" s="85"/>
      <c r="T96" s="85"/>
      <c r="U96" s="85"/>
      <c r="V96" s="85"/>
      <c r="W96" s="85"/>
      <c r="X96" s="98" t="s">
        <v>20</v>
      </c>
      <c r="Y96" s="221">
        <f t="shared" si="153"/>
        <v>98.2</v>
      </c>
      <c r="Z96" s="85"/>
      <c r="AA96" s="85"/>
      <c r="AB96" s="85"/>
      <c r="AC96" s="85"/>
      <c r="AD96" s="83"/>
      <c r="AE96" s="83"/>
      <c r="AF96" s="83"/>
      <c r="AG96" s="83"/>
      <c r="AH96" s="83"/>
      <c r="AI96" s="83"/>
    </row>
    <row r="97" spans="2:35" ht="15.75" customHeight="1">
      <c r="B97" s="95" t="s">
        <v>21</v>
      </c>
      <c r="C97" s="218">
        <f t="shared" si="152"/>
        <v>0</v>
      </c>
      <c r="D97" s="85"/>
      <c r="E97" s="85"/>
      <c r="F97" s="188"/>
      <c r="G97" s="85"/>
      <c r="H97" s="85"/>
      <c r="I97" s="85"/>
      <c r="J97" s="223"/>
      <c r="K97" s="85"/>
      <c r="L97" s="85"/>
      <c r="M97" s="102" t="s">
        <v>21</v>
      </c>
      <c r="N97" s="219"/>
      <c r="O97" s="87"/>
      <c r="P97" s="87"/>
      <c r="Q97" s="85"/>
      <c r="R97" s="85"/>
      <c r="S97" s="85"/>
      <c r="T97" s="85"/>
      <c r="U97" s="85"/>
      <c r="V97" s="85"/>
      <c r="W97" s="85"/>
      <c r="X97" s="98" t="s">
        <v>21</v>
      </c>
      <c r="Y97" s="221">
        <f t="shared" si="153"/>
        <v>0</v>
      </c>
      <c r="Z97" s="85"/>
      <c r="AA97" s="85"/>
      <c r="AB97" s="85"/>
      <c r="AC97" s="85"/>
      <c r="AD97" s="83"/>
      <c r="AE97" s="83"/>
      <c r="AF97" s="83"/>
      <c r="AG97" s="83"/>
      <c r="AH97" s="83"/>
      <c r="AI97" s="83"/>
    </row>
    <row r="98" spans="2:35" ht="15.75" customHeight="1">
      <c r="B98" s="95" t="s">
        <v>22</v>
      </c>
      <c r="C98" s="218">
        <f t="shared" si="152"/>
        <v>11.68</v>
      </c>
      <c r="D98" s="85"/>
      <c r="E98" s="85"/>
      <c r="F98" s="188"/>
      <c r="G98" s="85"/>
      <c r="H98" s="85"/>
      <c r="I98" s="85"/>
      <c r="J98" s="223"/>
      <c r="K98" s="85"/>
      <c r="L98" s="85"/>
      <c r="M98" s="102" t="s">
        <v>22</v>
      </c>
      <c r="N98" s="219"/>
      <c r="O98" s="87"/>
      <c r="P98" s="87"/>
      <c r="Q98" s="85"/>
      <c r="R98" s="85"/>
      <c r="S98" s="85"/>
      <c r="T98" s="85"/>
      <c r="U98" s="85"/>
      <c r="V98" s="85"/>
      <c r="W98" s="85"/>
      <c r="X98" s="98" t="s">
        <v>22</v>
      </c>
      <c r="Y98" s="221">
        <f t="shared" si="153"/>
        <v>0</v>
      </c>
      <c r="Z98" s="85"/>
      <c r="AA98" s="85"/>
      <c r="AB98" s="85"/>
      <c r="AC98" s="85"/>
      <c r="AD98" s="83"/>
      <c r="AE98" s="83"/>
      <c r="AF98" s="83"/>
      <c r="AG98" s="83"/>
      <c r="AH98" s="83"/>
      <c r="AI98" s="83"/>
    </row>
    <row r="99" spans="2:35" ht="15.75" customHeight="1">
      <c r="B99" s="95" t="s">
        <v>23</v>
      </c>
      <c r="C99" s="218">
        <f t="shared" si="152"/>
        <v>0</v>
      </c>
      <c r="D99" s="85"/>
      <c r="E99" s="85"/>
      <c r="F99" s="188"/>
      <c r="G99" s="85"/>
      <c r="H99" s="85"/>
      <c r="I99" s="85"/>
      <c r="J99" s="223"/>
      <c r="K99" s="85"/>
      <c r="L99" s="85"/>
      <c r="M99" s="102" t="s">
        <v>23</v>
      </c>
      <c r="N99" s="219"/>
      <c r="O99" s="87"/>
      <c r="P99" s="87"/>
      <c r="Q99" s="85"/>
      <c r="R99" s="85"/>
      <c r="S99" s="85"/>
      <c r="T99" s="85"/>
      <c r="U99" s="85"/>
      <c r="V99" s="85"/>
      <c r="W99" s="85"/>
      <c r="X99" s="98" t="s">
        <v>23</v>
      </c>
      <c r="Y99" s="221">
        <f t="shared" si="153"/>
        <v>0</v>
      </c>
      <c r="Z99" s="85"/>
      <c r="AA99" s="85"/>
      <c r="AB99" s="85"/>
      <c r="AC99" s="85"/>
      <c r="AD99" s="83"/>
      <c r="AE99" s="83"/>
      <c r="AF99" s="83"/>
      <c r="AG99" s="83"/>
      <c r="AH99" s="83"/>
      <c r="AI99" s="83"/>
    </row>
    <row r="100" spans="2:35" ht="15.75" customHeight="1">
      <c r="B100" s="95" t="s">
        <v>24</v>
      </c>
      <c r="C100" s="218">
        <f t="shared" si="152"/>
        <v>112.94</v>
      </c>
      <c r="D100" s="85"/>
      <c r="E100" s="85"/>
      <c r="F100" s="188"/>
      <c r="G100" s="85"/>
      <c r="H100" s="85"/>
      <c r="I100" s="85"/>
      <c r="J100" s="223"/>
      <c r="K100" s="85"/>
      <c r="L100" s="85"/>
      <c r="M100" s="102" t="s">
        <v>24</v>
      </c>
      <c r="N100" s="219"/>
      <c r="O100" s="87"/>
      <c r="P100" s="87"/>
      <c r="Q100" s="85"/>
      <c r="R100" s="85"/>
      <c r="S100" s="85"/>
      <c r="T100" s="85"/>
      <c r="U100" s="85"/>
      <c r="V100" s="85"/>
      <c r="W100" s="85"/>
      <c r="X100" s="98" t="s">
        <v>24</v>
      </c>
      <c r="Y100" s="221">
        <f t="shared" si="153"/>
        <v>0</v>
      </c>
      <c r="Z100" s="85"/>
      <c r="AA100" s="85"/>
      <c r="AB100" s="85"/>
      <c r="AC100" s="85"/>
      <c r="AD100" s="83"/>
      <c r="AE100" s="83"/>
      <c r="AF100" s="83"/>
      <c r="AG100" s="83"/>
      <c r="AH100" s="83"/>
      <c r="AI100" s="83"/>
    </row>
    <row r="101" spans="2:35" ht="15.75" customHeight="1">
      <c r="B101" s="95" t="s">
        <v>25</v>
      </c>
      <c r="C101" s="218">
        <f t="shared" si="152"/>
        <v>0</v>
      </c>
      <c r="D101" s="85"/>
      <c r="E101" s="85"/>
      <c r="F101" s="188"/>
      <c r="G101" s="85"/>
      <c r="H101" s="85"/>
      <c r="I101" s="85"/>
      <c r="J101" s="223"/>
      <c r="K101" s="85"/>
      <c r="L101" s="85"/>
      <c r="M101" s="102" t="s">
        <v>25</v>
      </c>
      <c r="N101" s="219"/>
      <c r="O101" s="87"/>
      <c r="P101" s="87"/>
      <c r="Q101" s="85"/>
      <c r="R101" s="85"/>
      <c r="S101" s="85"/>
      <c r="T101" s="85"/>
      <c r="U101" s="85"/>
      <c r="V101" s="85"/>
      <c r="W101" s="85"/>
      <c r="X101" s="98" t="s">
        <v>25</v>
      </c>
      <c r="Y101" s="221">
        <f t="shared" si="153"/>
        <v>0</v>
      </c>
      <c r="Z101" s="85"/>
      <c r="AA101" s="85"/>
      <c r="AB101" s="85"/>
      <c r="AC101" s="85"/>
      <c r="AD101" s="83"/>
      <c r="AE101" s="83"/>
      <c r="AF101" s="83"/>
      <c r="AG101" s="83"/>
      <c r="AH101" s="83"/>
      <c r="AI101" s="83"/>
    </row>
    <row r="102" spans="2:35" ht="15.75" customHeight="1">
      <c r="B102" s="95" t="s">
        <v>26</v>
      </c>
      <c r="C102" s="218">
        <f t="shared" si="152"/>
        <v>0</v>
      </c>
      <c r="D102" s="85"/>
      <c r="E102" s="85"/>
      <c r="F102" s="188"/>
      <c r="G102" s="85"/>
      <c r="H102" s="85"/>
      <c r="I102" s="85"/>
      <c r="J102" s="223"/>
      <c r="K102" s="85"/>
      <c r="L102" s="85"/>
      <c r="M102" s="102" t="s">
        <v>26</v>
      </c>
      <c r="N102" s="219"/>
      <c r="O102" s="87"/>
      <c r="P102" s="87"/>
      <c r="Q102" s="85"/>
      <c r="R102" s="85"/>
      <c r="S102" s="85"/>
      <c r="T102" s="85"/>
      <c r="U102" s="85"/>
      <c r="V102" s="85"/>
      <c r="W102" s="85"/>
      <c r="X102" s="98" t="s">
        <v>32</v>
      </c>
      <c r="Y102" s="221">
        <f t="shared" si="153"/>
        <v>0</v>
      </c>
      <c r="Z102" s="85"/>
      <c r="AA102" s="85"/>
      <c r="AB102" s="85"/>
      <c r="AC102" s="85"/>
      <c r="AD102" s="83"/>
      <c r="AE102" s="83"/>
      <c r="AF102" s="83"/>
      <c r="AG102" s="83"/>
      <c r="AH102" s="83"/>
      <c r="AI102" s="83"/>
    </row>
    <row r="103" spans="2:35" ht="15.75" customHeight="1">
      <c r="B103" s="95" t="s">
        <v>27</v>
      </c>
      <c r="C103" s="218">
        <f t="shared" si="152"/>
        <v>0</v>
      </c>
      <c r="D103" s="85"/>
      <c r="E103" s="85"/>
      <c r="F103" s="188"/>
      <c r="G103" s="85"/>
      <c r="H103" s="85"/>
      <c r="I103" s="85"/>
      <c r="J103" s="223"/>
      <c r="K103" s="85"/>
      <c r="L103" s="85"/>
      <c r="M103" s="102" t="s">
        <v>27</v>
      </c>
      <c r="N103" s="219"/>
      <c r="O103" s="87"/>
      <c r="P103" s="87"/>
      <c r="Q103" s="85"/>
      <c r="R103" s="85"/>
      <c r="S103" s="85"/>
      <c r="T103" s="85"/>
      <c r="U103" s="85"/>
      <c r="V103" s="85"/>
      <c r="W103" s="85"/>
      <c r="X103" s="83"/>
      <c r="Y103" s="189">
        <f>SUM(Y93:Y102)</f>
        <v>1168.3699999999999</v>
      </c>
      <c r="Z103" s="85"/>
      <c r="AA103" s="85"/>
      <c r="AB103" s="85"/>
      <c r="AC103" s="85"/>
      <c r="AD103" s="83"/>
      <c r="AE103" s="83"/>
      <c r="AF103" s="83"/>
      <c r="AG103" s="83"/>
      <c r="AH103" s="83"/>
      <c r="AI103" s="83"/>
    </row>
    <row r="104" spans="2:35" ht="15.75" customHeight="1">
      <c r="B104" s="95" t="s">
        <v>337</v>
      </c>
      <c r="C104" s="218">
        <f t="shared" si="152"/>
        <v>0</v>
      </c>
      <c r="D104" s="85"/>
      <c r="E104" s="85"/>
      <c r="F104" s="188"/>
      <c r="G104" s="85"/>
      <c r="H104" s="85"/>
      <c r="I104" s="85"/>
      <c r="J104" s="223"/>
      <c r="K104" s="85"/>
      <c r="L104" s="85"/>
      <c r="M104" s="102" t="s">
        <v>337</v>
      </c>
      <c r="N104" s="219"/>
      <c r="O104" s="87"/>
      <c r="P104" s="87"/>
      <c r="Q104" s="85"/>
      <c r="R104" s="85"/>
      <c r="S104" s="85"/>
      <c r="T104" s="85"/>
      <c r="U104" s="85"/>
      <c r="V104" s="85"/>
      <c r="W104" s="85"/>
      <c r="X104" s="83"/>
      <c r="Y104" s="246"/>
      <c r="Z104" s="85"/>
      <c r="AA104" s="85"/>
      <c r="AB104" s="85"/>
      <c r="AC104" s="85"/>
      <c r="AD104" s="83"/>
      <c r="AE104" s="83"/>
      <c r="AF104" s="83"/>
      <c r="AG104" s="83"/>
      <c r="AH104" s="83"/>
      <c r="AI104" s="83"/>
    </row>
    <row r="105" spans="2:35" ht="15.75" customHeight="1">
      <c r="B105" s="95" t="s">
        <v>338</v>
      </c>
      <c r="C105" s="218">
        <f t="shared" si="152"/>
        <v>0</v>
      </c>
      <c r="D105" s="85"/>
      <c r="E105" s="85"/>
      <c r="F105" s="188"/>
      <c r="G105" s="85"/>
      <c r="H105" s="85"/>
      <c r="I105" s="85"/>
      <c r="J105" s="223"/>
      <c r="K105" s="85"/>
      <c r="L105" s="85"/>
      <c r="M105" s="102" t="s">
        <v>338</v>
      </c>
      <c r="N105" s="219"/>
      <c r="O105" s="87"/>
      <c r="P105" s="87"/>
      <c r="Q105" s="85"/>
      <c r="R105" s="85"/>
      <c r="S105" s="85"/>
      <c r="T105" s="85"/>
      <c r="U105" s="85"/>
      <c r="V105" s="85"/>
      <c r="W105" s="85"/>
      <c r="X105" s="83"/>
      <c r="Y105" s="246"/>
      <c r="Z105" s="85"/>
      <c r="AA105" s="85"/>
      <c r="AB105" s="85"/>
      <c r="AC105" s="85"/>
      <c r="AD105" s="83"/>
      <c r="AE105" s="83"/>
      <c r="AF105" s="83"/>
      <c r="AG105" s="83"/>
      <c r="AH105" s="83"/>
      <c r="AI105" s="83"/>
    </row>
    <row r="106" spans="2:35" ht="15.75" customHeight="1">
      <c r="B106" s="95" t="s">
        <v>339</v>
      </c>
      <c r="C106" s="218">
        <f t="shared" si="152"/>
        <v>0</v>
      </c>
      <c r="D106" s="85"/>
      <c r="E106" s="85"/>
      <c r="F106" s="188"/>
      <c r="G106" s="85"/>
      <c r="H106" s="85"/>
      <c r="I106" s="85"/>
      <c r="J106" s="223"/>
      <c r="K106" s="85"/>
      <c r="L106" s="85"/>
      <c r="M106" s="102" t="s">
        <v>339</v>
      </c>
      <c r="N106" s="219">
        <f>SUM(R13,R25,R26,R75)</f>
        <v>287.15699999999998</v>
      </c>
      <c r="O106" s="87"/>
      <c r="P106" s="87"/>
      <c r="Q106" s="85"/>
      <c r="R106" s="85"/>
      <c r="S106" s="85"/>
      <c r="T106" s="85"/>
      <c r="U106" s="85"/>
      <c r="V106" s="85"/>
      <c r="W106" s="85"/>
      <c r="X106" s="83"/>
      <c r="Y106" s="246"/>
      <c r="Z106" s="85"/>
      <c r="AA106" s="85"/>
      <c r="AB106" s="85"/>
      <c r="AC106" s="85"/>
      <c r="AD106" s="83"/>
      <c r="AE106" s="83"/>
      <c r="AF106" s="83"/>
      <c r="AG106" s="83"/>
      <c r="AH106" s="83"/>
      <c r="AI106" s="83"/>
    </row>
    <row r="107" spans="2:35" ht="15.75" customHeight="1">
      <c r="B107" s="99"/>
      <c r="C107" s="218">
        <f t="shared" si="152"/>
        <v>0</v>
      </c>
      <c r="D107" s="85"/>
      <c r="E107" s="85"/>
      <c r="F107" s="188"/>
      <c r="G107" s="85"/>
      <c r="H107" s="85"/>
      <c r="I107" s="85"/>
      <c r="J107" s="223"/>
      <c r="K107" s="85"/>
      <c r="L107" s="85"/>
      <c r="M107" s="102" t="s">
        <v>28</v>
      </c>
      <c r="N107" s="219"/>
      <c r="O107" s="87"/>
      <c r="P107" s="87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3"/>
      <c r="AE107" s="83"/>
      <c r="AF107" s="83"/>
      <c r="AG107" s="83"/>
      <c r="AH107" s="83"/>
      <c r="AI107" s="83"/>
    </row>
    <row r="108" spans="2:35" ht="15.75" customHeight="1">
      <c r="B108" s="133"/>
      <c r="C108" s="224">
        <f>SUM(C93:C107)</f>
        <v>1083.8599999999999</v>
      </c>
      <c r="D108" s="87"/>
      <c r="E108" s="85"/>
      <c r="F108" s="188"/>
      <c r="G108" s="85"/>
      <c r="H108" s="85"/>
      <c r="I108" s="85"/>
      <c r="J108" s="223"/>
      <c r="K108" s="85"/>
      <c r="L108" s="85"/>
      <c r="M108" s="102" t="s">
        <v>29</v>
      </c>
      <c r="N108" s="219"/>
      <c r="O108" s="87"/>
      <c r="P108" s="87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3"/>
      <c r="AE108" s="83"/>
      <c r="AF108" s="83"/>
      <c r="AG108" s="83"/>
      <c r="AH108" s="83"/>
      <c r="AI108" s="83"/>
    </row>
    <row r="109" spans="2:35" ht="15.75" customHeight="1">
      <c r="B109" s="83"/>
      <c r="C109" s="85"/>
      <c r="D109" s="85"/>
      <c r="E109" s="85"/>
      <c r="F109" s="188"/>
      <c r="G109" s="85"/>
      <c r="H109" s="85"/>
      <c r="I109" s="85"/>
      <c r="J109" s="223"/>
      <c r="K109" s="85"/>
      <c r="L109" s="85"/>
      <c r="M109" s="102" t="s">
        <v>30</v>
      </c>
      <c r="N109" s="219"/>
      <c r="O109" s="87"/>
      <c r="P109" s="87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3"/>
      <c r="AE109" s="83"/>
      <c r="AF109" s="83"/>
      <c r="AG109" s="83"/>
      <c r="AH109" s="83"/>
      <c r="AI109" s="83"/>
    </row>
    <row r="110" spans="2:35" ht="15.75" customHeight="1">
      <c r="B110" s="83"/>
      <c r="C110" s="85"/>
      <c r="D110" s="85"/>
      <c r="E110" s="85"/>
      <c r="F110" s="188"/>
      <c r="G110" s="85"/>
      <c r="H110" s="85"/>
      <c r="I110" s="85"/>
      <c r="J110" s="223"/>
      <c r="K110" s="85"/>
      <c r="L110" s="85"/>
      <c r="M110" s="102" t="s">
        <v>340</v>
      </c>
      <c r="N110" s="219"/>
      <c r="O110" s="87"/>
      <c r="P110" s="87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3"/>
      <c r="AE110" s="83"/>
      <c r="AF110" s="83"/>
      <c r="AG110" s="83"/>
      <c r="AH110" s="83"/>
      <c r="AI110" s="83"/>
    </row>
    <row r="111" spans="2:35" ht="15.75" customHeight="1">
      <c r="B111" s="83"/>
      <c r="C111" s="85"/>
      <c r="D111" s="85"/>
      <c r="E111" s="85"/>
      <c r="F111" s="188"/>
      <c r="G111" s="85"/>
      <c r="H111" s="85"/>
      <c r="I111" s="85"/>
      <c r="J111" s="223"/>
      <c r="K111" s="85"/>
      <c r="L111" s="85"/>
      <c r="M111" s="102" t="s">
        <v>341</v>
      </c>
      <c r="N111" s="219"/>
      <c r="O111" s="87"/>
      <c r="P111" s="87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3"/>
      <c r="AE111" s="83"/>
      <c r="AF111" s="83"/>
      <c r="AG111" s="83"/>
      <c r="AH111" s="83"/>
      <c r="AI111" s="83"/>
    </row>
    <row r="112" spans="2:35" ht="15.75" customHeight="1">
      <c r="B112" s="83"/>
      <c r="C112" s="85"/>
      <c r="D112" s="85"/>
      <c r="E112" s="85"/>
      <c r="F112" s="188"/>
      <c r="G112" s="85"/>
      <c r="H112" s="85"/>
      <c r="I112" s="85"/>
      <c r="J112" s="223"/>
      <c r="K112" s="85"/>
      <c r="L112" s="85"/>
      <c r="M112" s="102" t="s">
        <v>31</v>
      </c>
      <c r="N112" s="219"/>
      <c r="O112" s="87"/>
      <c r="P112" s="87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3"/>
      <c r="AE112" s="83"/>
      <c r="AF112" s="83"/>
      <c r="AG112" s="83"/>
      <c r="AH112" s="83"/>
      <c r="AI112" s="83"/>
    </row>
    <row r="113" spans="2:35" ht="15.75" customHeight="1">
      <c r="B113" s="83"/>
      <c r="C113" s="85"/>
      <c r="D113" s="85"/>
      <c r="E113" s="85"/>
      <c r="F113" s="188"/>
      <c r="G113" s="85"/>
      <c r="H113" s="85"/>
      <c r="I113" s="85"/>
      <c r="J113" s="223"/>
      <c r="K113" s="85"/>
      <c r="L113" s="85"/>
      <c r="M113" s="102" t="s">
        <v>571</v>
      </c>
      <c r="N113" s="219">
        <f>SUM(R31,R53,R55,R57,R59,R61)</f>
        <v>290.12700000000001</v>
      </c>
      <c r="O113" s="87"/>
      <c r="P113" s="87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3"/>
      <c r="AE113" s="83"/>
      <c r="AF113" s="83"/>
      <c r="AG113" s="83"/>
      <c r="AH113" s="83"/>
      <c r="AI113" s="83"/>
    </row>
    <row r="114" spans="2:35" ht="15.75" customHeight="1">
      <c r="B114" s="83"/>
      <c r="C114" s="85"/>
      <c r="D114" s="85"/>
      <c r="E114" s="85"/>
      <c r="F114" s="188"/>
      <c r="G114" s="85"/>
      <c r="H114" s="85"/>
      <c r="I114" s="85"/>
      <c r="J114" s="223"/>
      <c r="K114" s="85"/>
      <c r="L114" s="85"/>
      <c r="M114" s="102" t="s">
        <v>32</v>
      </c>
      <c r="N114" s="219"/>
      <c r="O114" s="87"/>
      <c r="P114" s="87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3"/>
      <c r="AE114" s="83"/>
      <c r="AF114" s="83"/>
      <c r="AG114" s="83"/>
      <c r="AH114" s="83"/>
      <c r="AI114" s="83"/>
    </row>
    <row r="115" spans="2:35" ht="15.75" customHeight="1">
      <c r="B115" s="83"/>
      <c r="C115" s="85"/>
      <c r="D115" s="85"/>
      <c r="E115" s="85"/>
      <c r="F115" s="188"/>
      <c r="G115" s="85"/>
      <c r="H115" s="85"/>
      <c r="I115" s="85"/>
      <c r="J115" s="223"/>
      <c r="K115" s="85"/>
      <c r="L115" s="85"/>
      <c r="M115" s="83"/>
      <c r="N115" s="189">
        <f>SUM(N93:N114)</f>
        <v>3619.7009999999996</v>
      </c>
      <c r="O115" s="87"/>
      <c r="P115" s="87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3"/>
      <c r="AE115" s="83"/>
      <c r="AF115" s="83"/>
      <c r="AG115" s="83"/>
      <c r="AH115" s="83"/>
      <c r="AI115" s="83"/>
    </row>
    <row r="116" spans="2:35" ht="15.75" customHeight="1">
      <c r="B116" s="83"/>
      <c r="C116" s="85"/>
      <c r="D116" s="85"/>
      <c r="E116" s="85"/>
      <c r="F116" s="188"/>
      <c r="G116" s="85"/>
      <c r="H116" s="85"/>
      <c r="I116" s="85"/>
      <c r="J116" s="223"/>
      <c r="K116" s="85"/>
      <c r="L116" s="85"/>
      <c r="M116" s="85"/>
      <c r="N116" s="85"/>
      <c r="O116" s="87"/>
      <c r="P116" s="87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3"/>
      <c r="AE116" s="83"/>
      <c r="AF116" s="83"/>
      <c r="AG116" s="83"/>
      <c r="AH116" s="83"/>
      <c r="AI116" s="83"/>
    </row>
    <row r="117" spans="2:35" ht="15.75" customHeight="1">
      <c r="B117" s="83"/>
      <c r="C117" s="85"/>
      <c r="D117" s="85"/>
      <c r="E117" s="85"/>
      <c r="F117" s="188"/>
      <c r="G117" s="85"/>
      <c r="H117" s="85"/>
      <c r="I117" s="85"/>
      <c r="J117" s="223"/>
      <c r="K117" s="85"/>
      <c r="L117" s="85"/>
      <c r="M117" s="85"/>
      <c r="N117" s="85"/>
      <c r="O117" s="87"/>
      <c r="P117" s="87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3"/>
      <c r="AE117" s="83"/>
      <c r="AF117" s="83"/>
      <c r="AG117" s="83"/>
      <c r="AH117" s="83"/>
      <c r="AI117" s="83"/>
    </row>
    <row r="118" spans="2:35" ht="15.75" customHeight="1">
      <c r="B118" s="83"/>
      <c r="C118" s="85"/>
      <c r="D118" s="85"/>
      <c r="E118" s="85"/>
      <c r="F118" s="188"/>
      <c r="G118" s="85"/>
      <c r="H118" s="85"/>
      <c r="I118" s="85"/>
      <c r="J118" s="223"/>
      <c r="K118" s="85"/>
      <c r="L118" s="85"/>
      <c r="M118" s="85"/>
      <c r="N118" s="85"/>
      <c r="O118" s="87"/>
      <c r="P118" s="87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3"/>
      <c r="AE118" s="83"/>
      <c r="AF118" s="83"/>
      <c r="AG118" s="83"/>
      <c r="AH118" s="83"/>
      <c r="AI118" s="83"/>
    </row>
    <row r="119" spans="2:35" ht="15.75" customHeight="1">
      <c r="B119" s="227" t="s">
        <v>33</v>
      </c>
      <c r="C119" s="80"/>
      <c r="D119" s="80"/>
      <c r="E119" s="80"/>
      <c r="F119" s="188"/>
      <c r="G119" s="85"/>
      <c r="H119" s="85"/>
      <c r="I119" s="85"/>
      <c r="J119" s="223"/>
      <c r="K119" s="85"/>
      <c r="L119" s="85"/>
      <c r="M119" s="87"/>
      <c r="N119" s="87"/>
      <c r="O119" s="87"/>
      <c r="P119" s="87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3"/>
      <c r="AE119" s="83"/>
      <c r="AF119" s="83"/>
      <c r="AG119" s="83"/>
      <c r="AH119" s="83"/>
      <c r="AI119" s="83"/>
    </row>
    <row r="120" spans="2:35" ht="15.75" customHeight="1">
      <c r="B120" s="83"/>
      <c r="C120" s="80"/>
      <c r="D120" s="80"/>
      <c r="E120" s="80"/>
      <c r="F120" s="188"/>
      <c r="G120" s="85"/>
      <c r="H120" s="85"/>
      <c r="I120" s="85"/>
      <c r="J120" s="223"/>
      <c r="K120" s="85"/>
      <c r="L120" s="85"/>
      <c r="M120" s="87"/>
      <c r="N120" s="87"/>
      <c r="O120" s="87"/>
      <c r="P120" s="87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3"/>
      <c r="AE120" s="83"/>
      <c r="AF120" s="83"/>
      <c r="AG120" s="83"/>
      <c r="AH120" s="83"/>
      <c r="AI120" s="83"/>
    </row>
    <row r="121" spans="2:35" ht="60" customHeight="1">
      <c r="B121" s="91" t="s">
        <v>357</v>
      </c>
      <c r="C121" s="323" t="s">
        <v>359</v>
      </c>
      <c r="D121" s="323"/>
      <c r="E121" s="323"/>
      <c r="F121" s="213">
        <f>SUM(U12,U18,U23,U27,U29,U32:U34,U37:U43,U46,U50,U72,U73,U74)</f>
        <v>318.08000000000004</v>
      </c>
      <c r="G121" s="85"/>
      <c r="H121" s="85"/>
      <c r="I121" s="85"/>
      <c r="J121" s="223"/>
      <c r="K121" s="85"/>
      <c r="L121" s="85"/>
      <c r="M121" s="87"/>
      <c r="N121" s="87"/>
      <c r="O121" s="87"/>
      <c r="P121" s="87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3"/>
      <c r="AE121" s="83"/>
      <c r="AF121" s="83"/>
      <c r="AG121" s="83"/>
      <c r="AH121" s="83"/>
      <c r="AI121" s="83"/>
    </row>
    <row r="122" spans="2:35" ht="60" customHeight="1">
      <c r="B122" s="91" t="s">
        <v>366</v>
      </c>
      <c r="C122" s="323" t="s">
        <v>360</v>
      </c>
      <c r="D122" s="323"/>
      <c r="E122" s="323"/>
      <c r="F122" s="213">
        <f>SUM(U19,U20,U21,U28,U44,U62,U63,U64,U65,U66,U67,U68,U70,U71)</f>
        <v>200.34</v>
      </c>
      <c r="G122" s="85"/>
      <c r="H122" s="85"/>
      <c r="I122" s="85"/>
      <c r="J122" s="223"/>
      <c r="K122" s="85"/>
      <c r="L122" s="85"/>
      <c r="M122" s="87"/>
      <c r="N122" s="87"/>
      <c r="O122" s="87"/>
      <c r="P122" s="87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3"/>
      <c r="AE122" s="83"/>
      <c r="AF122" s="83"/>
      <c r="AG122" s="83"/>
      <c r="AH122" s="83"/>
      <c r="AI122" s="83"/>
    </row>
    <row r="123" spans="2:35" ht="40.049999999999997" customHeight="1">
      <c r="B123" s="91" t="s">
        <v>358</v>
      </c>
      <c r="C123" s="323" t="s">
        <v>361</v>
      </c>
      <c r="D123" s="323"/>
      <c r="E123" s="323"/>
      <c r="F123" s="236"/>
      <c r="G123" s="85"/>
      <c r="H123" s="85"/>
      <c r="I123" s="85"/>
      <c r="J123" s="223"/>
      <c r="K123" s="85"/>
      <c r="L123" s="85"/>
      <c r="M123" s="87"/>
      <c r="N123" s="87"/>
      <c r="O123" s="87"/>
      <c r="P123" s="87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3"/>
      <c r="AE123" s="83"/>
      <c r="AF123" s="83"/>
      <c r="AG123" s="83"/>
      <c r="AH123" s="83"/>
      <c r="AI123" s="83"/>
    </row>
    <row r="124" spans="2:35" ht="60" customHeight="1">
      <c r="B124" s="91" t="s">
        <v>356</v>
      </c>
      <c r="C124" s="323" t="s">
        <v>362</v>
      </c>
      <c r="D124" s="323"/>
      <c r="E124" s="323"/>
      <c r="F124" s="236">
        <f>SUM(U13,U25,U26,U75)</f>
        <v>73.63</v>
      </c>
      <c r="G124" s="85"/>
      <c r="H124" s="85"/>
      <c r="I124" s="85"/>
      <c r="J124" s="223"/>
      <c r="K124" s="85"/>
      <c r="L124" s="85"/>
      <c r="M124" s="87"/>
      <c r="N124" s="87"/>
      <c r="O124" s="87"/>
      <c r="P124" s="87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3"/>
      <c r="AE124" s="83"/>
      <c r="AF124" s="83"/>
      <c r="AG124" s="83"/>
      <c r="AH124" s="83"/>
      <c r="AI124" s="83"/>
    </row>
    <row r="125" spans="2:35" ht="60" customHeight="1">
      <c r="B125" s="91" t="s">
        <v>530</v>
      </c>
      <c r="C125" s="323" t="s">
        <v>532</v>
      </c>
      <c r="D125" s="323"/>
      <c r="E125" s="323"/>
      <c r="F125" s="213">
        <f>SUM(U15,U17,U30,U45,U47,U52,U54,U56,U58,U60,U79,U81)</f>
        <v>544.03</v>
      </c>
      <c r="G125" s="85"/>
      <c r="H125" s="85"/>
      <c r="I125" s="85"/>
      <c r="J125" s="223"/>
      <c r="K125" s="85"/>
      <c r="L125" s="85"/>
      <c r="M125" s="87"/>
      <c r="N125" s="87"/>
      <c r="O125" s="87"/>
      <c r="P125" s="87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3"/>
      <c r="AE125" s="83"/>
      <c r="AF125" s="83"/>
      <c r="AG125" s="83"/>
      <c r="AH125" s="83"/>
      <c r="AI125" s="83"/>
    </row>
    <row r="126" spans="2:35" ht="15.75" customHeight="1">
      <c r="B126" s="83"/>
      <c r="C126" s="80"/>
      <c r="D126" s="80"/>
      <c r="E126" s="80"/>
      <c r="F126" s="214">
        <f>SUM(F121:F125)</f>
        <v>1136.08</v>
      </c>
      <c r="G126" s="85"/>
      <c r="H126" s="85"/>
      <c r="I126" s="85"/>
      <c r="J126" s="223"/>
      <c r="K126" s="85"/>
      <c r="L126" s="85"/>
      <c r="M126" s="87"/>
      <c r="N126" s="87"/>
      <c r="O126" s="87"/>
      <c r="P126" s="87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3"/>
      <c r="AE126" s="83"/>
      <c r="AF126" s="83"/>
      <c r="AG126" s="83"/>
      <c r="AH126" s="83"/>
      <c r="AI126" s="83"/>
    </row>
    <row r="127" spans="2:35" ht="15.75" customHeight="1">
      <c r="B127" s="83"/>
      <c r="C127" s="85"/>
      <c r="D127" s="85"/>
      <c r="E127" s="85"/>
      <c r="F127" s="188"/>
      <c r="G127" s="85"/>
      <c r="H127" s="85"/>
      <c r="I127" s="85"/>
      <c r="J127" s="223"/>
      <c r="K127" s="85"/>
      <c r="L127" s="85"/>
      <c r="M127" s="87"/>
      <c r="N127" s="87"/>
      <c r="O127" s="87"/>
      <c r="P127" s="87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3"/>
      <c r="AE127" s="83"/>
      <c r="AF127" s="83"/>
      <c r="AG127" s="83"/>
      <c r="AH127" s="83"/>
      <c r="AI127" s="83"/>
    </row>
    <row r="128" spans="2:35" ht="15.75" customHeight="1">
      <c r="B128" s="83"/>
      <c r="C128" s="85"/>
      <c r="D128" s="85"/>
      <c r="E128" s="85"/>
      <c r="F128" s="188"/>
      <c r="G128" s="85"/>
      <c r="H128" s="85"/>
      <c r="I128" s="85"/>
      <c r="J128" s="223"/>
      <c r="K128" s="85"/>
      <c r="L128" s="85"/>
      <c r="M128" s="87"/>
      <c r="N128" s="87"/>
      <c r="O128" s="87"/>
      <c r="P128" s="87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3"/>
      <c r="AE128" s="83"/>
      <c r="AF128" s="83"/>
      <c r="AG128" s="83"/>
      <c r="AH128" s="83"/>
      <c r="AI128" s="83"/>
    </row>
    <row r="129" spans="2:35" ht="15.75" customHeight="1">
      <c r="B129" s="83"/>
      <c r="C129" s="85"/>
      <c r="D129" s="85"/>
      <c r="E129" s="85"/>
      <c r="F129" s="188"/>
      <c r="G129" s="85"/>
      <c r="H129" s="85"/>
      <c r="I129" s="85"/>
      <c r="J129" s="223"/>
      <c r="K129" s="85"/>
      <c r="L129" s="85"/>
      <c r="M129" s="87"/>
      <c r="N129" s="87"/>
      <c r="O129" s="87"/>
      <c r="P129" s="87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3"/>
      <c r="AE129" s="83"/>
      <c r="AF129" s="83"/>
      <c r="AG129" s="83"/>
      <c r="AH129" s="83"/>
      <c r="AI129" s="83"/>
    </row>
    <row r="130" spans="2:35" ht="15.75" customHeight="1">
      <c r="B130" s="83"/>
      <c r="C130" s="85"/>
      <c r="D130" s="85"/>
      <c r="E130" s="85"/>
      <c r="F130" s="188"/>
      <c r="G130" s="85"/>
      <c r="H130" s="85"/>
      <c r="I130" s="85"/>
      <c r="J130" s="223"/>
      <c r="K130" s="85"/>
      <c r="L130" s="85"/>
      <c r="M130" s="87"/>
      <c r="N130" s="87"/>
      <c r="O130" s="87"/>
      <c r="P130" s="87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3"/>
      <c r="AE130" s="83"/>
      <c r="AF130" s="83"/>
      <c r="AG130" s="83"/>
      <c r="AH130" s="83"/>
      <c r="AI130" s="83"/>
    </row>
    <row r="131" spans="2:35" ht="15.75" customHeight="1">
      <c r="B131" s="83"/>
      <c r="C131" s="85"/>
      <c r="D131" s="85"/>
      <c r="E131" s="85"/>
      <c r="F131" s="188"/>
      <c r="G131" s="85"/>
      <c r="H131" s="85"/>
      <c r="I131" s="85"/>
      <c r="J131" s="223"/>
      <c r="K131" s="85"/>
      <c r="L131" s="85"/>
      <c r="M131" s="87"/>
      <c r="N131" s="87"/>
      <c r="O131" s="87"/>
      <c r="P131" s="87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3"/>
      <c r="AE131" s="83"/>
      <c r="AF131" s="83"/>
      <c r="AG131" s="83"/>
      <c r="AH131" s="83"/>
      <c r="AI131" s="83"/>
    </row>
    <row r="132" spans="2:35" ht="15.75" customHeight="1">
      <c r="B132" s="83"/>
      <c r="C132" s="85"/>
      <c r="D132" s="85"/>
      <c r="E132" s="85"/>
      <c r="F132" s="188"/>
      <c r="G132" s="85"/>
      <c r="H132" s="85"/>
      <c r="I132" s="85"/>
      <c r="J132" s="223"/>
      <c r="K132" s="85"/>
      <c r="L132" s="85"/>
      <c r="M132" s="87"/>
      <c r="N132" s="87"/>
      <c r="O132" s="87"/>
      <c r="P132" s="87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3"/>
      <c r="AE132" s="83"/>
      <c r="AF132" s="83"/>
      <c r="AG132" s="83"/>
      <c r="AH132" s="83"/>
      <c r="AI132" s="83"/>
    </row>
    <row r="133" spans="2:35" ht="15.75" customHeight="1">
      <c r="B133" s="83"/>
      <c r="C133" s="85"/>
      <c r="D133" s="85"/>
      <c r="E133" s="85"/>
      <c r="F133" s="188"/>
      <c r="G133" s="85"/>
      <c r="H133" s="85"/>
      <c r="I133" s="85"/>
      <c r="J133" s="223"/>
      <c r="K133" s="85"/>
      <c r="L133" s="85"/>
      <c r="M133" s="87"/>
      <c r="N133" s="87"/>
      <c r="O133" s="87"/>
      <c r="P133" s="87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3"/>
      <c r="AE133" s="83"/>
      <c r="AF133" s="83"/>
      <c r="AG133" s="83"/>
      <c r="AH133" s="83"/>
      <c r="AI133" s="83"/>
    </row>
    <row r="134" spans="2:35" ht="15.75" customHeight="1">
      <c r="B134" s="83"/>
      <c r="C134" s="85"/>
      <c r="D134" s="85"/>
      <c r="E134" s="85"/>
      <c r="F134" s="188"/>
      <c r="G134" s="85"/>
      <c r="H134" s="85"/>
      <c r="I134" s="85"/>
      <c r="J134" s="223"/>
      <c r="K134" s="85"/>
      <c r="L134" s="85"/>
      <c r="M134" s="87"/>
      <c r="N134" s="87"/>
      <c r="O134" s="87"/>
      <c r="P134" s="87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3"/>
      <c r="AE134" s="83"/>
      <c r="AF134" s="83"/>
      <c r="AG134" s="83"/>
      <c r="AH134" s="83"/>
      <c r="AI134" s="83"/>
    </row>
    <row r="135" spans="2:35" ht="15.75" customHeight="1">
      <c r="B135" s="83"/>
      <c r="C135" s="85"/>
      <c r="D135" s="85"/>
      <c r="E135" s="85"/>
      <c r="F135" s="188"/>
      <c r="G135" s="85"/>
      <c r="H135" s="85"/>
      <c r="I135" s="85"/>
      <c r="J135" s="223"/>
      <c r="K135" s="85"/>
      <c r="L135" s="85"/>
      <c r="M135" s="87"/>
      <c r="N135" s="87"/>
      <c r="O135" s="87"/>
      <c r="P135" s="87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3"/>
      <c r="AE135" s="83"/>
      <c r="AF135" s="83"/>
      <c r="AG135" s="83"/>
      <c r="AH135" s="83"/>
      <c r="AI135" s="83"/>
    </row>
    <row r="136" spans="2:35" ht="15.75" customHeight="1">
      <c r="B136" s="83"/>
      <c r="C136" s="85"/>
      <c r="D136" s="87"/>
      <c r="E136" s="85"/>
      <c r="F136" s="188"/>
      <c r="G136" s="85"/>
      <c r="H136" s="85"/>
      <c r="I136" s="85"/>
      <c r="J136" s="223"/>
      <c r="K136" s="85"/>
      <c r="L136" s="85"/>
      <c r="M136" s="87"/>
      <c r="N136" s="87"/>
      <c r="O136" s="87"/>
      <c r="P136" s="87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3"/>
      <c r="AE136" s="83"/>
      <c r="AF136" s="83"/>
      <c r="AG136" s="83"/>
      <c r="AH136" s="83"/>
      <c r="AI136" s="83"/>
    </row>
    <row r="137" spans="2:35" ht="15.75" customHeight="1">
      <c r="B137" s="83"/>
      <c r="C137" s="85"/>
      <c r="D137" s="85"/>
      <c r="E137" s="85"/>
      <c r="F137" s="188"/>
      <c r="G137" s="85"/>
      <c r="H137" s="85"/>
      <c r="I137" s="85"/>
      <c r="J137" s="223"/>
      <c r="K137" s="85"/>
      <c r="L137" s="85"/>
      <c r="M137" s="87"/>
      <c r="N137" s="87"/>
      <c r="O137" s="87"/>
      <c r="P137" s="87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3"/>
      <c r="AE137" s="83"/>
      <c r="AF137" s="83"/>
      <c r="AG137" s="83"/>
      <c r="AH137" s="83"/>
      <c r="AI137" s="83"/>
    </row>
    <row r="138" spans="2:35" ht="15.75" customHeight="1">
      <c r="B138" s="83"/>
      <c r="C138" s="85"/>
      <c r="D138" s="85"/>
      <c r="E138" s="85"/>
      <c r="F138" s="188"/>
      <c r="G138" s="85"/>
      <c r="H138" s="85"/>
      <c r="I138" s="85"/>
      <c r="J138" s="223"/>
      <c r="K138" s="85"/>
      <c r="L138" s="85"/>
      <c r="M138" s="87"/>
      <c r="N138" s="87"/>
      <c r="O138" s="87"/>
      <c r="P138" s="87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3"/>
      <c r="AE138" s="83"/>
      <c r="AF138" s="83"/>
      <c r="AG138" s="83"/>
      <c r="AH138" s="83"/>
      <c r="AI138" s="83"/>
    </row>
    <row r="139" spans="2:35" ht="15.75" customHeight="1">
      <c r="B139" s="83"/>
      <c r="C139" s="85"/>
      <c r="D139" s="85"/>
      <c r="E139" s="85"/>
      <c r="F139" s="188"/>
      <c r="G139" s="85"/>
      <c r="H139" s="85"/>
      <c r="I139" s="85"/>
      <c r="J139" s="223"/>
      <c r="K139" s="85"/>
      <c r="L139" s="85"/>
      <c r="M139" s="87"/>
      <c r="N139" s="87"/>
      <c r="O139" s="87"/>
      <c r="P139" s="87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3"/>
      <c r="AE139" s="83"/>
      <c r="AF139" s="83"/>
      <c r="AG139" s="83"/>
      <c r="AH139" s="83"/>
      <c r="AI139" s="83"/>
    </row>
    <row r="140" spans="2:35" ht="15.75" customHeight="1">
      <c r="B140" s="83"/>
      <c r="C140" s="85"/>
      <c r="D140" s="85"/>
      <c r="E140" s="85"/>
      <c r="F140" s="188"/>
      <c r="G140" s="85"/>
      <c r="H140" s="85"/>
      <c r="I140" s="85"/>
      <c r="J140" s="223"/>
      <c r="K140" s="85"/>
      <c r="L140" s="85"/>
      <c r="M140" s="87"/>
      <c r="N140" s="87"/>
      <c r="O140" s="87"/>
      <c r="P140" s="87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3"/>
      <c r="AE140" s="83"/>
      <c r="AF140" s="83"/>
      <c r="AG140" s="83"/>
      <c r="AH140" s="83"/>
      <c r="AI140" s="83"/>
    </row>
    <row r="141" spans="2:35" ht="15.75" customHeight="1">
      <c r="B141" s="83"/>
      <c r="C141" s="85"/>
      <c r="D141" s="85"/>
      <c r="E141" s="85"/>
      <c r="F141" s="188"/>
      <c r="G141" s="85"/>
      <c r="H141" s="85"/>
      <c r="I141" s="85"/>
      <c r="J141" s="223"/>
      <c r="K141" s="85"/>
      <c r="L141" s="85"/>
      <c r="M141" s="87"/>
      <c r="N141" s="87"/>
      <c r="O141" s="87"/>
      <c r="P141" s="87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3"/>
      <c r="AE141" s="83"/>
      <c r="AF141" s="83"/>
      <c r="AG141" s="83"/>
      <c r="AH141" s="83"/>
      <c r="AI141" s="83"/>
    </row>
    <row r="142" spans="2:35" ht="15.75" customHeight="1">
      <c r="B142" s="83"/>
      <c r="C142" s="85"/>
      <c r="D142" s="85"/>
      <c r="E142" s="85"/>
      <c r="F142" s="188"/>
      <c r="G142" s="85"/>
      <c r="H142" s="85"/>
      <c r="I142" s="85"/>
      <c r="J142" s="223"/>
      <c r="K142" s="85"/>
      <c r="L142" s="85"/>
      <c r="M142" s="87"/>
      <c r="N142" s="87"/>
      <c r="O142" s="87"/>
      <c r="P142" s="87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3"/>
      <c r="AE142" s="83"/>
      <c r="AF142" s="83"/>
      <c r="AG142" s="83"/>
      <c r="AH142" s="83"/>
      <c r="AI142" s="83"/>
    </row>
    <row r="143" spans="2:35" ht="15.75" customHeight="1">
      <c r="B143" s="83"/>
      <c r="C143" s="85"/>
      <c r="D143" s="85"/>
      <c r="E143" s="85"/>
      <c r="F143" s="188"/>
      <c r="G143" s="85"/>
      <c r="H143" s="85"/>
      <c r="I143" s="85"/>
      <c r="J143" s="223"/>
      <c r="K143" s="85"/>
      <c r="L143" s="85"/>
      <c r="M143" s="87"/>
      <c r="N143" s="87"/>
      <c r="O143" s="87"/>
      <c r="P143" s="87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3"/>
      <c r="AE143" s="83"/>
      <c r="AF143" s="83"/>
      <c r="AG143" s="83"/>
      <c r="AH143" s="83"/>
      <c r="AI143" s="83"/>
    </row>
    <row r="144" spans="2:35" ht="15.75" customHeight="1">
      <c r="B144" s="83"/>
      <c r="C144" s="85"/>
      <c r="D144" s="85"/>
      <c r="E144" s="85"/>
      <c r="F144" s="188"/>
      <c r="G144" s="85"/>
      <c r="H144" s="85"/>
      <c r="I144" s="85"/>
      <c r="J144" s="223"/>
      <c r="K144" s="85"/>
      <c r="L144" s="85"/>
      <c r="M144" s="87"/>
      <c r="N144" s="87"/>
      <c r="O144" s="87"/>
      <c r="P144" s="87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3"/>
      <c r="AE144" s="83"/>
      <c r="AF144" s="83"/>
      <c r="AG144" s="83"/>
      <c r="AH144" s="83"/>
      <c r="AI144" s="83"/>
    </row>
    <row r="145" spans="2:35" ht="15.75" customHeight="1">
      <c r="B145" s="83"/>
      <c r="C145" s="85"/>
      <c r="D145" s="85"/>
      <c r="E145" s="85"/>
      <c r="F145" s="188"/>
      <c r="G145" s="85"/>
      <c r="H145" s="85"/>
      <c r="I145" s="85"/>
      <c r="J145" s="223"/>
      <c r="K145" s="85"/>
      <c r="L145" s="85"/>
      <c r="M145" s="87"/>
      <c r="N145" s="87"/>
      <c r="O145" s="87"/>
      <c r="P145" s="87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3"/>
      <c r="AE145" s="83"/>
      <c r="AF145" s="83"/>
      <c r="AG145" s="83"/>
      <c r="AH145" s="83"/>
      <c r="AI145" s="83"/>
    </row>
    <row r="146" spans="2:35" ht="15.75" customHeight="1">
      <c r="B146" s="83"/>
      <c r="C146" s="85"/>
      <c r="D146" s="85"/>
      <c r="E146" s="85"/>
      <c r="F146" s="188"/>
      <c r="G146" s="85"/>
      <c r="H146" s="85"/>
      <c r="I146" s="85"/>
      <c r="J146" s="223"/>
      <c r="K146" s="85"/>
      <c r="L146" s="85"/>
      <c r="M146" s="87"/>
      <c r="N146" s="87"/>
      <c r="O146" s="87"/>
      <c r="P146" s="87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3"/>
      <c r="AE146" s="83"/>
      <c r="AF146" s="83"/>
      <c r="AG146" s="83"/>
      <c r="AH146" s="83"/>
      <c r="AI146" s="83"/>
    </row>
    <row r="147" spans="2:35" ht="15.75" customHeight="1">
      <c r="B147" s="83"/>
      <c r="C147" s="85"/>
      <c r="D147" s="85"/>
      <c r="E147" s="85"/>
      <c r="F147" s="188"/>
      <c r="G147" s="85"/>
      <c r="H147" s="85"/>
      <c r="I147" s="85"/>
      <c r="J147" s="223"/>
      <c r="K147" s="85"/>
      <c r="L147" s="85"/>
      <c r="M147" s="87"/>
      <c r="N147" s="87"/>
      <c r="O147" s="87"/>
      <c r="P147" s="87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3"/>
      <c r="AE147" s="83"/>
      <c r="AF147" s="83"/>
      <c r="AG147" s="83"/>
      <c r="AH147" s="83"/>
      <c r="AI147" s="83"/>
    </row>
    <row r="148" spans="2:35" ht="15.75" customHeight="1">
      <c r="B148" s="83"/>
      <c r="C148" s="85"/>
      <c r="D148" s="85"/>
      <c r="E148" s="85"/>
      <c r="F148" s="188"/>
      <c r="G148" s="85"/>
      <c r="H148" s="85"/>
      <c r="I148" s="85"/>
      <c r="J148" s="223"/>
      <c r="K148" s="85"/>
      <c r="L148" s="85"/>
      <c r="M148" s="87"/>
      <c r="N148" s="87"/>
      <c r="O148" s="87"/>
      <c r="P148" s="87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3"/>
      <c r="AE148" s="83"/>
      <c r="AF148" s="83"/>
      <c r="AG148" s="83"/>
      <c r="AH148" s="83"/>
      <c r="AI148" s="83"/>
    </row>
    <row r="149" spans="2:35" ht="15.75" customHeight="1">
      <c r="B149" s="83"/>
      <c r="C149" s="85"/>
      <c r="D149" s="85"/>
      <c r="E149" s="85"/>
      <c r="F149" s="188"/>
      <c r="G149" s="85"/>
      <c r="H149" s="85"/>
      <c r="I149" s="85"/>
      <c r="J149" s="223"/>
      <c r="K149" s="85"/>
      <c r="L149" s="85"/>
      <c r="M149" s="87"/>
      <c r="N149" s="87"/>
      <c r="O149" s="87"/>
      <c r="P149" s="87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3"/>
      <c r="AE149" s="83"/>
      <c r="AF149" s="83"/>
      <c r="AG149" s="83"/>
      <c r="AH149" s="83"/>
      <c r="AI149" s="83"/>
    </row>
    <row r="150" spans="2:35" ht="15.75" customHeight="1">
      <c r="B150" s="83"/>
      <c r="C150" s="85"/>
      <c r="D150" s="87">
        <v>0</v>
      </c>
      <c r="E150" s="85"/>
      <c r="F150" s="188"/>
      <c r="G150" s="85"/>
      <c r="H150" s="85"/>
      <c r="I150" s="85"/>
      <c r="J150" s="223"/>
      <c r="K150" s="85"/>
      <c r="L150" s="85"/>
      <c r="M150" s="87"/>
      <c r="N150" s="87"/>
      <c r="O150" s="87"/>
      <c r="P150" s="87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3"/>
      <c r="AE150" s="83"/>
      <c r="AF150" s="83"/>
      <c r="AG150" s="83"/>
      <c r="AH150" s="83"/>
      <c r="AI150" s="83"/>
    </row>
    <row r="151" spans="2:35" ht="15.75" customHeight="1">
      <c r="B151" s="83"/>
      <c r="C151" s="85"/>
      <c r="D151" s="85"/>
      <c r="E151" s="85"/>
      <c r="F151" s="188"/>
      <c r="G151" s="85"/>
      <c r="H151" s="85"/>
      <c r="I151" s="85"/>
      <c r="J151" s="223"/>
      <c r="K151" s="85"/>
      <c r="L151" s="85"/>
      <c r="M151" s="87"/>
      <c r="N151" s="87"/>
      <c r="O151" s="87"/>
      <c r="P151" s="87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3"/>
      <c r="AE151" s="83"/>
      <c r="AF151" s="83"/>
      <c r="AG151" s="83"/>
      <c r="AH151" s="83"/>
      <c r="AI151" s="83"/>
    </row>
    <row r="152" spans="2:35" ht="15.75" customHeight="1">
      <c r="B152" s="83"/>
      <c r="C152" s="85"/>
      <c r="D152" s="85"/>
      <c r="E152" s="85"/>
      <c r="F152" s="188"/>
      <c r="G152" s="85"/>
      <c r="H152" s="85"/>
      <c r="I152" s="85"/>
      <c r="J152" s="188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3"/>
      <c r="AE152" s="83"/>
      <c r="AF152" s="83"/>
      <c r="AG152" s="83"/>
      <c r="AH152" s="83"/>
      <c r="AI152" s="83"/>
    </row>
    <row r="153" spans="2:35" ht="15.75" customHeight="1">
      <c r="B153" s="83"/>
      <c r="C153" s="85"/>
      <c r="D153" s="85"/>
      <c r="E153" s="85"/>
      <c r="F153" s="188"/>
      <c r="G153" s="85"/>
      <c r="H153" s="85"/>
      <c r="I153" s="85"/>
      <c r="J153" s="188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3"/>
      <c r="AE153" s="83"/>
      <c r="AF153" s="83"/>
      <c r="AG153" s="83"/>
      <c r="AH153" s="83"/>
      <c r="AI153" s="83"/>
    </row>
    <row r="154" spans="2:35" ht="15.75" customHeight="1">
      <c r="B154" s="83"/>
      <c r="C154" s="85"/>
      <c r="D154" s="85"/>
      <c r="E154" s="85"/>
      <c r="F154" s="188"/>
      <c r="G154" s="85"/>
      <c r="H154" s="85"/>
      <c r="I154" s="85"/>
      <c r="J154" s="188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3"/>
      <c r="AE154" s="83"/>
      <c r="AF154" s="83"/>
      <c r="AG154" s="83"/>
      <c r="AH154" s="83"/>
      <c r="AI154" s="83"/>
    </row>
    <row r="155" spans="2:35" ht="66" customHeight="1"/>
    <row r="156" spans="2:35" ht="66.75" customHeight="1"/>
    <row r="157" spans="2:35" ht="33" customHeight="1"/>
    <row r="158" spans="2:35" ht="42.75" customHeight="1"/>
    <row r="159" spans="2:35" ht="15.75" customHeight="1"/>
    <row r="160" spans="2:35" ht="15.75" customHeight="1">
      <c r="C160" s="15"/>
      <c r="D160" s="15"/>
      <c r="E160" s="15"/>
    </row>
    <row r="161" spans="2:5" ht="15.75" customHeight="1">
      <c r="B161" s="20"/>
      <c r="C161" s="15"/>
      <c r="D161" s="15"/>
      <c r="E161" s="15"/>
    </row>
    <row r="162" spans="2:5" ht="15.75" customHeight="1"/>
    <row r="163" spans="2:5" ht="15.75" customHeight="1"/>
    <row r="164" spans="2:5" ht="30" customHeight="1"/>
    <row r="165" spans="2:5" ht="15.75" customHeight="1"/>
    <row r="166" spans="2:5" ht="15.75" customHeight="1"/>
    <row r="167" spans="2:5" ht="15.75" customHeight="1"/>
    <row r="168" spans="2:5" ht="15.75" customHeight="1"/>
    <row r="169" spans="2:5" ht="15.75" customHeight="1"/>
    <row r="170" spans="2:5" ht="15.75" customHeight="1"/>
    <row r="171" spans="2:5" ht="15.75" customHeight="1"/>
    <row r="172" spans="2:5" ht="15.75" customHeight="1"/>
    <row r="173" spans="2:5" ht="15.75" customHeight="1"/>
    <row r="174" spans="2:5" ht="15.75" customHeight="1"/>
    <row r="175" spans="2:5" ht="15.75" customHeight="1"/>
    <row r="176" spans="2: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</sheetData>
  <mergeCells count="7">
    <mergeCell ref="C124:E124"/>
    <mergeCell ref="C125:E125"/>
    <mergeCell ref="AF93:AH93"/>
    <mergeCell ref="AF94:AH94"/>
    <mergeCell ref="C121:E121"/>
    <mergeCell ref="C122:E122"/>
    <mergeCell ref="C123:E123"/>
  </mergeCells>
  <phoneticPr fontId="19" type="noConversion"/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48526"/>
  <sheetViews>
    <sheetView zoomScale="110" zoomScaleNormal="110" workbookViewId="0">
      <selection activeCell="AA100" sqref="AA100"/>
    </sheetView>
  </sheetViews>
  <sheetFormatPr defaultRowHeight="15" customHeight="1"/>
  <cols>
    <col min="1" max="1" width="4.59765625" style="16" customWidth="1"/>
    <col min="2" max="2" width="18.69921875" style="16" customWidth="1"/>
    <col min="3" max="3" width="6.69921875" style="16" customWidth="1"/>
    <col min="4" max="4" width="6.796875" style="16" customWidth="1"/>
    <col min="5" max="5" width="6.69921875" style="16" customWidth="1"/>
    <col min="6" max="6" width="7.59765625" style="16" customWidth="1"/>
    <col min="7" max="7" width="6.69921875" style="16" customWidth="1"/>
    <col min="8" max="8" width="8.5" style="16" customWidth="1"/>
    <col min="9" max="9" width="7.69921875" style="16" customWidth="1"/>
    <col min="10" max="10" width="7.8984375" style="16" customWidth="1"/>
    <col min="11" max="11" width="2.796875" style="16" customWidth="1"/>
    <col min="12" max="13" width="6.69921875" style="16" customWidth="1"/>
    <col min="14" max="14" width="8.69921875" style="5" bestFit="1" customWidth="1"/>
    <col min="15" max="15" width="6.19921875" style="5" bestFit="1" customWidth="1"/>
    <col min="16" max="16" width="7.796875" style="5" customWidth="1"/>
    <col min="17" max="17" width="8.69921875" style="5" bestFit="1" customWidth="1"/>
    <col min="18" max="18" width="8.69921875" style="5" customWidth="1"/>
    <col min="19" max="19" width="2.69921875" style="5" customWidth="1"/>
    <col min="20" max="20" width="6.796875" style="5" customWidth="1"/>
    <col min="21" max="21" width="9.796875" style="5" customWidth="1"/>
    <col min="22" max="22" width="2.69921875" style="5" customWidth="1"/>
    <col min="23" max="23" width="6.796875" style="35" customWidth="1"/>
    <col min="24" max="24" width="6.69921875" style="5" customWidth="1"/>
    <col min="25" max="25" width="7.796875" style="5" customWidth="1"/>
    <col min="26" max="27" width="7.69921875" style="5" customWidth="1"/>
    <col min="28" max="28" width="8" style="5" customWidth="1"/>
    <col min="29" max="29" width="8.69921875" style="5" customWidth="1"/>
    <col min="30" max="30" width="2.69921875" style="5" customWidth="1"/>
    <col min="31" max="31" width="6.69921875" style="5" customWidth="1"/>
    <col min="32" max="32" width="9.09765625" style="5" customWidth="1"/>
    <col min="33" max="33" width="18" customWidth="1"/>
    <col min="34" max="35" width="8.296875" customWidth="1"/>
    <col min="36" max="1024" width="18" customWidth="1"/>
  </cols>
  <sheetData>
    <row r="1" spans="1:38" ht="15" customHeight="1">
      <c r="F1" s="28"/>
    </row>
    <row r="2" spans="1:38" ht="15" customHeight="1">
      <c r="A2" s="279" t="s">
        <v>281</v>
      </c>
      <c r="B2" s="284" t="s">
        <v>282</v>
      </c>
      <c r="C2" s="83"/>
      <c r="D2" s="83"/>
      <c r="E2" s="83"/>
      <c r="F2" s="191"/>
      <c r="I2" s="66" t="s">
        <v>423</v>
      </c>
    </row>
    <row r="3" spans="1:38" ht="15" customHeight="1">
      <c r="A3" s="279" t="s">
        <v>283</v>
      </c>
      <c r="B3" s="284" t="s">
        <v>284</v>
      </c>
      <c r="C3" s="83"/>
      <c r="D3" s="83"/>
      <c r="E3" s="83"/>
      <c r="F3" s="191"/>
      <c r="I3" s="67" t="s">
        <v>391</v>
      </c>
    </row>
    <row r="4" spans="1:38" ht="15" customHeight="1">
      <c r="A4" s="83"/>
      <c r="B4" s="285" t="s">
        <v>636</v>
      </c>
      <c r="C4" s="83"/>
      <c r="D4" s="83"/>
      <c r="E4" s="83"/>
      <c r="F4" s="191"/>
      <c r="I4" s="68" t="s">
        <v>392</v>
      </c>
    </row>
    <row r="5" spans="1:38" ht="15" customHeight="1">
      <c r="F5" s="28"/>
      <c r="I5" s="71" t="s">
        <v>526</v>
      </c>
    </row>
    <row r="7" spans="1:38" ht="13.8">
      <c r="B7" s="273" t="s">
        <v>35</v>
      </c>
      <c r="C7" s="191"/>
      <c r="D7" s="191"/>
      <c r="E7" s="191"/>
      <c r="F7" s="191"/>
      <c r="G7" s="191"/>
      <c r="H7" s="191"/>
      <c r="I7" s="191"/>
      <c r="J7" s="191"/>
      <c r="K7" s="191"/>
      <c r="L7" s="273" t="s">
        <v>36</v>
      </c>
      <c r="M7" s="273"/>
      <c r="N7" s="191"/>
      <c r="O7" s="191"/>
      <c r="P7" s="191"/>
      <c r="Q7" s="191"/>
      <c r="R7" s="191"/>
      <c r="S7" s="191"/>
      <c r="T7" s="273" t="s">
        <v>33</v>
      </c>
      <c r="U7" s="273"/>
      <c r="V7" s="191"/>
      <c r="W7" s="276" t="s">
        <v>37</v>
      </c>
      <c r="X7" s="191"/>
      <c r="Y7" s="191"/>
      <c r="Z7" s="191"/>
      <c r="AA7" s="191"/>
      <c r="AB7" s="191"/>
      <c r="AC7" s="191"/>
      <c r="AD7" s="191"/>
      <c r="AE7" s="273" t="s">
        <v>34</v>
      </c>
      <c r="AF7" s="273"/>
    </row>
    <row r="8" spans="1:38" ht="15" customHeight="1">
      <c r="A8" s="28" t="s">
        <v>350</v>
      </c>
    </row>
    <row r="9" spans="1:38" ht="14.4">
      <c r="A9" s="28" t="s">
        <v>344</v>
      </c>
      <c r="B9" s="79" t="s">
        <v>38</v>
      </c>
      <c r="C9" s="79" t="s">
        <v>39</v>
      </c>
      <c r="D9" s="79" t="s">
        <v>40</v>
      </c>
      <c r="E9" s="79" t="s">
        <v>41</v>
      </c>
      <c r="F9" s="79" t="s">
        <v>42</v>
      </c>
      <c r="G9" s="79" t="s">
        <v>43</v>
      </c>
      <c r="H9" s="79" t="s">
        <v>44</v>
      </c>
      <c r="I9" s="79" t="s">
        <v>45</v>
      </c>
      <c r="J9" s="79" t="s">
        <v>46</v>
      </c>
      <c r="K9" s="83"/>
      <c r="L9" s="82" t="s">
        <v>39</v>
      </c>
      <c r="M9" s="82" t="s">
        <v>40</v>
      </c>
      <c r="N9" s="82" t="s">
        <v>47</v>
      </c>
      <c r="O9" s="82" t="s">
        <v>48</v>
      </c>
      <c r="P9" s="82" t="s">
        <v>44</v>
      </c>
      <c r="Q9" s="82" t="s">
        <v>49</v>
      </c>
      <c r="R9" s="82" t="s">
        <v>46</v>
      </c>
      <c r="S9" s="83"/>
      <c r="T9" s="84" t="s">
        <v>39</v>
      </c>
      <c r="U9" s="84" t="s">
        <v>47</v>
      </c>
      <c r="V9" s="83"/>
      <c r="W9" s="250" t="s">
        <v>39</v>
      </c>
      <c r="X9" s="251" t="s">
        <v>41</v>
      </c>
      <c r="Y9" s="251" t="s">
        <v>42</v>
      </c>
      <c r="Z9" s="251" t="s">
        <v>43</v>
      </c>
      <c r="AA9" s="251" t="s">
        <v>44</v>
      </c>
      <c r="AB9" s="251" t="s">
        <v>45</v>
      </c>
      <c r="AC9" s="251" t="s">
        <v>46</v>
      </c>
      <c r="AD9" s="83"/>
      <c r="AE9" s="84" t="s">
        <v>39</v>
      </c>
      <c r="AF9" s="84" t="s">
        <v>47</v>
      </c>
      <c r="AG9" s="83"/>
      <c r="AH9" s="83"/>
      <c r="AI9" s="83"/>
      <c r="AJ9" s="83"/>
      <c r="AK9" s="83"/>
    </row>
    <row r="10" spans="1:38" ht="14.4">
      <c r="B10" s="79"/>
      <c r="C10" s="79" t="s">
        <v>50</v>
      </c>
      <c r="D10" s="79"/>
      <c r="E10" s="79" t="s">
        <v>51</v>
      </c>
      <c r="F10" s="79" t="s">
        <v>52</v>
      </c>
      <c r="G10" s="79" t="s">
        <v>51</v>
      </c>
      <c r="H10" s="79" t="s">
        <v>51</v>
      </c>
      <c r="I10" s="79" t="s">
        <v>51</v>
      </c>
      <c r="J10" s="79" t="s">
        <v>51</v>
      </c>
      <c r="K10" s="83"/>
      <c r="L10" s="82" t="s">
        <v>53</v>
      </c>
      <c r="M10" s="82"/>
      <c r="N10" s="82" t="s">
        <v>52</v>
      </c>
      <c r="O10" s="82" t="s">
        <v>51</v>
      </c>
      <c r="P10" s="82" t="s">
        <v>51</v>
      </c>
      <c r="Q10" s="82" t="s">
        <v>51</v>
      </c>
      <c r="R10" s="82" t="s">
        <v>51</v>
      </c>
      <c r="S10" s="83"/>
      <c r="T10" s="84"/>
      <c r="U10" s="84" t="s">
        <v>52</v>
      </c>
      <c r="V10" s="83"/>
      <c r="W10" s="250"/>
      <c r="X10" s="251" t="s">
        <v>51</v>
      </c>
      <c r="Y10" s="251" t="s">
        <v>52</v>
      </c>
      <c r="Z10" s="251" t="s">
        <v>51</v>
      </c>
      <c r="AA10" s="251" t="s">
        <v>51</v>
      </c>
      <c r="AB10" s="251" t="s">
        <v>51</v>
      </c>
      <c r="AC10" s="251" t="s">
        <v>51</v>
      </c>
      <c r="AD10" s="83"/>
      <c r="AE10" s="84"/>
      <c r="AF10" s="84" t="s">
        <v>52</v>
      </c>
      <c r="AG10" s="83"/>
      <c r="AH10" s="83"/>
      <c r="AI10" s="83"/>
      <c r="AJ10" s="83"/>
      <c r="AK10" s="83"/>
      <c r="AL10" s="3"/>
    </row>
    <row r="11" spans="1:38" s="11" customFormat="1" ht="14.4">
      <c r="A11" s="18"/>
      <c r="B11" s="138" t="s">
        <v>58</v>
      </c>
      <c r="C11" s="162" t="s">
        <v>17</v>
      </c>
      <c r="D11" s="108">
        <v>1</v>
      </c>
      <c r="E11" s="108" t="s">
        <v>57</v>
      </c>
      <c r="F11" s="108" t="s">
        <v>57</v>
      </c>
      <c r="G11" s="145">
        <v>31.64</v>
      </c>
      <c r="H11" s="92"/>
      <c r="I11" s="108">
        <f t="shared" ref="I11:I69" si="0">(G11-H11)</f>
        <v>31.64</v>
      </c>
      <c r="J11" s="108">
        <f t="shared" ref="J11:J69" si="1">I11*D11</f>
        <v>31.64</v>
      </c>
      <c r="K11" s="90"/>
      <c r="L11" s="162" t="s">
        <v>17</v>
      </c>
      <c r="M11" s="108">
        <v>1</v>
      </c>
      <c r="N11" s="145">
        <v>29.82</v>
      </c>
      <c r="O11" s="252">
        <v>2.7</v>
      </c>
      <c r="P11" s="253"/>
      <c r="Q11" s="253"/>
      <c r="R11" s="108">
        <f t="shared" ref="R11:R68" si="2">(N11*O11-P11)*M11</f>
        <v>80.51400000000001</v>
      </c>
      <c r="S11" s="110"/>
      <c r="T11" s="108" t="s">
        <v>17</v>
      </c>
      <c r="U11" s="92">
        <f>N11*M11</f>
        <v>29.82</v>
      </c>
      <c r="V11" s="90"/>
      <c r="W11" s="162" t="s">
        <v>17</v>
      </c>
      <c r="X11" s="108" t="str">
        <f t="shared" ref="X11:X69" si="3">E11</f>
        <v>cad</v>
      </c>
      <c r="Y11" s="108" t="str">
        <f t="shared" ref="Y11:Y69" si="4">F11</f>
        <v>cad</v>
      </c>
      <c r="Z11" s="108">
        <f t="shared" ref="Z11:Z69" si="5">G11</f>
        <v>31.64</v>
      </c>
      <c r="AA11" s="108">
        <f t="shared" ref="AA11:AA69" si="6">H11</f>
        <v>0</v>
      </c>
      <c r="AB11" s="108">
        <f t="shared" ref="AB11:AB69" si="7">I11</f>
        <v>31.64</v>
      </c>
      <c r="AC11" s="108">
        <f t="shared" ref="AC11:AC69" si="8">J11</f>
        <v>31.64</v>
      </c>
      <c r="AD11" s="90"/>
      <c r="AE11" s="92" t="s">
        <v>357</v>
      </c>
      <c r="AF11" s="108">
        <f>N11*M11</f>
        <v>29.82</v>
      </c>
      <c r="AG11" s="90"/>
      <c r="AH11" s="90"/>
      <c r="AI11" s="90"/>
      <c r="AJ11" s="90"/>
      <c r="AK11" s="90"/>
    </row>
    <row r="12" spans="1:38" s="11" customFormat="1" ht="14.4">
      <c r="A12" s="18"/>
      <c r="B12" s="138" t="s">
        <v>59</v>
      </c>
      <c r="C12" s="162" t="s">
        <v>24</v>
      </c>
      <c r="D12" s="108">
        <v>1</v>
      </c>
      <c r="E12" s="108" t="s">
        <v>57</v>
      </c>
      <c r="F12" s="108" t="s">
        <v>57</v>
      </c>
      <c r="G12" s="162">
        <v>40.909999999999997</v>
      </c>
      <c r="H12" s="92"/>
      <c r="I12" s="108">
        <f t="shared" si="0"/>
        <v>40.909999999999997</v>
      </c>
      <c r="J12" s="108">
        <f t="shared" si="1"/>
        <v>40.909999999999997</v>
      </c>
      <c r="K12" s="90"/>
      <c r="L12" s="162" t="s">
        <v>339</v>
      </c>
      <c r="M12" s="108">
        <v>1</v>
      </c>
      <c r="N12" s="162">
        <v>26.71</v>
      </c>
      <c r="O12" s="252">
        <v>3.9</v>
      </c>
      <c r="P12" s="253"/>
      <c r="Q12" s="253"/>
      <c r="R12" s="108">
        <f t="shared" si="2"/>
        <v>104.169</v>
      </c>
      <c r="S12" s="110"/>
      <c r="T12" s="108" t="s">
        <v>20</v>
      </c>
      <c r="U12" s="92">
        <f>N12*M12</f>
        <v>26.71</v>
      </c>
      <c r="V12" s="90"/>
      <c r="W12" s="162" t="s">
        <v>20</v>
      </c>
      <c r="X12" s="108" t="str">
        <f t="shared" si="3"/>
        <v>cad</v>
      </c>
      <c r="Y12" s="108" t="str">
        <f t="shared" si="4"/>
        <v>cad</v>
      </c>
      <c r="Z12" s="108">
        <f t="shared" si="5"/>
        <v>40.909999999999997</v>
      </c>
      <c r="AA12" s="108">
        <f t="shared" si="6"/>
        <v>0</v>
      </c>
      <c r="AB12" s="108">
        <f t="shared" si="7"/>
        <v>40.909999999999997</v>
      </c>
      <c r="AC12" s="108">
        <f t="shared" si="8"/>
        <v>40.909999999999997</v>
      </c>
      <c r="AD12" s="90"/>
      <c r="AE12" s="92"/>
      <c r="AF12" s="108"/>
      <c r="AG12" s="90"/>
      <c r="AH12" s="90"/>
      <c r="AI12" s="90"/>
      <c r="AJ12" s="90"/>
      <c r="AK12" s="90"/>
    </row>
    <row r="13" spans="1:38" s="11" customFormat="1" ht="14.4">
      <c r="A13" s="18"/>
      <c r="B13" s="138"/>
      <c r="C13" s="162" t="s">
        <v>24</v>
      </c>
      <c r="D13" s="108">
        <v>1</v>
      </c>
      <c r="E13" s="108" t="s">
        <v>57</v>
      </c>
      <c r="F13" s="108" t="s">
        <v>57</v>
      </c>
      <c r="G13" s="162">
        <v>9.7100000000000009</v>
      </c>
      <c r="H13" s="92"/>
      <c r="I13" s="108">
        <f t="shared" ref="I13" si="9">(G13-H13)</f>
        <v>9.7100000000000009</v>
      </c>
      <c r="J13" s="108">
        <f t="shared" ref="J13" si="10">I13*D13</f>
        <v>9.7100000000000009</v>
      </c>
      <c r="K13" s="90"/>
      <c r="L13" s="162"/>
      <c r="M13" s="108"/>
      <c r="N13" s="162"/>
      <c r="O13" s="198"/>
      <c r="P13" s="253"/>
      <c r="Q13" s="253"/>
      <c r="R13" s="108"/>
      <c r="S13" s="110"/>
      <c r="T13" s="108"/>
      <c r="U13" s="92"/>
      <c r="V13" s="90"/>
      <c r="W13" s="162"/>
      <c r="X13" s="108"/>
      <c r="Y13" s="108"/>
      <c r="Z13" s="108"/>
      <c r="AA13" s="108"/>
      <c r="AB13" s="108"/>
      <c r="AC13" s="108"/>
      <c r="AD13" s="90"/>
      <c r="AE13" s="92"/>
      <c r="AF13" s="108"/>
      <c r="AG13" s="90"/>
      <c r="AH13" s="90"/>
      <c r="AI13" s="90"/>
      <c r="AJ13" s="90"/>
      <c r="AK13" s="90"/>
    </row>
    <row r="14" spans="1:38" s="11" customFormat="1" ht="14.4">
      <c r="A14" s="18"/>
      <c r="B14" s="138" t="s">
        <v>104</v>
      </c>
      <c r="C14" s="319" t="s">
        <v>17</v>
      </c>
      <c r="D14" s="108">
        <v>1</v>
      </c>
      <c r="E14" s="108" t="s">
        <v>57</v>
      </c>
      <c r="F14" s="108" t="s">
        <v>57</v>
      </c>
      <c r="G14" s="145">
        <v>42.86</v>
      </c>
      <c r="H14" s="92"/>
      <c r="I14" s="108">
        <f t="shared" si="0"/>
        <v>42.86</v>
      </c>
      <c r="J14" s="108">
        <f t="shared" si="1"/>
        <v>42.86</v>
      </c>
      <c r="K14" s="90"/>
      <c r="L14" s="162" t="s">
        <v>17</v>
      </c>
      <c r="M14" s="108">
        <v>1</v>
      </c>
      <c r="N14" s="145">
        <f>41.56-2.35</f>
        <v>39.21</v>
      </c>
      <c r="O14" s="252">
        <v>2.8</v>
      </c>
      <c r="P14" s="253"/>
      <c r="Q14" s="253"/>
      <c r="R14" s="108">
        <f t="shared" si="2"/>
        <v>109.788</v>
      </c>
      <c r="S14" s="110"/>
      <c r="T14" s="108" t="s">
        <v>21</v>
      </c>
      <c r="U14" s="92">
        <f>N14*M14</f>
        <v>39.21</v>
      </c>
      <c r="V14" s="90"/>
      <c r="W14" s="162" t="s">
        <v>17</v>
      </c>
      <c r="X14" s="108" t="str">
        <f t="shared" si="3"/>
        <v>cad</v>
      </c>
      <c r="Y14" s="108" t="str">
        <f t="shared" si="4"/>
        <v>cad</v>
      </c>
      <c r="Z14" s="108">
        <f t="shared" si="5"/>
        <v>42.86</v>
      </c>
      <c r="AA14" s="108">
        <f t="shared" si="6"/>
        <v>0</v>
      </c>
      <c r="AB14" s="108">
        <f t="shared" si="7"/>
        <v>42.86</v>
      </c>
      <c r="AC14" s="108">
        <f t="shared" si="8"/>
        <v>42.86</v>
      </c>
      <c r="AD14" s="90"/>
      <c r="AE14" s="92" t="s">
        <v>17</v>
      </c>
      <c r="AF14" s="108">
        <f>N14*M14</f>
        <v>39.21</v>
      </c>
      <c r="AG14" s="90"/>
      <c r="AH14" s="90"/>
      <c r="AI14" s="90"/>
      <c r="AJ14" s="90"/>
      <c r="AK14" s="90"/>
    </row>
    <row r="15" spans="1:38" s="11" customFormat="1" ht="14.4">
      <c r="A15" s="18"/>
      <c r="B15" s="138"/>
      <c r="C15" s="162"/>
      <c r="D15" s="108"/>
      <c r="E15" s="108"/>
      <c r="F15" s="108"/>
      <c r="G15" s="141"/>
      <c r="H15" s="92"/>
      <c r="I15" s="108"/>
      <c r="J15" s="108"/>
      <c r="K15" s="90"/>
      <c r="L15" s="162"/>
      <c r="M15" s="108"/>
      <c r="N15" s="95"/>
      <c r="O15" s="198"/>
      <c r="P15" s="253"/>
      <c r="Q15" s="253"/>
      <c r="R15" s="108"/>
      <c r="S15" s="110"/>
      <c r="T15" s="108"/>
      <c r="U15" s="92"/>
      <c r="V15" s="90"/>
      <c r="W15" s="162" t="s">
        <v>19</v>
      </c>
      <c r="X15" s="141">
        <f>E15</f>
        <v>0</v>
      </c>
      <c r="Y15" s="141">
        <f>F15</f>
        <v>0</v>
      </c>
      <c r="Z15" s="141">
        <v>19.54</v>
      </c>
      <c r="AA15" s="108">
        <f t="shared" si="6"/>
        <v>0</v>
      </c>
      <c r="AB15" s="141">
        <f>Z15</f>
        <v>19.54</v>
      </c>
      <c r="AC15" s="141">
        <f>AB15</f>
        <v>19.54</v>
      </c>
      <c r="AD15" s="90"/>
      <c r="AE15" s="92"/>
      <c r="AF15" s="108"/>
      <c r="AG15" s="90"/>
      <c r="AH15" s="90"/>
      <c r="AI15" s="90"/>
      <c r="AJ15" s="90"/>
      <c r="AK15" s="90"/>
    </row>
    <row r="16" spans="1:38" s="11" customFormat="1" ht="14.4">
      <c r="A16" s="18"/>
      <c r="B16" s="138" t="s">
        <v>79</v>
      </c>
      <c r="C16" s="162" t="s">
        <v>17</v>
      </c>
      <c r="D16" s="108">
        <v>1</v>
      </c>
      <c r="E16" s="108" t="s">
        <v>57</v>
      </c>
      <c r="F16" s="108" t="s">
        <v>57</v>
      </c>
      <c r="G16" s="145">
        <v>7.92</v>
      </c>
      <c r="H16" s="92"/>
      <c r="I16" s="108">
        <f t="shared" si="0"/>
        <v>7.92</v>
      </c>
      <c r="J16" s="108">
        <f t="shared" si="1"/>
        <v>7.92</v>
      </c>
      <c r="K16" s="90"/>
      <c r="L16" s="162" t="s">
        <v>17</v>
      </c>
      <c r="M16" s="108">
        <v>1</v>
      </c>
      <c r="N16" s="145">
        <v>11.43</v>
      </c>
      <c r="O16" s="252">
        <v>2.7</v>
      </c>
      <c r="P16" s="253"/>
      <c r="Q16" s="253"/>
      <c r="R16" s="108">
        <f t="shared" si="2"/>
        <v>30.861000000000001</v>
      </c>
      <c r="S16" s="110"/>
      <c r="T16" s="108" t="s">
        <v>17</v>
      </c>
      <c r="U16" s="92">
        <f t="shared" ref="U16:U19" si="11">N16*M16</f>
        <v>11.43</v>
      </c>
      <c r="V16" s="90"/>
      <c r="W16" s="162" t="s">
        <v>17</v>
      </c>
      <c r="X16" s="108" t="str">
        <f t="shared" si="3"/>
        <v>cad</v>
      </c>
      <c r="Y16" s="108" t="str">
        <f t="shared" si="4"/>
        <v>cad</v>
      </c>
      <c r="Z16" s="108">
        <f t="shared" si="5"/>
        <v>7.92</v>
      </c>
      <c r="AA16" s="108">
        <f t="shared" si="6"/>
        <v>0</v>
      </c>
      <c r="AB16" s="108">
        <f t="shared" si="7"/>
        <v>7.92</v>
      </c>
      <c r="AC16" s="108">
        <f t="shared" si="8"/>
        <v>7.92</v>
      </c>
      <c r="AD16" s="90"/>
      <c r="AE16" s="92" t="s">
        <v>17</v>
      </c>
      <c r="AF16" s="108">
        <f t="shared" ref="AF16:AF19" si="12">N16*M16</f>
        <v>11.43</v>
      </c>
      <c r="AG16" s="90"/>
      <c r="AH16" s="90"/>
      <c r="AI16" s="90"/>
      <c r="AJ16" s="90"/>
      <c r="AK16" s="90"/>
    </row>
    <row r="17" spans="1:37" s="11" customFormat="1" ht="14.4">
      <c r="A17" s="18"/>
      <c r="B17" s="138" t="s">
        <v>147</v>
      </c>
      <c r="C17" s="162" t="s">
        <v>20</v>
      </c>
      <c r="D17" s="108">
        <v>1</v>
      </c>
      <c r="E17" s="108" t="s">
        <v>57</v>
      </c>
      <c r="F17" s="108" t="s">
        <v>57</v>
      </c>
      <c r="G17" s="145">
        <v>3.7</v>
      </c>
      <c r="H17" s="92"/>
      <c r="I17" s="108">
        <f t="shared" si="0"/>
        <v>3.7</v>
      </c>
      <c r="J17" s="108">
        <f t="shared" si="1"/>
        <v>3.7</v>
      </c>
      <c r="K17" s="90"/>
      <c r="L17" s="162" t="s">
        <v>20</v>
      </c>
      <c r="M17" s="108">
        <v>1</v>
      </c>
      <c r="N17" s="145">
        <v>7.7</v>
      </c>
      <c r="O17" s="252">
        <v>2.7</v>
      </c>
      <c r="P17" s="253"/>
      <c r="Q17" s="253"/>
      <c r="R17" s="108">
        <f t="shared" si="2"/>
        <v>20.790000000000003</v>
      </c>
      <c r="S17" s="110"/>
      <c r="T17" s="108" t="s">
        <v>18</v>
      </c>
      <c r="U17" s="163">
        <f t="shared" si="11"/>
        <v>7.7</v>
      </c>
      <c r="V17" s="90"/>
      <c r="W17" s="162" t="s">
        <v>18</v>
      </c>
      <c r="X17" s="108" t="str">
        <f t="shared" si="3"/>
        <v>cad</v>
      </c>
      <c r="Y17" s="108" t="str">
        <f t="shared" si="4"/>
        <v>cad</v>
      </c>
      <c r="Z17" s="108">
        <f t="shared" si="5"/>
        <v>3.7</v>
      </c>
      <c r="AA17" s="108">
        <f t="shared" si="6"/>
        <v>0</v>
      </c>
      <c r="AB17" s="108">
        <f t="shared" si="7"/>
        <v>3.7</v>
      </c>
      <c r="AC17" s="108">
        <f t="shared" si="8"/>
        <v>3.7</v>
      </c>
      <c r="AD17" s="90"/>
      <c r="AE17" s="92" t="s">
        <v>357</v>
      </c>
      <c r="AF17" s="108">
        <f t="shared" si="12"/>
        <v>7.7</v>
      </c>
      <c r="AG17" s="90"/>
      <c r="AH17" s="90"/>
      <c r="AI17" s="90"/>
      <c r="AJ17" s="90"/>
      <c r="AK17" s="90"/>
    </row>
    <row r="18" spans="1:37" s="11" customFormat="1" ht="14.4">
      <c r="A18" s="18"/>
      <c r="B18" s="138" t="s">
        <v>148</v>
      </c>
      <c r="C18" s="162" t="s">
        <v>20</v>
      </c>
      <c r="D18" s="108">
        <v>1</v>
      </c>
      <c r="E18" s="108" t="s">
        <v>57</v>
      </c>
      <c r="F18" s="108" t="s">
        <v>57</v>
      </c>
      <c r="G18" s="162">
        <v>2.23</v>
      </c>
      <c r="H18" s="92"/>
      <c r="I18" s="108">
        <f t="shared" si="0"/>
        <v>2.23</v>
      </c>
      <c r="J18" s="108">
        <f t="shared" si="1"/>
        <v>2.23</v>
      </c>
      <c r="K18" s="90"/>
      <c r="L18" s="162" t="s">
        <v>18</v>
      </c>
      <c r="M18" s="108">
        <v>1</v>
      </c>
      <c r="N18" s="162">
        <v>6</v>
      </c>
      <c r="O18" s="252">
        <v>2.7</v>
      </c>
      <c r="P18" s="253"/>
      <c r="Q18" s="253"/>
      <c r="R18" s="108">
        <f t="shared" si="2"/>
        <v>16.200000000000003</v>
      </c>
      <c r="S18" s="110"/>
      <c r="T18" s="108" t="s">
        <v>18</v>
      </c>
      <c r="U18" s="163">
        <f t="shared" si="11"/>
        <v>6</v>
      </c>
      <c r="V18" s="90"/>
      <c r="W18" s="162" t="s">
        <v>18</v>
      </c>
      <c r="X18" s="108" t="str">
        <f t="shared" si="3"/>
        <v>cad</v>
      </c>
      <c r="Y18" s="108" t="str">
        <f t="shared" si="4"/>
        <v>cad</v>
      </c>
      <c r="Z18" s="108">
        <f t="shared" si="5"/>
        <v>2.23</v>
      </c>
      <c r="AA18" s="108">
        <f t="shared" si="6"/>
        <v>0</v>
      </c>
      <c r="AB18" s="108">
        <f t="shared" si="7"/>
        <v>2.23</v>
      </c>
      <c r="AC18" s="108">
        <f t="shared" si="8"/>
        <v>2.23</v>
      </c>
      <c r="AD18" s="90"/>
      <c r="AE18" s="92" t="s">
        <v>357</v>
      </c>
      <c r="AF18" s="108">
        <f t="shared" si="12"/>
        <v>6</v>
      </c>
      <c r="AG18" s="90"/>
      <c r="AH18" s="90"/>
      <c r="AI18" s="90"/>
      <c r="AJ18" s="90"/>
      <c r="AK18" s="90"/>
    </row>
    <row r="19" spans="1:37" s="11" customFormat="1" ht="14.4">
      <c r="A19" s="18"/>
      <c r="B19" s="138" t="s">
        <v>149</v>
      </c>
      <c r="C19" s="162" t="s">
        <v>20</v>
      </c>
      <c r="D19" s="108">
        <v>1</v>
      </c>
      <c r="E19" s="108" t="s">
        <v>57</v>
      </c>
      <c r="F19" s="108" t="s">
        <v>57</v>
      </c>
      <c r="G19" s="145">
        <v>2.66</v>
      </c>
      <c r="H19" s="92"/>
      <c r="I19" s="108">
        <f t="shared" si="0"/>
        <v>2.66</v>
      </c>
      <c r="J19" s="108">
        <f t="shared" si="1"/>
        <v>2.66</v>
      </c>
      <c r="K19" s="90"/>
      <c r="L19" s="162" t="s">
        <v>18</v>
      </c>
      <c r="M19" s="108">
        <v>1</v>
      </c>
      <c r="N19" s="145">
        <v>6.63</v>
      </c>
      <c r="O19" s="252">
        <v>2.7</v>
      </c>
      <c r="P19" s="253"/>
      <c r="Q19" s="253"/>
      <c r="R19" s="108">
        <f t="shared" si="2"/>
        <v>17.901</v>
      </c>
      <c r="S19" s="110"/>
      <c r="T19" s="108" t="s">
        <v>18</v>
      </c>
      <c r="U19" s="163">
        <f t="shared" si="11"/>
        <v>6.63</v>
      </c>
      <c r="V19" s="90"/>
      <c r="W19" s="162" t="s">
        <v>18</v>
      </c>
      <c r="X19" s="108" t="str">
        <f t="shared" si="3"/>
        <v>cad</v>
      </c>
      <c r="Y19" s="108" t="str">
        <f t="shared" si="4"/>
        <v>cad</v>
      </c>
      <c r="Z19" s="108">
        <f t="shared" si="5"/>
        <v>2.66</v>
      </c>
      <c r="AA19" s="108">
        <f t="shared" si="6"/>
        <v>0</v>
      </c>
      <c r="AB19" s="108">
        <f t="shared" si="7"/>
        <v>2.66</v>
      </c>
      <c r="AC19" s="108">
        <f t="shared" si="8"/>
        <v>2.66</v>
      </c>
      <c r="AD19" s="90"/>
      <c r="AE19" s="92" t="s">
        <v>357</v>
      </c>
      <c r="AF19" s="108">
        <f t="shared" si="12"/>
        <v>6.63</v>
      </c>
      <c r="AG19" s="90"/>
      <c r="AH19" s="90"/>
      <c r="AI19" s="90"/>
      <c r="AJ19" s="90"/>
      <c r="AK19" s="90"/>
    </row>
    <row r="20" spans="1:37" s="11" customFormat="1" ht="14.4">
      <c r="A20" s="18"/>
      <c r="B20" s="138" t="s">
        <v>123</v>
      </c>
      <c r="C20" s="162" t="s">
        <v>22</v>
      </c>
      <c r="D20" s="108">
        <v>1</v>
      </c>
      <c r="E20" s="108" t="s">
        <v>57</v>
      </c>
      <c r="F20" s="108" t="s">
        <v>57</v>
      </c>
      <c r="G20" s="145">
        <v>3.55</v>
      </c>
      <c r="H20" s="92"/>
      <c r="I20" s="108">
        <f t="shared" si="0"/>
        <v>3.55</v>
      </c>
      <c r="J20" s="108">
        <f t="shared" si="1"/>
        <v>3.55</v>
      </c>
      <c r="K20" s="90"/>
      <c r="L20" s="162" t="s">
        <v>20</v>
      </c>
      <c r="M20" s="108">
        <v>1</v>
      </c>
      <c r="N20" s="145">
        <v>7.74</v>
      </c>
      <c r="O20" s="252">
        <v>2.7</v>
      </c>
      <c r="P20" s="253"/>
      <c r="Q20" s="253"/>
      <c r="R20" s="108">
        <f t="shared" si="2"/>
        <v>20.898000000000003</v>
      </c>
      <c r="S20" s="110"/>
      <c r="T20" s="108"/>
      <c r="U20" s="108"/>
      <c r="V20" s="90"/>
      <c r="W20" s="162" t="s">
        <v>18</v>
      </c>
      <c r="X20" s="108" t="str">
        <f t="shared" si="3"/>
        <v>cad</v>
      </c>
      <c r="Y20" s="108" t="str">
        <f t="shared" si="4"/>
        <v>cad</v>
      </c>
      <c r="Z20" s="108">
        <f t="shared" si="5"/>
        <v>3.55</v>
      </c>
      <c r="AA20" s="108">
        <f t="shared" si="6"/>
        <v>0</v>
      </c>
      <c r="AB20" s="108">
        <f t="shared" si="7"/>
        <v>3.55</v>
      </c>
      <c r="AC20" s="108">
        <f t="shared" si="8"/>
        <v>3.55</v>
      </c>
      <c r="AD20" s="90"/>
      <c r="AE20" s="92" t="s">
        <v>357</v>
      </c>
      <c r="AF20" s="108">
        <f t="shared" ref="AF20:AF21" si="13">N20*M20</f>
        <v>7.74</v>
      </c>
      <c r="AG20" s="90"/>
      <c r="AH20" s="90"/>
      <c r="AI20" s="90"/>
      <c r="AJ20" s="90"/>
      <c r="AK20" s="90"/>
    </row>
    <row r="21" spans="1:37" s="11" customFormat="1" ht="14.4">
      <c r="A21" s="18"/>
      <c r="B21" s="138" t="s">
        <v>150</v>
      </c>
      <c r="C21" s="162" t="s">
        <v>17</v>
      </c>
      <c r="D21" s="108">
        <v>1</v>
      </c>
      <c r="E21" s="108" t="s">
        <v>57</v>
      </c>
      <c r="F21" s="108" t="s">
        <v>57</v>
      </c>
      <c r="G21" s="145">
        <v>15.88</v>
      </c>
      <c r="H21" s="92"/>
      <c r="I21" s="108">
        <f t="shared" si="0"/>
        <v>15.88</v>
      </c>
      <c r="J21" s="108">
        <f t="shared" si="1"/>
        <v>15.88</v>
      </c>
      <c r="K21" s="90"/>
      <c r="L21" s="162" t="s">
        <v>17</v>
      </c>
      <c r="M21" s="108">
        <v>1</v>
      </c>
      <c r="N21" s="145">
        <v>21.9</v>
      </c>
      <c r="O21" s="252">
        <v>2.8</v>
      </c>
      <c r="P21" s="253"/>
      <c r="Q21" s="253"/>
      <c r="R21" s="108">
        <f t="shared" si="2"/>
        <v>61.319999999999993</v>
      </c>
      <c r="S21" s="110"/>
      <c r="T21" s="108" t="s">
        <v>17</v>
      </c>
      <c r="U21" s="163">
        <f>N21*M21</f>
        <v>21.9</v>
      </c>
      <c r="V21" s="90"/>
      <c r="W21" s="162" t="s">
        <v>17</v>
      </c>
      <c r="X21" s="108" t="str">
        <f t="shared" si="3"/>
        <v>cad</v>
      </c>
      <c r="Y21" s="108" t="str">
        <f t="shared" si="4"/>
        <v>cad</v>
      </c>
      <c r="Z21" s="108">
        <f t="shared" si="5"/>
        <v>15.88</v>
      </c>
      <c r="AA21" s="108">
        <f t="shared" si="6"/>
        <v>0</v>
      </c>
      <c r="AB21" s="108">
        <f t="shared" si="7"/>
        <v>15.88</v>
      </c>
      <c r="AC21" s="108">
        <f t="shared" si="8"/>
        <v>15.88</v>
      </c>
      <c r="AD21" s="90"/>
      <c r="AE21" s="92" t="s">
        <v>357</v>
      </c>
      <c r="AF21" s="108">
        <f t="shared" si="13"/>
        <v>21.9</v>
      </c>
      <c r="AG21" s="90"/>
      <c r="AH21" s="90"/>
      <c r="AI21" s="90"/>
      <c r="AJ21" s="90"/>
      <c r="AK21" s="90"/>
    </row>
    <row r="22" spans="1:37" s="11" customFormat="1" ht="14.4">
      <c r="A22" s="18"/>
      <c r="B22" s="138"/>
      <c r="C22" s="162"/>
      <c r="D22" s="108"/>
      <c r="E22" s="108"/>
      <c r="F22" s="108"/>
      <c r="G22" s="166"/>
      <c r="H22" s="92"/>
      <c r="I22" s="108"/>
      <c r="J22" s="108"/>
      <c r="K22" s="90"/>
      <c r="L22" s="162"/>
      <c r="M22" s="108"/>
      <c r="N22" s="95"/>
      <c r="O22" s="198"/>
      <c r="P22" s="253"/>
      <c r="Q22" s="253"/>
      <c r="R22" s="108"/>
      <c r="S22" s="110"/>
      <c r="T22" s="108"/>
      <c r="U22" s="92"/>
      <c r="V22" s="90"/>
      <c r="W22" s="162" t="s">
        <v>19</v>
      </c>
      <c r="X22" s="141">
        <f t="shared" si="3"/>
        <v>0</v>
      </c>
      <c r="Y22" s="141">
        <f t="shared" si="4"/>
        <v>0</v>
      </c>
      <c r="Z22" s="141">
        <v>3.91</v>
      </c>
      <c r="AA22" s="108">
        <f t="shared" si="6"/>
        <v>0</v>
      </c>
      <c r="AB22" s="141">
        <f>Z22</f>
        <v>3.91</v>
      </c>
      <c r="AC22" s="141">
        <f>AB22</f>
        <v>3.91</v>
      </c>
      <c r="AD22" s="90"/>
      <c r="AE22" s="92"/>
      <c r="AF22" s="108"/>
      <c r="AG22" s="90"/>
      <c r="AH22" s="90"/>
      <c r="AI22" s="90"/>
      <c r="AJ22" s="90"/>
      <c r="AK22" s="90"/>
    </row>
    <row r="23" spans="1:37" s="11" customFormat="1" ht="14.4">
      <c r="A23" s="18"/>
      <c r="B23" s="138" t="s">
        <v>151</v>
      </c>
      <c r="C23" s="162" t="s">
        <v>24</v>
      </c>
      <c r="D23" s="108">
        <v>1</v>
      </c>
      <c r="E23" s="108" t="s">
        <v>57</v>
      </c>
      <c r="F23" s="108" t="s">
        <v>57</v>
      </c>
      <c r="G23" s="145">
        <v>7.68</v>
      </c>
      <c r="H23" s="92"/>
      <c r="I23" s="108">
        <f t="shared" si="0"/>
        <v>7.68</v>
      </c>
      <c r="J23" s="108">
        <f t="shared" si="1"/>
        <v>7.68</v>
      </c>
      <c r="K23" s="90"/>
      <c r="L23" s="162" t="s">
        <v>339</v>
      </c>
      <c r="M23" s="108">
        <v>1</v>
      </c>
      <c r="N23" s="145">
        <v>12.14</v>
      </c>
      <c r="O23" s="252">
        <v>3.9</v>
      </c>
      <c r="P23" s="253"/>
      <c r="Q23" s="253"/>
      <c r="R23" s="108">
        <f t="shared" si="2"/>
        <v>47.346000000000004</v>
      </c>
      <c r="S23" s="110"/>
      <c r="T23" s="108" t="s">
        <v>20</v>
      </c>
      <c r="U23" s="92">
        <f>N23*M23</f>
        <v>12.14</v>
      </c>
      <c r="V23" s="90"/>
      <c r="W23" s="162" t="s">
        <v>20</v>
      </c>
      <c r="X23" s="108" t="str">
        <f t="shared" si="3"/>
        <v>cad</v>
      </c>
      <c r="Y23" s="108" t="str">
        <f t="shared" si="4"/>
        <v>cad</v>
      </c>
      <c r="Z23" s="108">
        <f t="shared" si="5"/>
        <v>7.68</v>
      </c>
      <c r="AA23" s="108">
        <f t="shared" si="6"/>
        <v>0</v>
      </c>
      <c r="AB23" s="108">
        <f t="shared" si="7"/>
        <v>7.68</v>
      </c>
      <c r="AC23" s="108">
        <f t="shared" si="8"/>
        <v>7.68</v>
      </c>
      <c r="AD23" s="90"/>
      <c r="AE23" s="92"/>
      <c r="AF23" s="108"/>
      <c r="AG23" s="90"/>
      <c r="AH23" s="90"/>
      <c r="AI23" s="90"/>
      <c r="AJ23" s="90"/>
      <c r="AK23" s="90"/>
    </row>
    <row r="24" spans="1:37" s="11" customFormat="1" ht="14.4">
      <c r="A24" s="18"/>
      <c r="B24" s="138" t="s">
        <v>152</v>
      </c>
      <c r="C24" s="162" t="s">
        <v>24</v>
      </c>
      <c r="D24" s="108">
        <v>1</v>
      </c>
      <c r="E24" s="108" t="s">
        <v>57</v>
      </c>
      <c r="F24" s="108" t="s">
        <v>57</v>
      </c>
      <c r="G24" s="145">
        <v>4.0199999999999996</v>
      </c>
      <c r="H24" s="92"/>
      <c r="I24" s="108">
        <f t="shared" si="0"/>
        <v>4.0199999999999996</v>
      </c>
      <c r="J24" s="108">
        <f t="shared" si="1"/>
        <v>4.0199999999999996</v>
      </c>
      <c r="K24" s="90"/>
      <c r="L24" s="162" t="s">
        <v>24</v>
      </c>
      <c r="M24" s="108">
        <v>1</v>
      </c>
      <c r="N24" s="145">
        <v>8.07</v>
      </c>
      <c r="O24" s="252">
        <v>3.9</v>
      </c>
      <c r="P24" s="253"/>
      <c r="Q24" s="253"/>
      <c r="R24" s="108">
        <f t="shared" si="2"/>
        <v>31.472999999999999</v>
      </c>
      <c r="S24" s="110"/>
      <c r="T24" s="108" t="s">
        <v>20</v>
      </c>
      <c r="U24" s="92">
        <f>N24*M24</f>
        <v>8.07</v>
      </c>
      <c r="V24" s="90"/>
      <c r="W24" s="162" t="s">
        <v>20</v>
      </c>
      <c r="X24" s="108" t="str">
        <f t="shared" si="3"/>
        <v>cad</v>
      </c>
      <c r="Y24" s="108" t="str">
        <f t="shared" si="4"/>
        <v>cad</v>
      </c>
      <c r="Z24" s="108">
        <f t="shared" si="5"/>
        <v>4.0199999999999996</v>
      </c>
      <c r="AA24" s="108">
        <f t="shared" si="6"/>
        <v>0</v>
      </c>
      <c r="AB24" s="108">
        <f t="shared" si="7"/>
        <v>4.0199999999999996</v>
      </c>
      <c r="AC24" s="108">
        <f t="shared" si="8"/>
        <v>4.0199999999999996</v>
      </c>
      <c r="AD24" s="90"/>
      <c r="AE24" s="92"/>
      <c r="AF24" s="108"/>
      <c r="AG24" s="90"/>
      <c r="AH24" s="90"/>
      <c r="AI24" s="90"/>
      <c r="AJ24" s="90"/>
      <c r="AK24" s="90"/>
    </row>
    <row r="25" spans="1:37" s="11" customFormat="1" ht="14.4">
      <c r="A25" s="18"/>
      <c r="B25" s="138" t="s">
        <v>325</v>
      </c>
      <c r="C25" s="319" t="s">
        <v>17</v>
      </c>
      <c r="D25" s="108">
        <v>1</v>
      </c>
      <c r="E25" s="108" t="s">
        <v>57</v>
      </c>
      <c r="F25" s="108" t="s">
        <v>57</v>
      </c>
      <c r="G25" s="145">
        <v>22.62</v>
      </c>
      <c r="H25" s="92"/>
      <c r="I25" s="108">
        <f t="shared" si="0"/>
        <v>22.62</v>
      </c>
      <c r="J25" s="108">
        <f t="shared" si="1"/>
        <v>22.62</v>
      </c>
      <c r="K25" s="90"/>
      <c r="L25" s="162" t="s">
        <v>17</v>
      </c>
      <c r="M25" s="108">
        <v>1</v>
      </c>
      <c r="N25" s="145">
        <v>24.27</v>
      </c>
      <c r="O25" s="252">
        <v>2.7</v>
      </c>
      <c r="P25" s="253"/>
      <c r="Q25" s="253"/>
      <c r="R25" s="108">
        <f t="shared" si="2"/>
        <v>65.528999999999996</v>
      </c>
      <c r="S25" s="110"/>
      <c r="T25" s="108" t="s">
        <v>21</v>
      </c>
      <c r="U25" s="92">
        <f>N25*M25</f>
        <v>24.27</v>
      </c>
      <c r="V25" s="90"/>
      <c r="W25" s="162" t="s">
        <v>17</v>
      </c>
      <c r="X25" s="108" t="str">
        <f t="shared" si="3"/>
        <v>cad</v>
      </c>
      <c r="Y25" s="108" t="str">
        <f t="shared" si="4"/>
        <v>cad</v>
      </c>
      <c r="Z25" s="108">
        <f t="shared" si="5"/>
        <v>22.62</v>
      </c>
      <c r="AA25" s="108">
        <f t="shared" si="6"/>
        <v>0</v>
      </c>
      <c r="AB25" s="108">
        <f t="shared" si="7"/>
        <v>22.62</v>
      </c>
      <c r="AC25" s="108">
        <f t="shared" si="8"/>
        <v>22.62</v>
      </c>
      <c r="AD25" s="90"/>
      <c r="AE25" s="92" t="s">
        <v>357</v>
      </c>
      <c r="AF25" s="108">
        <f>N25*M25</f>
        <v>24.27</v>
      </c>
      <c r="AG25" s="90"/>
      <c r="AH25" s="90"/>
      <c r="AI25" s="90"/>
      <c r="AJ25" s="90"/>
      <c r="AK25" s="90"/>
    </row>
    <row r="26" spans="1:37" s="11" customFormat="1" ht="14.4">
      <c r="A26" s="18"/>
      <c r="B26" s="138"/>
      <c r="C26" s="162"/>
      <c r="D26" s="108"/>
      <c r="E26" s="108"/>
      <c r="F26" s="108"/>
      <c r="G26" s="95"/>
      <c r="H26" s="92"/>
      <c r="I26" s="108"/>
      <c r="J26" s="108"/>
      <c r="K26" s="90"/>
      <c r="L26" s="162" t="s">
        <v>571</v>
      </c>
      <c r="M26" s="108">
        <v>1</v>
      </c>
      <c r="N26" s="123">
        <v>4.41</v>
      </c>
      <c r="O26" s="252">
        <v>2.7</v>
      </c>
      <c r="P26" s="253"/>
      <c r="Q26" s="253"/>
      <c r="R26" s="108">
        <f t="shared" si="2"/>
        <v>11.907000000000002</v>
      </c>
      <c r="S26" s="110"/>
      <c r="T26" s="108"/>
      <c r="U26" s="92"/>
      <c r="V26" s="90"/>
      <c r="W26" s="162"/>
      <c r="X26" s="108"/>
      <c r="Y26" s="108"/>
      <c r="Z26" s="108"/>
      <c r="AA26" s="108"/>
      <c r="AB26" s="108"/>
      <c r="AC26" s="108"/>
      <c r="AD26" s="90"/>
      <c r="AE26" s="92"/>
      <c r="AF26" s="108"/>
      <c r="AG26" s="90"/>
      <c r="AH26" s="90"/>
      <c r="AI26" s="90"/>
      <c r="AJ26" s="90"/>
      <c r="AK26" s="90"/>
    </row>
    <row r="27" spans="1:37" s="11" customFormat="1" ht="14.4">
      <c r="A27" s="18"/>
      <c r="B27" s="92" t="s">
        <v>121</v>
      </c>
      <c r="C27" s="108"/>
      <c r="D27" s="108"/>
      <c r="E27" s="108"/>
      <c r="F27" s="108"/>
      <c r="G27" s="108"/>
      <c r="H27" s="92"/>
      <c r="I27" s="108"/>
      <c r="J27" s="108"/>
      <c r="K27" s="90"/>
      <c r="L27" s="108"/>
      <c r="M27" s="108"/>
      <c r="N27" s="108"/>
      <c r="O27" s="194"/>
      <c r="P27" s="253"/>
      <c r="Q27" s="253"/>
      <c r="R27" s="108"/>
      <c r="S27" s="110"/>
      <c r="T27" s="108"/>
      <c r="U27" s="108"/>
      <c r="V27" s="90"/>
      <c r="W27" s="108"/>
      <c r="X27" s="108"/>
      <c r="Y27" s="108"/>
      <c r="Z27" s="108"/>
      <c r="AA27" s="108"/>
      <c r="AB27" s="108"/>
      <c r="AC27" s="108"/>
      <c r="AD27" s="90"/>
      <c r="AE27" s="92"/>
      <c r="AF27" s="108"/>
      <c r="AG27" s="90"/>
      <c r="AH27" s="90"/>
      <c r="AI27" s="90"/>
      <c r="AJ27" s="90"/>
      <c r="AK27" s="90"/>
    </row>
    <row r="28" spans="1:37" s="11" customFormat="1" ht="14.4">
      <c r="A28" s="18"/>
      <c r="B28" s="92" t="s">
        <v>122</v>
      </c>
      <c r="C28" s="108"/>
      <c r="D28" s="108"/>
      <c r="E28" s="108"/>
      <c r="F28" s="108"/>
      <c r="G28" s="108"/>
      <c r="H28" s="92"/>
      <c r="I28" s="108"/>
      <c r="J28" s="108"/>
      <c r="K28" s="90"/>
      <c r="L28" s="108"/>
      <c r="M28" s="108"/>
      <c r="N28" s="108"/>
      <c r="O28" s="194"/>
      <c r="P28" s="253"/>
      <c r="Q28" s="253"/>
      <c r="R28" s="108"/>
      <c r="S28" s="110"/>
      <c r="T28" s="108"/>
      <c r="U28" s="108"/>
      <c r="V28" s="90"/>
      <c r="W28" s="108"/>
      <c r="X28" s="108"/>
      <c r="Y28" s="108"/>
      <c r="Z28" s="108"/>
      <c r="AA28" s="108"/>
      <c r="AB28" s="108"/>
      <c r="AC28" s="108"/>
      <c r="AD28" s="90"/>
      <c r="AE28" s="92"/>
      <c r="AF28" s="108"/>
      <c r="AG28" s="90"/>
      <c r="AH28" s="90"/>
      <c r="AI28" s="90"/>
      <c r="AJ28" s="90"/>
      <c r="AK28" s="90"/>
    </row>
    <row r="29" spans="1:37" s="11" customFormat="1" ht="14.4">
      <c r="A29" s="18"/>
      <c r="B29" s="138" t="s">
        <v>116</v>
      </c>
      <c r="C29" s="162" t="s">
        <v>17</v>
      </c>
      <c r="D29" s="108">
        <v>1</v>
      </c>
      <c r="E29" s="108" t="s">
        <v>57</v>
      </c>
      <c r="F29" s="108" t="s">
        <v>57</v>
      </c>
      <c r="G29" s="162">
        <v>4.33</v>
      </c>
      <c r="H29" s="92"/>
      <c r="I29" s="108">
        <f t="shared" si="0"/>
        <v>4.33</v>
      </c>
      <c r="J29" s="108">
        <f t="shared" si="1"/>
        <v>4.33</v>
      </c>
      <c r="K29" s="90"/>
      <c r="L29" s="162" t="s">
        <v>17</v>
      </c>
      <c r="M29" s="108">
        <v>1</v>
      </c>
      <c r="N29" s="162">
        <v>8.42</v>
      </c>
      <c r="O29" s="252">
        <v>2.8</v>
      </c>
      <c r="P29" s="253"/>
      <c r="Q29" s="253"/>
      <c r="R29" s="108">
        <f t="shared" si="2"/>
        <v>23.575999999999997</v>
      </c>
      <c r="S29" s="110"/>
      <c r="T29" s="108" t="s">
        <v>17</v>
      </c>
      <c r="U29" s="92">
        <f>N29*M29</f>
        <v>8.42</v>
      </c>
      <c r="V29" s="90"/>
      <c r="W29" s="162" t="s">
        <v>17</v>
      </c>
      <c r="X29" s="108" t="str">
        <f t="shared" si="3"/>
        <v>cad</v>
      </c>
      <c r="Y29" s="108" t="str">
        <f t="shared" si="4"/>
        <v>cad</v>
      </c>
      <c r="Z29" s="108">
        <f t="shared" si="5"/>
        <v>4.33</v>
      </c>
      <c r="AA29" s="108">
        <f t="shared" si="6"/>
        <v>0</v>
      </c>
      <c r="AB29" s="108">
        <f t="shared" si="7"/>
        <v>4.33</v>
      </c>
      <c r="AC29" s="108">
        <f t="shared" si="8"/>
        <v>4.33</v>
      </c>
      <c r="AD29" s="90"/>
      <c r="AE29" s="92" t="s">
        <v>357</v>
      </c>
      <c r="AF29" s="108">
        <f t="shared" ref="AF29:AF69" si="14">N29*M29</f>
        <v>8.42</v>
      </c>
      <c r="AG29" s="90"/>
      <c r="AH29" s="90"/>
      <c r="AI29" s="90"/>
      <c r="AJ29" s="90"/>
      <c r="AK29" s="90"/>
    </row>
    <row r="30" spans="1:37" s="11" customFormat="1" ht="14.4">
      <c r="A30" s="18"/>
      <c r="B30" s="201" t="s">
        <v>539</v>
      </c>
      <c r="C30" s="95" t="s">
        <v>17</v>
      </c>
      <c r="D30" s="95">
        <v>1</v>
      </c>
      <c r="E30" s="95" t="s">
        <v>57</v>
      </c>
      <c r="F30" s="95" t="s">
        <v>57</v>
      </c>
      <c r="G30" s="168">
        <v>3.79</v>
      </c>
      <c r="H30" s="118"/>
      <c r="I30" s="95">
        <f t="shared" si="0"/>
        <v>3.79</v>
      </c>
      <c r="J30" s="95">
        <f t="shared" si="1"/>
        <v>3.79</v>
      </c>
      <c r="K30" s="103"/>
      <c r="L30" s="162" t="s">
        <v>17</v>
      </c>
      <c r="M30" s="108">
        <v>1</v>
      </c>
      <c r="N30" s="169">
        <v>7.94</v>
      </c>
      <c r="O30" s="168">
        <v>2.7</v>
      </c>
      <c r="P30" s="92"/>
      <c r="Q30" s="92"/>
      <c r="R30" s="108">
        <f t="shared" si="2"/>
        <v>21.438000000000002</v>
      </c>
      <c r="S30" s="146"/>
      <c r="T30" s="108" t="s">
        <v>17</v>
      </c>
      <c r="U30" s="92">
        <f>N30*M30</f>
        <v>7.94</v>
      </c>
      <c r="V30" s="103"/>
      <c r="W30" s="162" t="s">
        <v>17</v>
      </c>
      <c r="X30" s="108" t="str">
        <f t="shared" si="3"/>
        <v>cad</v>
      </c>
      <c r="Y30" s="108" t="str">
        <f t="shared" si="4"/>
        <v>cad</v>
      </c>
      <c r="Z30" s="108">
        <f t="shared" si="5"/>
        <v>3.79</v>
      </c>
      <c r="AA30" s="108">
        <f t="shared" si="6"/>
        <v>0</v>
      </c>
      <c r="AB30" s="108">
        <f t="shared" si="7"/>
        <v>3.79</v>
      </c>
      <c r="AC30" s="108">
        <f t="shared" si="8"/>
        <v>3.79</v>
      </c>
      <c r="AD30" s="90"/>
      <c r="AE30" s="102" t="s">
        <v>17</v>
      </c>
      <c r="AF30" s="108">
        <f t="shared" si="14"/>
        <v>7.94</v>
      </c>
      <c r="AG30" s="90"/>
      <c r="AH30" s="90"/>
      <c r="AI30" s="90"/>
      <c r="AJ30" s="90"/>
      <c r="AK30" s="90"/>
    </row>
    <row r="31" spans="1:37" s="11" customFormat="1" ht="14.4">
      <c r="A31" s="18"/>
      <c r="B31" s="201" t="s">
        <v>325</v>
      </c>
      <c r="C31" s="319" t="s">
        <v>17</v>
      </c>
      <c r="D31" s="95">
        <v>1</v>
      </c>
      <c r="E31" s="95" t="s">
        <v>57</v>
      </c>
      <c r="F31" s="95" t="s">
        <v>57</v>
      </c>
      <c r="G31" s="168">
        <v>22.12</v>
      </c>
      <c r="H31" s="118"/>
      <c r="I31" s="95">
        <f t="shared" si="0"/>
        <v>22.12</v>
      </c>
      <c r="J31" s="95">
        <f t="shared" si="1"/>
        <v>22.12</v>
      </c>
      <c r="K31" s="103"/>
      <c r="L31" s="162" t="s">
        <v>17</v>
      </c>
      <c r="M31" s="108">
        <v>1</v>
      </c>
      <c r="N31" s="169">
        <v>24.27</v>
      </c>
      <c r="O31" s="168">
        <v>2.7</v>
      </c>
      <c r="P31" s="92"/>
      <c r="Q31" s="92"/>
      <c r="R31" s="108">
        <f t="shared" si="2"/>
        <v>65.528999999999996</v>
      </c>
      <c r="S31" s="146"/>
      <c r="T31" s="108" t="s">
        <v>21</v>
      </c>
      <c r="U31" s="92">
        <f>N31*M31</f>
        <v>24.27</v>
      </c>
      <c r="V31" s="103"/>
      <c r="W31" s="162" t="s">
        <v>17</v>
      </c>
      <c r="X31" s="108" t="str">
        <f t="shared" si="3"/>
        <v>cad</v>
      </c>
      <c r="Y31" s="108" t="str">
        <f t="shared" si="4"/>
        <v>cad</v>
      </c>
      <c r="Z31" s="108">
        <f t="shared" si="5"/>
        <v>22.12</v>
      </c>
      <c r="AA31" s="108">
        <f t="shared" si="6"/>
        <v>0</v>
      </c>
      <c r="AB31" s="108">
        <f t="shared" si="7"/>
        <v>22.12</v>
      </c>
      <c r="AC31" s="108">
        <f t="shared" si="8"/>
        <v>22.12</v>
      </c>
      <c r="AD31" s="90"/>
      <c r="AE31" s="102" t="s">
        <v>17</v>
      </c>
      <c r="AF31" s="108">
        <f t="shared" si="14"/>
        <v>24.27</v>
      </c>
      <c r="AG31" s="90"/>
      <c r="AH31" s="90"/>
      <c r="AI31" s="90"/>
      <c r="AJ31" s="90"/>
      <c r="AK31" s="90"/>
    </row>
    <row r="32" spans="1:37" s="11" customFormat="1" ht="14.4">
      <c r="A32" s="18"/>
      <c r="B32" s="201"/>
      <c r="C32" s="95"/>
      <c r="D32" s="95"/>
      <c r="E32" s="95"/>
      <c r="F32" s="95"/>
      <c r="G32" s="95"/>
      <c r="H32" s="118"/>
      <c r="I32" s="95"/>
      <c r="J32" s="95"/>
      <c r="K32" s="103"/>
      <c r="L32" s="162"/>
      <c r="M32" s="108"/>
      <c r="N32" s="169"/>
      <c r="O32" s="168"/>
      <c r="P32" s="92"/>
      <c r="Q32" s="92"/>
      <c r="R32" s="108"/>
      <c r="S32" s="146"/>
      <c r="T32" s="108"/>
      <c r="U32" s="108"/>
      <c r="V32" s="103"/>
      <c r="W32" s="162"/>
      <c r="X32" s="108"/>
      <c r="Y32" s="108"/>
      <c r="Z32" s="108"/>
      <c r="AA32" s="108"/>
      <c r="AB32" s="108"/>
      <c r="AC32" s="108"/>
      <c r="AD32" s="90"/>
      <c r="AE32" s="102"/>
      <c r="AF32" s="108"/>
      <c r="AG32" s="90"/>
      <c r="AH32" s="90"/>
      <c r="AI32" s="90"/>
      <c r="AJ32" s="90"/>
      <c r="AK32" s="90"/>
    </row>
    <row r="33" spans="1:37" s="11" customFormat="1" ht="14.4">
      <c r="A33" s="18"/>
      <c r="B33" s="201" t="s">
        <v>561</v>
      </c>
      <c r="C33" s="95" t="s">
        <v>17</v>
      </c>
      <c r="D33" s="95">
        <v>1</v>
      </c>
      <c r="E33" s="95" t="s">
        <v>57</v>
      </c>
      <c r="F33" s="95" t="s">
        <v>57</v>
      </c>
      <c r="G33" s="168">
        <v>6.51</v>
      </c>
      <c r="H33" s="118"/>
      <c r="I33" s="95">
        <f t="shared" si="0"/>
        <v>6.51</v>
      </c>
      <c r="J33" s="95">
        <f t="shared" si="1"/>
        <v>6.51</v>
      </c>
      <c r="K33" s="103"/>
      <c r="L33" s="162" t="s">
        <v>17</v>
      </c>
      <c r="M33" s="108">
        <v>1</v>
      </c>
      <c r="N33" s="169">
        <v>10.55</v>
      </c>
      <c r="O33" s="168">
        <v>2.7</v>
      </c>
      <c r="P33" s="92"/>
      <c r="Q33" s="92"/>
      <c r="R33" s="108">
        <f t="shared" si="2"/>
        <v>28.485000000000003</v>
      </c>
      <c r="S33" s="146"/>
      <c r="T33" s="108" t="s">
        <v>17</v>
      </c>
      <c r="U33" s="92">
        <f t="shared" ref="U33:U67" si="15">N33*M33</f>
        <v>10.55</v>
      </c>
      <c r="V33" s="103"/>
      <c r="W33" s="162" t="s">
        <v>17</v>
      </c>
      <c r="X33" s="108" t="str">
        <f t="shared" si="3"/>
        <v>cad</v>
      </c>
      <c r="Y33" s="108" t="str">
        <f t="shared" si="4"/>
        <v>cad</v>
      </c>
      <c r="Z33" s="108">
        <f t="shared" si="5"/>
        <v>6.51</v>
      </c>
      <c r="AA33" s="108">
        <f t="shared" si="6"/>
        <v>0</v>
      </c>
      <c r="AB33" s="108">
        <f t="shared" si="7"/>
        <v>6.51</v>
      </c>
      <c r="AC33" s="108">
        <f t="shared" si="8"/>
        <v>6.51</v>
      </c>
      <c r="AD33" s="90"/>
      <c r="AE33" s="102" t="s">
        <v>17</v>
      </c>
      <c r="AF33" s="108">
        <f t="shared" si="14"/>
        <v>10.55</v>
      </c>
      <c r="AG33" s="90"/>
      <c r="AH33" s="90"/>
      <c r="AI33" s="90"/>
      <c r="AJ33" s="90"/>
      <c r="AK33" s="90"/>
    </row>
    <row r="34" spans="1:37" s="11" customFormat="1" ht="14.4">
      <c r="A34" s="18"/>
      <c r="B34" s="201" t="s">
        <v>572</v>
      </c>
      <c r="C34" s="95" t="s">
        <v>17</v>
      </c>
      <c r="D34" s="95">
        <v>1</v>
      </c>
      <c r="E34" s="95" t="s">
        <v>57</v>
      </c>
      <c r="F34" s="95" t="s">
        <v>57</v>
      </c>
      <c r="G34" s="168">
        <v>27.88</v>
      </c>
      <c r="H34" s="118"/>
      <c r="I34" s="95">
        <f t="shared" si="0"/>
        <v>27.88</v>
      </c>
      <c r="J34" s="95">
        <f t="shared" si="1"/>
        <v>27.88</v>
      </c>
      <c r="K34" s="103"/>
      <c r="L34" s="162" t="s">
        <v>17</v>
      </c>
      <c r="M34" s="108">
        <v>1</v>
      </c>
      <c r="N34" s="169">
        <v>25.06</v>
      </c>
      <c r="O34" s="168">
        <v>2.7</v>
      </c>
      <c r="P34" s="92"/>
      <c r="Q34" s="92"/>
      <c r="R34" s="108">
        <f t="shared" si="2"/>
        <v>67.662000000000006</v>
      </c>
      <c r="S34" s="146"/>
      <c r="T34" s="108" t="s">
        <v>17</v>
      </c>
      <c r="U34" s="92">
        <f t="shared" si="15"/>
        <v>25.06</v>
      </c>
      <c r="V34" s="103"/>
      <c r="W34" s="162" t="s">
        <v>17</v>
      </c>
      <c r="X34" s="108" t="str">
        <f t="shared" si="3"/>
        <v>cad</v>
      </c>
      <c r="Y34" s="108" t="str">
        <f t="shared" si="4"/>
        <v>cad</v>
      </c>
      <c r="Z34" s="108">
        <f t="shared" si="5"/>
        <v>27.88</v>
      </c>
      <c r="AA34" s="108">
        <f t="shared" si="6"/>
        <v>0</v>
      </c>
      <c r="AB34" s="108">
        <f t="shared" si="7"/>
        <v>27.88</v>
      </c>
      <c r="AC34" s="108">
        <f t="shared" si="8"/>
        <v>27.88</v>
      </c>
      <c r="AD34" s="90"/>
      <c r="AE34" s="102" t="s">
        <v>17</v>
      </c>
      <c r="AF34" s="108">
        <f t="shared" si="14"/>
        <v>25.06</v>
      </c>
      <c r="AG34" s="90"/>
      <c r="AH34" s="90"/>
      <c r="AI34" s="90"/>
      <c r="AJ34" s="90"/>
      <c r="AK34" s="90"/>
    </row>
    <row r="35" spans="1:37" s="11" customFormat="1" ht="14.4">
      <c r="A35" s="18"/>
      <c r="B35" s="201" t="s">
        <v>573</v>
      </c>
      <c r="C35" s="95" t="s">
        <v>17</v>
      </c>
      <c r="D35" s="95">
        <v>1</v>
      </c>
      <c r="E35" s="95" t="s">
        <v>57</v>
      </c>
      <c r="F35" s="95" t="s">
        <v>57</v>
      </c>
      <c r="G35" s="168">
        <v>34.380000000000003</v>
      </c>
      <c r="H35" s="118"/>
      <c r="I35" s="95">
        <f t="shared" si="0"/>
        <v>34.380000000000003</v>
      </c>
      <c r="J35" s="95">
        <f t="shared" si="1"/>
        <v>34.380000000000003</v>
      </c>
      <c r="K35" s="103"/>
      <c r="L35" s="162" t="s">
        <v>17</v>
      </c>
      <c r="M35" s="108">
        <v>1</v>
      </c>
      <c r="N35" s="169">
        <v>30.36</v>
      </c>
      <c r="O35" s="168">
        <v>2.7</v>
      </c>
      <c r="P35" s="92"/>
      <c r="Q35" s="92"/>
      <c r="R35" s="108">
        <f t="shared" si="2"/>
        <v>81.972000000000008</v>
      </c>
      <c r="S35" s="146"/>
      <c r="T35" s="108" t="s">
        <v>17</v>
      </c>
      <c r="U35" s="92">
        <f t="shared" si="15"/>
        <v>30.36</v>
      </c>
      <c r="V35" s="103"/>
      <c r="W35" s="162" t="s">
        <v>17</v>
      </c>
      <c r="X35" s="108" t="str">
        <f t="shared" si="3"/>
        <v>cad</v>
      </c>
      <c r="Y35" s="108" t="str">
        <f t="shared" si="4"/>
        <v>cad</v>
      </c>
      <c r="Z35" s="108">
        <f t="shared" si="5"/>
        <v>34.380000000000003</v>
      </c>
      <c r="AA35" s="108">
        <f t="shared" si="6"/>
        <v>0</v>
      </c>
      <c r="AB35" s="108">
        <f t="shared" si="7"/>
        <v>34.380000000000003</v>
      </c>
      <c r="AC35" s="108">
        <f t="shared" si="8"/>
        <v>34.380000000000003</v>
      </c>
      <c r="AD35" s="90"/>
      <c r="AE35" s="102" t="s">
        <v>17</v>
      </c>
      <c r="AF35" s="108">
        <f t="shared" si="14"/>
        <v>30.36</v>
      </c>
      <c r="AG35" s="90"/>
      <c r="AH35" s="90"/>
      <c r="AI35" s="90"/>
      <c r="AJ35" s="90"/>
      <c r="AK35" s="90"/>
    </row>
    <row r="36" spans="1:37" s="11" customFormat="1" ht="14.4">
      <c r="A36" s="18"/>
      <c r="B36" s="201"/>
      <c r="C36" s="95"/>
      <c r="D36" s="95"/>
      <c r="E36" s="95"/>
      <c r="F36" s="95"/>
      <c r="G36" s="141"/>
      <c r="H36" s="118"/>
      <c r="I36" s="95"/>
      <c r="J36" s="95"/>
      <c r="K36" s="103"/>
      <c r="L36" s="162"/>
      <c r="M36" s="108"/>
      <c r="N36" s="95"/>
      <c r="O36" s="95"/>
      <c r="P36" s="92"/>
      <c r="Q36" s="92"/>
      <c r="R36" s="108"/>
      <c r="S36" s="146"/>
      <c r="T36" s="108"/>
      <c r="U36" s="92"/>
      <c r="V36" s="103"/>
      <c r="W36" s="162" t="s">
        <v>19</v>
      </c>
      <c r="X36" s="141">
        <f t="shared" si="3"/>
        <v>0</v>
      </c>
      <c r="Y36" s="141">
        <f t="shared" si="4"/>
        <v>0</v>
      </c>
      <c r="Z36" s="141">
        <v>10.15</v>
      </c>
      <c r="AA36" s="108">
        <f t="shared" si="6"/>
        <v>0</v>
      </c>
      <c r="AB36" s="141">
        <f t="shared" ref="AB36:AB37" si="16">Z36</f>
        <v>10.15</v>
      </c>
      <c r="AC36" s="141">
        <f t="shared" ref="AC36:AC37" si="17">AB36</f>
        <v>10.15</v>
      </c>
      <c r="AD36" s="90"/>
      <c r="AE36" s="102"/>
      <c r="AF36" s="108">
        <f t="shared" si="14"/>
        <v>0</v>
      </c>
      <c r="AG36" s="90"/>
      <c r="AH36" s="90"/>
      <c r="AI36" s="90"/>
      <c r="AJ36" s="90"/>
      <c r="AK36" s="90"/>
    </row>
    <row r="37" spans="1:37" s="11" customFormat="1" ht="14.4">
      <c r="A37" s="18"/>
      <c r="B37" s="201"/>
      <c r="C37" s="95"/>
      <c r="D37" s="95"/>
      <c r="E37" s="95"/>
      <c r="F37" s="95"/>
      <c r="G37" s="141"/>
      <c r="H37" s="118"/>
      <c r="I37" s="95"/>
      <c r="J37" s="95"/>
      <c r="K37" s="103"/>
      <c r="L37" s="162"/>
      <c r="M37" s="108"/>
      <c r="N37" s="95"/>
      <c r="O37" s="95"/>
      <c r="P37" s="92"/>
      <c r="Q37" s="92"/>
      <c r="R37" s="108"/>
      <c r="S37" s="146"/>
      <c r="T37" s="108"/>
      <c r="U37" s="92"/>
      <c r="V37" s="103"/>
      <c r="W37" s="162" t="s">
        <v>20</v>
      </c>
      <c r="X37" s="141">
        <f t="shared" si="3"/>
        <v>0</v>
      </c>
      <c r="Y37" s="141">
        <f t="shared" si="4"/>
        <v>0</v>
      </c>
      <c r="Z37" s="141">
        <v>1.56</v>
      </c>
      <c r="AA37" s="108">
        <f t="shared" si="6"/>
        <v>0</v>
      </c>
      <c r="AB37" s="141">
        <f t="shared" si="16"/>
        <v>1.56</v>
      </c>
      <c r="AC37" s="141">
        <f t="shared" si="17"/>
        <v>1.56</v>
      </c>
      <c r="AD37" s="90"/>
      <c r="AE37" s="102"/>
      <c r="AF37" s="108">
        <f t="shared" si="14"/>
        <v>0</v>
      </c>
      <c r="AG37" s="90"/>
      <c r="AH37" s="90"/>
      <c r="AI37" s="90"/>
      <c r="AJ37" s="90"/>
      <c r="AK37" s="90"/>
    </row>
    <row r="38" spans="1:37" s="11" customFormat="1" ht="14.4">
      <c r="A38" s="18"/>
      <c r="B38" s="201" t="s">
        <v>559</v>
      </c>
      <c r="C38" s="95" t="s">
        <v>17</v>
      </c>
      <c r="D38" s="95">
        <v>1</v>
      </c>
      <c r="E38" s="95" t="s">
        <v>57</v>
      </c>
      <c r="F38" s="95" t="s">
        <v>57</v>
      </c>
      <c r="G38" s="168">
        <v>7.34</v>
      </c>
      <c r="H38" s="118"/>
      <c r="I38" s="95">
        <f t="shared" si="0"/>
        <v>7.34</v>
      </c>
      <c r="J38" s="95">
        <f t="shared" si="1"/>
        <v>7.34</v>
      </c>
      <c r="K38" s="103"/>
      <c r="L38" s="162" t="s">
        <v>17</v>
      </c>
      <c r="M38" s="108">
        <v>1</v>
      </c>
      <c r="N38" s="169">
        <v>11.08</v>
      </c>
      <c r="O38" s="168">
        <v>2.7</v>
      </c>
      <c r="P38" s="92"/>
      <c r="Q38" s="92"/>
      <c r="R38" s="108">
        <f t="shared" si="2"/>
        <v>29.916000000000004</v>
      </c>
      <c r="S38" s="146"/>
      <c r="T38" s="108" t="s">
        <v>17</v>
      </c>
      <c r="U38" s="92">
        <f t="shared" si="15"/>
        <v>11.08</v>
      </c>
      <c r="V38" s="103"/>
      <c r="W38" s="162" t="s">
        <v>17</v>
      </c>
      <c r="X38" s="108" t="str">
        <f t="shared" si="3"/>
        <v>cad</v>
      </c>
      <c r="Y38" s="108" t="str">
        <f t="shared" si="4"/>
        <v>cad</v>
      </c>
      <c r="Z38" s="108">
        <f t="shared" si="5"/>
        <v>7.34</v>
      </c>
      <c r="AA38" s="108">
        <f t="shared" si="6"/>
        <v>0</v>
      </c>
      <c r="AB38" s="108">
        <f t="shared" si="7"/>
        <v>7.34</v>
      </c>
      <c r="AC38" s="108">
        <f t="shared" si="8"/>
        <v>7.34</v>
      </c>
      <c r="AD38" s="90"/>
      <c r="AE38" s="102" t="s">
        <v>17</v>
      </c>
      <c r="AF38" s="108">
        <f t="shared" si="14"/>
        <v>11.08</v>
      </c>
      <c r="AG38" s="90"/>
      <c r="AH38" s="90"/>
      <c r="AI38" s="90"/>
      <c r="AJ38" s="90"/>
      <c r="AK38" s="90"/>
    </row>
    <row r="39" spans="1:37" s="11" customFormat="1" ht="14.4">
      <c r="A39" s="18"/>
      <c r="B39" s="201" t="s">
        <v>574</v>
      </c>
      <c r="C39" s="95" t="s">
        <v>17</v>
      </c>
      <c r="D39" s="95">
        <v>1</v>
      </c>
      <c r="E39" s="95" t="s">
        <v>57</v>
      </c>
      <c r="F39" s="95" t="s">
        <v>57</v>
      </c>
      <c r="G39" s="168">
        <v>8.6999999999999993</v>
      </c>
      <c r="H39" s="118"/>
      <c r="I39" s="95">
        <f t="shared" si="0"/>
        <v>8.6999999999999993</v>
      </c>
      <c r="J39" s="95">
        <f t="shared" si="1"/>
        <v>8.6999999999999993</v>
      </c>
      <c r="K39" s="103"/>
      <c r="L39" s="162" t="s">
        <v>17</v>
      </c>
      <c r="M39" s="108">
        <v>1</v>
      </c>
      <c r="N39" s="169">
        <v>12.27</v>
      </c>
      <c r="O39" s="168">
        <v>2.7</v>
      </c>
      <c r="P39" s="92"/>
      <c r="Q39" s="92"/>
      <c r="R39" s="108">
        <f t="shared" si="2"/>
        <v>33.128999999999998</v>
      </c>
      <c r="S39" s="146"/>
      <c r="T39" s="108" t="s">
        <v>17</v>
      </c>
      <c r="U39" s="92">
        <f t="shared" si="15"/>
        <v>12.27</v>
      </c>
      <c r="V39" s="103"/>
      <c r="W39" s="162" t="s">
        <v>17</v>
      </c>
      <c r="X39" s="108" t="str">
        <f t="shared" si="3"/>
        <v>cad</v>
      </c>
      <c r="Y39" s="108" t="str">
        <f t="shared" si="4"/>
        <v>cad</v>
      </c>
      <c r="Z39" s="108">
        <f t="shared" si="5"/>
        <v>8.6999999999999993</v>
      </c>
      <c r="AA39" s="108">
        <f t="shared" si="6"/>
        <v>0</v>
      </c>
      <c r="AB39" s="108">
        <f t="shared" si="7"/>
        <v>8.6999999999999993</v>
      </c>
      <c r="AC39" s="108">
        <f t="shared" si="8"/>
        <v>8.6999999999999993</v>
      </c>
      <c r="AD39" s="90"/>
      <c r="AE39" s="102" t="s">
        <v>17</v>
      </c>
      <c r="AF39" s="108">
        <f t="shared" si="14"/>
        <v>12.27</v>
      </c>
      <c r="AG39" s="90"/>
      <c r="AH39" s="90"/>
      <c r="AI39" s="90"/>
      <c r="AJ39" s="90"/>
      <c r="AK39" s="90"/>
    </row>
    <row r="40" spans="1:37" s="11" customFormat="1" ht="14.4">
      <c r="A40" s="18"/>
      <c r="B40" s="201" t="s">
        <v>575</v>
      </c>
      <c r="C40" s="95" t="s">
        <v>17</v>
      </c>
      <c r="D40" s="95">
        <v>1</v>
      </c>
      <c r="E40" s="95" t="s">
        <v>57</v>
      </c>
      <c r="F40" s="95" t="s">
        <v>57</v>
      </c>
      <c r="G40" s="168">
        <v>5.94</v>
      </c>
      <c r="H40" s="118"/>
      <c r="I40" s="95">
        <f t="shared" si="0"/>
        <v>5.94</v>
      </c>
      <c r="J40" s="95">
        <f t="shared" si="1"/>
        <v>5.94</v>
      </c>
      <c r="K40" s="103"/>
      <c r="L40" s="162" t="s">
        <v>17</v>
      </c>
      <c r="M40" s="108">
        <v>1</v>
      </c>
      <c r="N40" s="169">
        <v>10.33</v>
      </c>
      <c r="O40" s="168">
        <v>2.7</v>
      </c>
      <c r="P40" s="92"/>
      <c r="Q40" s="92"/>
      <c r="R40" s="108">
        <f t="shared" si="2"/>
        <v>27.891000000000002</v>
      </c>
      <c r="S40" s="146"/>
      <c r="T40" s="108" t="s">
        <v>17</v>
      </c>
      <c r="U40" s="92">
        <f t="shared" si="15"/>
        <v>10.33</v>
      </c>
      <c r="V40" s="103"/>
      <c r="W40" s="162" t="s">
        <v>17</v>
      </c>
      <c r="X40" s="108" t="str">
        <f t="shared" si="3"/>
        <v>cad</v>
      </c>
      <c r="Y40" s="108" t="str">
        <f t="shared" si="4"/>
        <v>cad</v>
      </c>
      <c r="Z40" s="108">
        <f t="shared" si="5"/>
        <v>5.94</v>
      </c>
      <c r="AA40" s="108">
        <f t="shared" si="6"/>
        <v>0</v>
      </c>
      <c r="AB40" s="108">
        <f t="shared" si="7"/>
        <v>5.94</v>
      </c>
      <c r="AC40" s="108">
        <f t="shared" si="8"/>
        <v>5.94</v>
      </c>
      <c r="AD40" s="90"/>
      <c r="AE40" s="102" t="s">
        <v>17</v>
      </c>
      <c r="AF40" s="108">
        <f t="shared" si="14"/>
        <v>10.33</v>
      </c>
      <c r="AG40" s="90"/>
      <c r="AH40" s="90"/>
      <c r="AI40" s="90"/>
      <c r="AJ40" s="90"/>
      <c r="AK40" s="90"/>
    </row>
    <row r="41" spans="1:37" s="11" customFormat="1" ht="14.4">
      <c r="A41" s="18"/>
      <c r="B41" s="201" t="s">
        <v>567</v>
      </c>
      <c r="C41" s="95" t="s">
        <v>17</v>
      </c>
      <c r="D41" s="95">
        <v>1</v>
      </c>
      <c r="E41" s="95" t="s">
        <v>57</v>
      </c>
      <c r="F41" s="95" t="s">
        <v>57</v>
      </c>
      <c r="G41" s="168">
        <v>10.43</v>
      </c>
      <c r="H41" s="118"/>
      <c r="I41" s="95">
        <f t="shared" si="0"/>
        <v>10.43</v>
      </c>
      <c r="J41" s="95">
        <f t="shared" si="1"/>
        <v>10.43</v>
      </c>
      <c r="K41" s="103"/>
      <c r="L41" s="162" t="s">
        <v>17</v>
      </c>
      <c r="M41" s="108">
        <v>1</v>
      </c>
      <c r="N41" s="169">
        <v>13.31</v>
      </c>
      <c r="O41" s="168">
        <v>2.7</v>
      </c>
      <c r="P41" s="92"/>
      <c r="Q41" s="92"/>
      <c r="R41" s="108">
        <f t="shared" si="2"/>
        <v>35.937000000000005</v>
      </c>
      <c r="S41" s="146"/>
      <c r="T41" s="108" t="s">
        <v>17</v>
      </c>
      <c r="U41" s="92">
        <f t="shared" si="15"/>
        <v>13.31</v>
      </c>
      <c r="V41" s="103"/>
      <c r="W41" s="162" t="s">
        <v>17</v>
      </c>
      <c r="X41" s="108" t="str">
        <f t="shared" si="3"/>
        <v>cad</v>
      </c>
      <c r="Y41" s="108" t="str">
        <f t="shared" si="4"/>
        <v>cad</v>
      </c>
      <c r="Z41" s="108">
        <f t="shared" si="5"/>
        <v>10.43</v>
      </c>
      <c r="AA41" s="108">
        <f t="shared" si="6"/>
        <v>0</v>
      </c>
      <c r="AB41" s="108">
        <f t="shared" si="7"/>
        <v>10.43</v>
      </c>
      <c r="AC41" s="108">
        <f t="shared" si="8"/>
        <v>10.43</v>
      </c>
      <c r="AD41" s="90"/>
      <c r="AE41" s="102" t="s">
        <v>17</v>
      </c>
      <c r="AF41" s="108">
        <f t="shared" si="14"/>
        <v>13.31</v>
      </c>
      <c r="AG41" s="90"/>
      <c r="AH41" s="90"/>
      <c r="AI41" s="90"/>
      <c r="AJ41" s="90"/>
      <c r="AK41" s="90"/>
    </row>
    <row r="42" spans="1:37" s="11" customFormat="1" ht="14.4">
      <c r="A42" s="18"/>
      <c r="B42" s="201" t="s">
        <v>84</v>
      </c>
      <c r="C42" s="95" t="s">
        <v>17</v>
      </c>
      <c r="D42" s="95">
        <v>1</v>
      </c>
      <c r="E42" s="95" t="s">
        <v>57</v>
      </c>
      <c r="F42" s="95" t="s">
        <v>57</v>
      </c>
      <c r="G42" s="168">
        <v>5.34</v>
      </c>
      <c r="H42" s="118"/>
      <c r="I42" s="95">
        <f t="shared" si="0"/>
        <v>5.34</v>
      </c>
      <c r="J42" s="95">
        <f t="shared" si="1"/>
        <v>5.34</v>
      </c>
      <c r="K42" s="103"/>
      <c r="L42" s="162" t="s">
        <v>17</v>
      </c>
      <c r="M42" s="108">
        <v>1</v>
      </c>
      <c r="N42" s="169">
        <v>9.8800000000000008</v>
      </c>
      <c r="O42" s="168">
        <v>2.7</v>
      </c>
      <c r="P42" s="92"/>
      <c r="Q42" s="92"/>
      <c r="R42" s="108">
        <f t="shared" si="2"/>
        <v>26.676000000000005</v>
      </c>
      <c r="S42" s="146"/>
      <c r="T42" s="108" t="s">
        <v>17</v>
      </c>
      <c r="U42" s="92">
        <f t="shared" si="15"/>
        <v>9.8800000000000008</v>
      </c>
      <c r="V42" s="103"/>
      <c r="W42" s="162" t="s">
        <v>17</v>
      </c>
      <c r="X42" s="108" t="str">
        <f t="shared" si="3"/>
        <v>cad</v>
      </c>
      <c r="Y42" s="108" t="str">
        <f t="shared" si="4"/>
        <v>cad</v>
      </c>
      <c r="Z42" s="108">
        <f t="shared" si="5"/>
        <v>5.34</v>
      </c>
      <c r="AA42" s="108">
        <f t="shared" si="6"/>
        <v>0</v>
      </c>
      <c r="AB42" s="108">
        <f t="shared" si="7"/>
        <v>5.34</v>
      </c>
      <c r="AC42" s="108">
        <f t="shared" si="8"/>
        <v>5.34</v>
      </c>
      <c r="AD42" s="90"/>
      <c r="AE42" s="102" t="s">
        <v>17</v>
      </c>
      <c r="AF42" s="108">
        <f t="shared" si="14"/>
        <v>9.8800000000000008</v>
      </c>
      <c r="AG42" s="90"/>
      <c r="AH42" s="90"/>
      <c r="AI42" s="90"/>
      <c r="AJ42" s="90"/>
      <c r="AK42" s="90"/>
    </row>
    <row r="43" spans="1:37" s="11" customFormat="1" ht="14.4">
      <c r="A43" s="18"/>
      <c r="B43" s="201" t="s">
        <v>576</v>
      </c>
      <c r="C43" s="95" t="s">
        <v>17</v>
      </c>
      <c r="D43" s="95">
        <v>1</v>
      </c>
      <c r="E43" s="95" t="s">
        <v>57</v>
      </c>
      <c r="F43" s="95" t="s">
        <v>57</v>
      </c>
      <c r="G43" s="168">
        <v>15.69</v>
      </c>
      <c r="H43" s="118"/>
      <c r="I43" s="95">
        <f t="shared" si="0"/>
        <v>15.69</v>
      </c>
      <c r="J43" s="95">
        <f t="shared" si="1"/>
        <v>15.69</v>
      </c>
      <c r="K43" s="103"/>
      <c r="L43" s="162" t="s">
        <v>17</v>
      </c>
      <c r="M43" s="108">
        <v>1</v>
      </c>
      <c r="N43" s="169">
        <v>16.079999999999998</v>
      </c>
      <c r="O43" s="168">
        <v>2.7</v>
      </c>
      <c r="P43" s="92"/>
      <c r="Q43" s="92"/>
      <c r="R43" s="108">
        <f t="shared" si="2"/>
        <v>43.415999999999997</v>
      </c>
      <c r="S43" s="146"/>
      <c r="T43" s="108" t="s">
        <v>17</v>
      </c>
      <c r="U43" s="92">
        <f t="shared" si="15"/>
        <v>16.079999999999998</v>
      </c>
      <c r="V43" s="103"/>
      <c r="W43" s="162" t="s">
        <v>17</v>
      </c>
      <c r="X43" s="108" t="str">
        <f t="shared" si="3"/>
        <v>cad</v>
      </c>
      <c r="Y43" s="108" t="str">
        <f t="shared" si="4"/>
        <v>cad</v>
      </c>
      <c r="Z43" s="108">
        <f t="shared" si="5"/>
        <v>15.69</v>
      </c>
      <c r="AA43" s="108">
        <f t="shared" si="6"/>
        <v>0</v>
      </c>
      <c r="AB43" s="108">
        <f t="shared" si="7"/>
        <v>15.69</v>
      </c>
      <c r="AC43" s="108">
        <f t="shared" si="8"/>
        <v>15.69</v>
      </c>
      <c r="AD43" s="90"/>
      <c r="AE43" s="102" t="s">
        <v>17</v>
      </c>
      <c r="AF43" s="108">
        <f t="shared" si="14"/>
        <v>16.079999999999998</v>
      </c>
      <c r="AG43" s="90"/>
      <c r="AH43" s="90"/>
      <c r="AI43" s="90"/>
      <c r="AJ43" s="90"/>
      <c r="AK43" s="90"/>
    </row>
    <row r="44" spans="1:37" s="11" customFormat="1" ht="14.4">
      <c r="A44" s="18"/>
      <c r="B44" s="201" t="s">
        <v>568</v>
      </c>
      <c r="C44" s="95" t="s">
        <v>17</v>
      </c>
      <c r="D44" s="95">
        <v>2</v>
      </c>
      <c r="E44" s="95" t="s">
        <v>57</v>
      </c>
      <c r="F44" s="95" t="s">
        <v>57</v>
      </c>
      <c r="G44" s="168">
        <v>15.37</v>
      </c>
      <c r="H44" s="118"/>
      <c r="I44" s="95">
        <f t="shared" si="0"/>
        <v>15.37</v>
      </c>
      <c r="J44" s="95">
        <f t="shared" si="1"/>
        <v>30.74</v>
      </c>
      <c r="K44" s="103"/>
      <c r="L44" s="162" t="s">
        <v>17</v>
      </c>
      <c r="M44" s="108">
        <v>2</v>
      </c>
      <c r="N44" s="169">
        <v>15.88</v>
      </c>
      <c r="O44" s="168">
        <v>2.7</v>
      </c>
      <c r="P44" s="92"/>
      <c r="Q44" s="92"/>
      <c r="R44" s="108">
        <f t="shared" si="2"/>
        <v>85.75200000000001</v>
      </c>
      <c r="S44" s="146"/>
      <c r="T44" s="108" t="s">
        <v>17</v>
      </c>
      <c r="U44" s="92">
        <f t="shared" si="15"/>
        <v>31.76</v>
      </c>
      <c r="V44" s="103"/>
      <c r="W44" s="162" t="s">
        <v>17</v>
      </c>
      <c r="X44" s="108" t="str">
        <f t="shared" si="3"/>
        <v>cad</v>
      </c>
      <c r="Y44" s="108" t="str">
        <f t="shared" si="4"/>
        <v>cad</v>
      </c>
      <c r="Z44" s="108">
        <f t="shared" si="5"/>
        <v>15.37</v>
      </c>
      <c r="AA44" s="108">
        <f t="shared" si="6"/>
        <v>0</v>
      </c>
      <c r="AB44" s="108">
        <f t="shared" si="7"/>
        <v>15.37</v>
      </c>
      <c r="AC44" s="108">
        <f t="shared" si="8"/>
        <v>30.74</v>
      </c>
      <c r="AD44" s="90"/>
      <c r="AE44" s="102" t="s">
        <v>17</v>
      </c>
      <c r="AF44" s="108">
        <f t="shared" si="14"/>
        <v>31.76</v>
      </c>
      <c r="AG44" s="90"/>
      <c r="AH44" s="90"/>
      <c r="AI44" s="90"/>
      <c r="AJ44" s="90"/>
      <c r="AK44" s="90"/>
    </row>
    <row r="45" spans="1:37" s="11" customFormat="1" ht="14.4">
      <c r="A45" s="18"/>
      <c r="B45" s="201" t="s">
        <v>577</v>
      </c>
      <c r="C45" s="95" t="s">
        <v>20</v>
      </c>
      <c r="D45" s="95">
        <v>2</v>
      </c>
      <c r="E45" s="95" t="s">
        <v>57</v>
      </c>
      <c r="F45" s="95" t="s">
        <v>57</v>
      </c>
      <c r="G45" s="168">
        <v>5.4</v>
      </c>
      <c r="H45" s="118"/>
      <c r="I45" s="95">
        <f t="shared" si="0"/>
        <v>5.4</v>
      </c>
      <c r="J45" s="95">
        <f t="shared" si="1"/>
        <v>10.8</v>
      </c>
      <c r="K45" s="103"/>
      <c r="L45" s="162" t="s">
        <v>18</v>
      </c>
      <c r="M45" s="108">
        <v>2</v>
      </c>
      <c r="N45" s="169">
        <v>10.08</v>
      </c>
      <c r="O45" s="168">
        <v>2.7</v>
      </c>
      <c r="P45" s="92"/>
      <c r="Q45" s="92"/>
      <c r="R45" s="108">
        <f t="shared" si="2"/>
        <v>54.432000000000002</v>
      </c>
      <c r="S45" s="146"/>
      <c r="T45" s="108" t="s">
        <v>18</v>
      </c>
      <c r="U45" s="92">
        <f t="shared" si="15"/>
        <v>20.16</v>
      </c>
      <c r="V45" s="103"/>
      <c r="W45" s="162" t="s">
        <v>18</v>
      </c>
      <c r="X45" s="108" t="str">
        <f t="shared" si="3"/>
        <v>cad</v>
      </c>
      <c r="Y45" s="108" t="str">
        <f t="shared" si="4"/>
        <v>cad</v>
      </c>
      <c r="Z45" s="108">
        <f t="shared" si="5"/>
        <v>5.4</v>
      </c>
      <c r="AA45" s="108">
        <f t="shared" si="6"/>
        <v>0</v>
      </c>
      <c r="AB45" s="108">
        <f t="shared" si="7"/>
        <v>5.4</v>
      </c>
      <c r="AC45" s="108">
        <f t="shared" si="8"/>
        <v>10.8</v>
      </c>
      <c r="AD45" s="90"/>
      <c r="AE45" s="102" t="s">
        <v>17</v>
      </c>
      <c r="AF45" s="108">
        <f t="shared" si="14"/>
        <v>20.16</v>
      </c>
      <c r="AG45" s="90"/>
      <c r="AH45" s="90"/>
      <c r="AI45" s="90"/>
      <c r="AJ45" s="90"/>
      <c r="AK45" s="90"/>
    </row>
    <row r="46" spans="1:37" s="11" customFormat="1" ht="14.4">
      <c r="A46" s="18"/>
      <c r="B46" s="201" t="s">
        <v>154</v>
      </c>
      <c r="C46" s="319" t="s">
        <v>17</v>
      </c>
      <c r="D46" s="95">
        <v>1</v>
      </c>
      <c r="E46" s="95" t="s">
        <v>57</v>
      </c>
      <c r="F46" s="95" t="s">
        <v>57</v>
      </c>
      <c r="G46" s="168">
        <v>3.48</v>
      </c>
      <c r="H46" s="118"/>
      <c r="I46" s="95">
        <f t="shared" si="0"/>
        <v>3.48</v>
      </c>
      <c r="J46" s="95">
        <f t="shared" si="1"/>
        <v>3.48</v>
      </c>
      <c r="K46" s="103"/>
      <c r="L46" s="162" t="s">
        <v>17</v>
      </c>
      <c r="M46" s="108">
        <v>1</v>
      </c>
      <c r="N46" s="169">
        <v>8.82</v>
      </c>
      <c r="O46" s="168">
        <v>2.7</v>
      </c>
      <c r="P46" s="92"/>
      <c r="Q46" s="92"/>
      <c r="R46" s="108">
        <f t="shared" si="2"/>
        <v>23.814000000000004</v>
      </c>
      <c r="S46" s="146"/>
      <c r="T46" s="108" t="s">
        <v>21</v>
      </c>
      <c r="U46" s="92">
        <f t="shared" si="15"/>
        <v>8.82</v>
      </c>
      <c r="V46" s="103"/>
      <c r="W46" s="162" t="s">
        <v>17</v>
      </c>
      <c r="X46" s="108" t="str">
        <f t="shared" si="3"/>
        <v>cad</v>
      </c>
      <c r="Y46" s="108" t="str">
        <f t="shared" si="4"/>
        <v>cad</v>
      </c>
      <c r="Z46" s="108">
        <f t="shared" si="5"/>
        <v>3.48</v>
      </c>
      <c r="AA46" s="108">
        <f t="shared" si="6"/>
        <v>0</v>
      </c>
      <c r="AB46" s="108">
        <f t="shared" si="7"/>
        <v>3.48</v>
      </c>
      <c r="AC46" s="108">
        <f t="shared" si="8"/>
        <v>3.48</v>
      </c>
      <c r="AD46" s="90"/>
      <c r="AE46" s="102" t="s">
        <v>17</v>
      </c>
      <c r="AF46" s="108">
        <f t="shared" si="14"/>
        <v>8.82</v>
      </c>
      <c r="AG46" s="90"/>
      <c r="AH46" s="90"/>
      <c r="AI46" s="90"/>
      <c r="AJ46" s="90"/>
      <c r="AK46" s="90"/>
    </row>
    <row r="47" spans="1:37" s="11" customFormat="1" ht="14.4">
      <c r="A47" s="18"/>
      <c r="B47" s="201" t="s">
        <v>569</v>
      </c>
      <c r="C47" s="95" t="s">
        <v>17</v>
      </c>
      <c r="D47" s="95">
        <v>1</v>
      </c>
      <c r="E47" s="95" t="s">
        <v>57</v>
      </c>
      <c r="F47" s="95" t="s">
        <v>57</v>
      </c>
      <c r="G47" s="168">
        <v>4.76</v>
      </c>
      <c r="H47" s="118"/>
      <c r="I47" s="95">
        <f t="shared" si="0"/>
        <v>4.76</v>
      </c>
      <c r="J47" s="95">
        <f t="shared" si="1"/>
        <v>4.76</v>
      </c>
      <c r="K47" s="103"/>
      <c r="L47" s="162" t="s">
        <v>17</v>
      </c>
      <c r="M47" s="108">
        <v>1</v>
      </c>
      <c r="N47" s="169">
        <f>9.7-1.38</f>
        <v>8.32</v>
      </c>
      <c r="O47" s="168">
        <v>2.7</v>
      </c>
      <c r="P47" s="92"/>
      <c r="Q47" s="92"/>
      <c r="R47" s="108">
        <f t="shared" si="2"/>
        <v>22.464000000000002</v>
      </c>
      <c r="S47" s="146"/>
      <c r="T47" s="108" t="s">
        <v>17</v>
      </c>
      <c r="U47" s="92">
        <f t="shared" si="15"/>
        <v>8.32</v>
      </c>
      <c r="V47" s="103"/>
      <c r="W47" s="162" t="s">
        <v>17</v>
      </c>
      <c r="X47" s="108" t="str">
        <f t="shared" si="3"/>
        <v>cad</v>
      </c>
      <c r="Y47" s="108" t="str">
        <f t="shared" si="4"/>
        <v>cad</v>
      </c>
      <c r="Z47" s="108">
        <f t="shared" si="5"/>
        <v>4.76</v>
      </c>
      <c r="AA47" s="108">
        <f t="shared" si="6"/>
        <v>0</v>
      </c>
      <c r="AB47" s="108">
        <f t="shared" si="7"/>
        <v>4.76</v>
      </c>
      <c r="AC47" s="108">
        <f t="shared" si="8"/>
        <v>4.76</v>
      </c>
      <c r="AD47" s="90"/>
      <c r="AE47" s="102" t="s">
        <v>17</v>
      </c>
      <c r="AF47" s="108">
        <f t="shared" si="14"/>
        <v>8.32</v>
      </c>
      <c r="AG47" s="90"/>
      <c r="AH47" s="90"/>
      <c r="AI47" s="90"/>
      <c r="AJ47" s="90"/>
      <c r="AK47" s="90"/>
    </row>
    <row r="48" spans="1:37" s="11" customFormat="1" ht="14.4">
      <c r="A48" s="18"/>
      <c r="B48" s="201" t="s">
        <v>548</v>
      </c>
      <c r="C48" s="319" t="s">
        <v>17</v>
      </c>
      <c r="D48" s="95">
        <v>1</v>
      </c>
      <c r="E48" s="95" t="s">
        <v>57</v>
      </c>
      <c r="F48" s="95" t="s">
        <v>57</v>
      </c>
      <c r="G48" s="168">
        <v>12.46</v>
      </c>
      <c r="H48" s="118"/>
      <c r="I48" s="95">
        <f t="shared" si="0"/>
        <v>12.46</v>
      </c>
      <c r="J48" s="95">
        <f t="shared" si="1"/>
        <v>12.46</v>
      </c>
      <c r="K48" s="103"/>
      <c r="L48" s="162" t="s">
        <v>17</v>
      </c>
      <c r="M48" s="108">
        <v>1</v>
      </c>
      <c r="N48" s="169">
        <f>14.38-3.88</f>
        <v>10.5</v>
      </c>
      <c r="O48" s="168">
        <v>2.7</v>
      </c>
      <c r="P48" s="92"/>
      <c r="Q48" s="92"/>
      <c r="R48" s="108">
        <f t="shared" si="2"/>
        <v>28.35</v>
      </c>
      <c r="S48" s="146"/>
      <c r="T48" s="108" t="s">
        <v>21</v>
      </c>
      <c r="U48" s="163">
        <f t="shared" si="15"/>
        <v>10.5</v>
      </c>
      <c r="V48" s="103"/>
      <c r="W48" s="162" t="s">
        <v>17</v>
      </c>
      <c r="X48" s="108" t="str">
        <f t="shared" si="3"/>
        <v>cad</v>
      </c>
      <c r="Y48" s="108" t="str">
        <f t="shared" si="4"/>
        <v>cad</v>
      </c>
      <c r="Z48" s="108">
        <f t="shared" si="5"/>
        <v>12.46</v>
      </c>
      <c r="AA48" s="108">
        <f t="shared" si="6"/>
        <v>0</v>
      </c>
      <c r="AB48" s="108">
        <f t="shared" si="7"/>
        <v>12.46</v>
      </c>
      <c r="AC48" s="108">
        <f t="shared" si="8"/>
        <v>12.46</v>
      </c>
      <c r="AD48" s="90"/>
      <c r="AE48" s="102" t="s">
        <v>17</v>
      </c>
      <c r="AF48" s="108">
        <f t="shared" si="14"/>
        <v>10.5</v>
      </c>
      <c r="AG48" s="90"/>
      <c r="AH48" s="90"/>
      <c r="AI48" s="90"/>
      <c r="AJ48" s="90"/>
      <c r="AK48" s="90"/>
    </row>
    <row r="49" spans="1:37" s="11" customFormat="1" ht="14.4">
      <c r="A49" s="18"/>
      <c r="B49" s="201"/>
      <c r="C49" s="95"/>
      <c r="D49" s="95"/>
      <c r="E49" s="95"/>
      <c r="F49" s="95"/>
      <c r="G49" s="141"/>
      <c r="H49" s="118"/>
      <c r="I49" s="95"/>
      <c r="J49" s="95"/>
      <c r="K49" s="103"/>
      <c r="L49" s="162"/>
      <c r="M49" s="108"/>
      <c r="N49" s="95"/>
      <c r="O49" s="95"/>
      <c r="P49" s="92"/>
      <c r="Q49" s="92"/>
      <c r="R49" s="108"/>
      <c r="S49" s="146"/>
      <c r="T49" s="108"/>
      <c r="U49" s="92"/>
      <c r="V49" s="103"/>
      <c r="W49" s="162" t="s">
        <v>19</v>
      </c>
      <c r="X49" s="141">
        <f t="shared" si="3"/>
        <v>0</v>
      </c>
      <c r="Y49" s="141">
        <f t="shared" si="4"/>
        <v>0</v>
      </c>
      <c r="Z49" s="141">
        <v>2.21</v>
      </c>
      <c r="AA49" s="108">
        <f t="shared" si="6"/>
        <v>0</v>
      </c>
      <c r="AB49" s="141">
        <f t="shared" ref="AB49:AB50" si="18">Z49</f>
        <v>2.21</v>
      </c>
      <c r="AC49" s="141">
        <f t="shared" ref="AC49:AC52" si="19">AB49</f>
        <v>2.21</v>
      </c>
      <c r="AD49" s="90"/>
      <c r="AE49" s="102"/>
      <c r="AF49" s="108">
        <f t="shared" si="14"/>
        <v>0</v>
      </c>
      <c r="AG49" s="90"/>
      <c r="AH49" s="90"/>
      <c r="AI49" s="90"/>
      <c r="AJ49" s="90"/>
      <c r="AK49" s="90"/>
    </row>
    <row r="50" spans="1:37" s="11" customFormat="1" ht="14.4">
      <c r="A50" s="18"/>
      <c r="B50" s="201"/>
      <c r="C50" s="95"/>
      <c r="D50" s="95"/>
      <c r="E50" s="95"/>
      <c r="F50" s="95"/>
      <c r="G50" s="141"/>
      <c r="H50" s="118"/>
      <c r="I50" s="95"/>
      <c r="J50" s="95"/>
      <c r="K50" s="103"/>
      <c r="L50" s="162"/>
      <c r="M50" s="108"/>
      <c r="N50" s="95"/>
      <c r="O50" s="95"/>
      <c r="P50" s="92"/>
      <c r="Q50" s="92"/>
      <c r="R50" s="108"/>
      <c r="S50" s="146"/>
      <c r="T50" s="108"/>
      <c r="U50" s="92"/>
      <c r="V50" s="103"/>
      <c r="W50" s="162" t="s">
        <v>20</v>
      </c>
      <c r="X50" s="141">
        <f t="shared" si="3"/>
        <v>0</v>
      </c>
      <c r="Y50" s="141">
        <f t="shared" si="4"/>
        <v>0</v>
      </c>
      <c r="Z50" s="141">
        <v>1.56</v>
      </c>
      <c r="AA50" s="108">
        <f t="shared" si="6"/>
        <v>0</v>
      </c>
      <c r="AB50" s="141">
        <f t="shared" si="18"/>
        <v>1.56</v>
      </c>
      <c r="AC50" s="141">
        <f t="shared" si="19"/>
        <v>1.56</v>
      </c>
      <c r="AD50" s="90"/>
      <c r="AE50" s="102"/>
      <c r="AF50" s="108">
        <f t="shared" si="14"/>
        <v>0</v>
      </c>
      <c r="AG50" s="90"/>
      <c r="AH50" s="90"/>
      <c r="AI50" s="90"/>
      <c r="AJ50" s="90"/>
      <c r="AK50" s="90"/>
    </row>
    <row r="51" spans="1:37" s="11" customFormat="1" ht="14.4">
      <c r="A51" s="18"/>
      <c r="B51" s="201" t="s">
        <v>157</v>
      </c>
      <c r="C51" s="95" t="s">
        <v>17</v>
      </c>
      <c r="D51" s="95">
        <v>1</v>
      </c>
      <c r="E51" s="95" t="s">
        <v>57</v>
      </c>
      <c r="F51" s="95" t="s">
        <v>57</v>
      </c>
      <c r="G51" s="168">
        <v>7.15</v>
      </c>
      <c r="H51" s="118"/>
      <c r="I51" s="95">
        <f t="shared" si="0"/>
        <v>7.15</v>
      </c>
      <c r="J51" s="95">
        <f t="shared" si="1"/>
        <v>7.15</v>
      </c>
      <c r="K51" s="103"/>
      <c r="L51" s="162" t="s">
        <v>17</v>
      </c>
      <c r="M51" s="108">
        <v>1</v>
      </c>
      <c r="N51" s="169">
        <v>10.74</v>
      </c>
      <c r="O51" s="168">
        <v>2.8</v>
      </c>
      <c r="P51" s="92"/>
      <c r="Q51" s="92"/>
      <c r="R51" s="108">
        <f t="shared" si="2"/>
        <v>30.071999999999999</v>
      </c>
      <c r="S51" s="146"/>
      <c r="T51" s="108" t="s">
        <v>17</v>
      </c>
      <c r="U51" s="92">
        <f t="shared" si="15"/>
        <v>10.74</v>
      </c>
      <c r="V51" s="103"/>
      <c r="W51" s="162" t="s">
        <v>17</v>
      </c>
      <c r="X51" s="108" t="str">
        <f t="shared" si="3"/>
        <v>cad</v>
      </c>
      <c r="Y51" s="108" t="str">
        <f t="shared" si="4"/>
        <v>cad</v>
      </c>
      <c r="Z51" s="108">
        <f t="shared" si="5"/>
        <v>7.15</v>
      </c>
      <c r="AA51" s="108">
        <f t="shared" si="6"/>
        <v>0</v>
      </c>
      <c r="AB51" s="108">
        <f t="shared" si="7"/>
        <v>7.15</v>
      </c>
      <c r="AC51" s="108">
        <f t="shared" si="8"/>
        <v>7.15</v>
      </c>
      <c r="AD51" s="90"/>
      <c r="AE51" s="102" t="s">
        <v>17</v>
      </c>
      <c r="AF51" s="108">
        <f t="shared" si="14"/>
        <v>10.74</v>
      </c>
      <c r="AG51" s="90"/>
      <c r="AH51" s="90"/>
      <c r="AI51" s="90"/>
      <c r="AJ51" s="90"/>
      <c r="AK51" s="90"/>
    </row>
    <row r="52" spans="1:37" s="11" customFormat="1" ht="14.4">
      <c r="A52" s="18"/>
      <c r="B52" s="201"/>
      <c r="C52" s="95"/>
      <c r="D52" s="95"/>
      <c r="E52" s="95"/>
      <c r="F52" s="95"/>
      <c r="G52" s="141"/>
      <c r="H52" s="118"/>
      <c r="I52" s="95"/>
      <c r="J52" s="95"/>
      <c r="K52" s="103"/>
      <c r="L52" s="162"/>
      <c r="M52" s="108"/>
      <c r="N52" s="95"/>
      <c r="O52" s="95"/>
      <c r="P52" s="92"/>
      <c r="Q52" s="92"/>
      <c r="R52" s="108"/>
      <c r="S52" s="146"/>
      <c r="T52" s="108"/>
      <c r="U52" s="92"/>
      <c r="V52" s="103"/>
      <c r="W52" s="162" t="s">
        <v>19</v>
      </c>
      <c r="X52" s="141">
        <f t="shared" si="3"/>
        <v>0</v>
      </c>
      <c r="Y52" s="141">
        <f t="shared" si="4"/>
        <v>0</v>
      </c>
      <c r="Z52" s="141">
        <v>2.48</v>
      </c>
      <c r="AA52" s="108">
        <f t="shared" si="6"/>
        <v>0</v>
      </c>
      <c r="AB52" s="141">
        <f t="shared" ref="AB52" si="20">Z52</f>
        <v>2.48</v>
      </c>
      <c r="AC52" s="321">
        <f t="shared" si="19"/>
        <v>2.48</v>
      </c>
      <c r="AD52" s="90"/>
      <c r="AE52" s="102"/>
      <c r="AF52" s="108">
        <f t="shared" si="14"/>
        <v>0</v>
      </c>
      <c r="AG52" s="90"/>
      <c r="AH52" s="90"/>
      <c r="AI52" s="90"/>
      <c r="AJ52" s="90"/>
      <c r="AK52" s="90"/>
    </row>
    <row r="53" spans="1:37" s="11" customFormat="1" ht="34.950000000000003" customHeight="1">
      <c r="A53" s="18"/>
      <c r="B53" s="243" t="s">
        <v>593</v>
      </c>
      <c r="C53" s="319" t="s">
        <v>17</v>
      </c>
      <c r="D53" s="95">
        <v>10</v>
      </c>
      <c r="E53" s="95" t="s">
        <v>57</v>
      </c>
      <c r="F53" s="95" t="s">
        <v>57</v>
      </c>
      <c r="G53" s="168">
        <v>26.03</v>
      </c>
      <c r="H53" s="118"/>
      <c r="I53" s="95">
        <f t="shared" ref="I53" si="21">(G53-H53)</f>
        <v>26.03</v>
      </c>
      <c r="J53" s="95">
        <f t="shared" ref="J53" si="22">I53*D53</f>
        <v>260.3</v>
      </c>
      <c r="K53" s="103"/>
      <c r="L53" s="162" t="s">
        <v>17</v>
      </c>
      <c r="M53" s="108">
        <v>10</v>
      </c>
      <c r="N53" s="169">
        <v>25.13</v>
      </c>
      <c r="O53" s="168">
        <v>3</v>
      </c>
      <c r="P53" s="92"/>
      <c r="Q53" s="92"/>
      <c r="R53" s="108">
        <f t="shared" si="2"/>
        <v>753.9</v>
      </c>
      <c r="S53" s="146"/>
      <c r="T53" s="108" t="s">
        <v>21</v>
      </c>
      <c r="U53" s="92">
        <f t="shared" si="15"/>
        <v>251.29999999999998</v>
      </c>
      <c r="V53" s="103"/>
      <c r="W53" s="162" t="s">
        <v>17</v>
      </c>
      <c r="X53" s="108" t="str">
        <f t="shared" ref="X53:AC53" si="23">E53</f>
        <v>cad</v>
      </c>
      <c r="Y53" s="108" t="str">
        <f t="shared" si="23"/>
        <v>cad</v>
      </c>
      <c r="Z53" s="108">
        <f t="shared" si="23"/>
        <v>26.03</v>
      </c>
      <c r="AA53" s="108">
        <f t="shared" si="23"/>
        <v>0</v>
      </c>
      <c r="AB53" s="108">
        <f t="shared" si="23"/>
        <v>26.03</v>
      </c>
      <c r="AC53" s="108">
        <f t="shared" si="23"/>
        <v>260.3</v>
      </c>
      <c r="AD53" s="90"/>
      <c r="AE53" s="92" t="s">
        <v>17</v>
      </c>
      <c r="AF53" s="108">
        <f t="shared" si="14"/>
        <v>251.29999999999998</v>
      </c>
      <c r="AG53" s="90"/>
      <c r="AH53" s="90"/>
      <c r="AI53" s="90"/>
      <c r="AJ53" s="90"/>
      <c r="AK53" s="90"/>
    </row>
    <row r="54" spans="1:37" s="11" customFormat="1" ht="14.4">
      <c r="A54" s="18"/>
      <c r="B54" s="243"/>
      <c r="C54" s="95"/>
      <c r="D54" s="95"/>
      <c r="E54" s="95"/>
      <c r="F54" s="95"/>
      <c r="G54" s="168"/>
      <c r="H54" s="118"/>
      <c r="I54" s="95"/>
      <c r="J54" s="95"/>
      <c r="K54" s="103"/>
      <c r="L54" s="162" t="s">
        <v>571</v>
      </c>
      <c r="M54" s="108">
        <v>10</v>
      </c>
      <c r="N54" s="169">
        <v>6.47</v>
      </c>
      <c r="O54" s="168">
        <v>3</v>
      </c>
      <c r="P54" s="92"/>
      <c r="Q54" s="92"/>
      <c r="R54" s="108">
        <f t="shared" si="2"/>
        <v>194.1</v>
      </c>
      <c r="S54" s="146"/>
      <c r="T54" s="108"/>
      <c r="U54" s="108"/>
      <c r="V54" s="103"/>
      <c r="W54" s="162"/>
      <c r="X54" s="108"/>
      <c r="Y54" s="108"/>
      <c r="Z54" s="108"/>
      <c r="AA54" s="108"/>
      <c r="AB54" s="108"/>
      <c r="AC54" s="108"/>
      <c r="AD54" s="90"/>
      <c r="AE54" s="102"/>
      <c r="AF54" s="108">
        <f t="shared" si="14"/>
        <v>64.7</v>
      </c>
      <c r="AG54" s="90"/>
      <c r="AH54" s="90"/>
      <c r="AI54" s="90"/>
      <c r="AJ54" s="90"/>
      <c r="AK54" s="90"/>
    </row>
    <row r="55" spans="1:37" s="11" customFormat="1" ht="14.4">
      <c r="A55" s="18"/>
      <c r="B55" s="201" t="s">
        <v>594</v>
      </c>
      <c r="C55" s="319" t="s">
        <v>17</v>
      </c>
      <c r="D55" s="95">
        <v>1</v>
      </c>
      <c r="E55" s="95" t="s">
        <v>57</v>
      </c>
      <c r="F55" s="95" t="s">
        <v>57</v>
      </c>
      <c r="G55" s="168">
        <v>25.81</v>
      </c>
      <c r="H55" s="118"/>
      <c r="I55" s="95">
        <f t="shared" ref="I55" si="24">(G55-H55)</f>
        <v>25.81</v>
      </c>
      <c r="J55" s="95">
        <f t="shared" ref="J55" si="25">I55*D55</f>
        <v>25.81</v>
      </c>
      <c r="K55" s="103"/>
      <c r="L55" s="162" t="s">
        <v>17</v>
      </c>
      <c r="M55" s="108">
        <v>1</v>
      </c>
      <c r="N55" s="169">
        <v>25.08</v>
      </c>
      <c r="O55" s="168">
        <v>3</v>
      </c>
      <c r="P55" s="92"/>
      <c r="Q55" s="92"/>
      <c r="R55" s="108">
        <f t="shared" si="2"/>
        <v>75.239999999999995</v>
      </c>
      <c r="S55" s="146"/>
      <c r="T55" s="108" t="s">
        <v>21</v>
      </c>
      <c r="U55" s="92">
        <f t="shared" si="15"/>
        <v>25.08</v>
      </c>
      <c r="V55" s="103"/>
      <c r="W55" s="162" t="s">
        <v>17</v>
      </c>
      <c r="X55" s="108" t="str">
        <f t="shared" ref="X55:AC55" si="26">E55</f>
        <v>cad</v>
      </c>
      <c r="Y55" s="108" t="str">
        <f t="shared" si="26"/>
        <v>cad</v>
      </c>
      <c r="Z55" s="108">
        <f t="shared" si="26"/>
        <v>25.81</v>
      </c>
      <c r="AA55" s="108">
        <f t="shared" si="26"/>
        <v>0</v>
      </c>
      <c r="AB55" s="108">
        <f t="shared" si="26"/>
        <v>25.81</v>
      </c>
      <c r="AC55" s="108">
        <f t="shared" si="26"/>
        <v>25.81</v>
      </c>
      <c r="AD55" s="90"/>
      <c r="AE55" s="102" t="s">
        <v>17</v>
      </c>
      <c r="AF55" s="108">
        <f t="shared" si="14"/>
        <v>25.08</v>
      </c>
      <c r="AG55" s="90"/>
      <c r="AH55" s="90"/>
      <c r="AI55" s="90"/>
      <c r="AJ55" s="90"/>
      <c r="AK55" s="90"/>
    </row>
    <row r="56" spans="1:37" s="11" customFormat="1" ht="14.4">
      <c r="A56" s="18"/>
      <c r="B56" s="201"/>
      <c r="C56" s="95"/>
      <c r="D56" s="95"/>
      <c r="E56" s="95"/>
      <c r="F56" s="95"/>
      <c r="G56" s="168"/>
      <c r="H56" s="118"/>
      <c r="I56" s="95"/>
      <c r="J56" s="95"/>
      <c r="K56" s="103"/>
      <c r="L56" s="162" t="s">
        <v>571</v>
      </c>
      <c r="M56" s="108">
        <v>1</v>
      </c>
      <c r="N56" s="169">
        <v>6.47</v>
      </c>
      <c r="O56" s="168">
        <v>3</v>
      </c>
      <c r="P56" s="92"/>
      <c r="Q56" s="92"/>
      <c r="R56" s="108">
        <f t="shared" si="2"/>
        <v>19.41</v>
      </c>
      <c r="S56" s="146"/>
      <c r="T56" s="108"/>
      <c r="U56" s="108"/>
      <c r="V56" s="103"/>
      <c r="W56" s="162"/>
      <c r="X56" s="108"/>
      <c r="Y56" s="108"/>
      <c r="Z56" s="108"/>
      <c r="AA56" s="108"/>
      <c r="AB56" s="108"/>
      <c r="AC56" s="108"/>
      <c r="AD56" s="90"/>
      <c r="AE56" s="102"/>
      <c r="AF56" s="108">
        <f t="shared" si="14"/>
        <v>6.47</v>
      </c>
      <c r="AG56" s="90"/>
      <c r="AH56" s="90"/>
      <c r="AI56" s="90"/>
      <c r="AJ56" s="90"/>
      <c r="AK56" s="90"/>
    </row>
    <row r="57" spans="1:37" s="11" customFormat="1" ht="14.4">
      <c r="A57" s="18"/>
      <c r="B57" s="201" t="s">
        <v>591</v>
      </c>
      <c r="C57" s="319" t="s">
        <v>17</v>
      </c>
      <c r="D57" s="95">
        <v>2</v>
      </c>
      <c r="E57" s="95" t="s">
        <v>57</v>
      </c>
      <c r="F57" s="95" t="s">
        <v>57</v>
      </c>
      <c r="G57" s="168">
        <v>30.78</v>
      </c>
      <c r="H57" s="118"/>
      <c r="I57" s="95">
        <f t="shared" si="0"/>
        <v>30.78</v>
      </c>
      <c r="J57" s="95">
        <f t="shared" si="1"/>
        <v>61.56</v>
      </c>
      <c r="K57" s="103"/>
      <c r="L57" s="162" t="s">
        <v>17</v>
      </c>
      <c r="M57" s="108">
        <v>2</v>
      </c>
      <c r="N57" s="169">
        <v>25.13</v>
      </c>
      <c r="O57" s="168">
        <v>3</v>
      </c>
      <c r="P57" s="92"/>
      <c r="Q57" s="92"/>
      <c r="R57" s="108">
        <f t="shared" si="2"/>
        <v>150.78</v>
      </c>
      <c r="S57" s="146"/>
      <c r="T57" s="108" t="s">
        <v>21</v>
      </c>
      <c r="U57" s="92">
        <f t="shared" si="15"/>
        <v>50.26</v>
      </c>
      <c r="V57" s="103"/>
      <c r="W57" s="162" t="s">
        <v>17</v>
      </c>
      <c r="X57" s="108" t="str">
        <f t="shared" si="3"/>
        <v>cad</v>
      </c>
      <c r="Y57" s="108" t="str">
        <f t="shared" si="4"/>
        <v>cad</v>
      </c>
      <c r="Z57" s="108">
        <f t="shared" si="5"/>
        <v>30.78</v>
      </c>
      <c r="AA57" s="108">
        <f t="shared" si="6"/>
        <v>0</v>
      </c>
      <c r="AB57" s="108">
        <f t="shared" si="7"/>
        <v>30.78</v>
      </c>
      <c r="AC57" s="108">
        <f t="shared" si="8"/>
        <v>61.56</v>
      </c>
      <c r="AD57" s="90"/>
      <c r="AE57" s="102" t="s">
        <v>17</v>
      </c>
      <c r="AF57" s="108">
        <f t="shared" si="14"/>
        <v>50.26</v>
      </c>
      <c r="AG57" s="90"/>
      <c r="AH57" s="90"/>
      <c r="AI57" s="90"/>
      <c r="AJ57" s="90"/>
      <c r="AK57" s="90"/>
    </row>
    <row r="58" spans="1:37" s="11" customFormat="1" ht="14.4">
      <c r="A58" s="18"/>
      <c r="B58" s="201"/>
      <c r="C58" s="95"/>
      <c r="D58" s="95"/>
      <c r="E58" s="95"/>
      <c r="F58" s="95"/>
      <c r="G58" s="168"/>
      <c r="H58" s="118"/>
      <c r="I58" s="95"/>
      <c r="J58" s="95"/>
      <c r="K58" s="103"/>
      <c r="L58" s="162" t="s">
        <v>571</v>
      </c>
      <c r="M58" s="108">
        <v>2</v>
      </c>
      <c r="N58" s="169">
        <v>8.9700000000000006</v>
      </c>
      <c r="O58" s="168">
        <v>3</v>
      </c>
      <c r="P58" s="92"/>
      <c r="Q58" s="92"/>
      <c r="R58" s="108">
        <f t="shared" si="2"/>
        <v>53.820000000000007</v>
      </c>
      <c r="S58" s="146"/>
      <c r="T58" s="108"/>
      <c r="U58" s="108"/>
      <c r="V58" s="103"/>
      <c r="W58" s="162"/>
      <c r="X58" s="108"/>
      <c r="Y58" s="108"/>
      <c r="Z58" s="108"/>
      <c r="AA58" s="108"/>
      <c r="AB58" s="108"/>
      <c r="AC58" s="108"/>
      <c r="AD58" s="90"/>
      <c r="AE58" s="102"/>
      <c r="AF58" s="108">
        <f t="shared" si="14"/>
        <v>17.940000000000001</v>
      </c>
      <c r="AG58" s="90"/>
      <c r="AH58" s="90"/>
      <c r="AI58" s="90"/>
      <c r="AJ58" s="90"/>
      <c r="AK58" s="90"/>
    </row>
    <row r="59" spans="1:37" s="11" customFormat="1" ht="14.4">
      <c r="A59" s="18"/>
      <c r="B59" s="201" t="s">
        <v>578</v>
      </c>
      <c r="C59" s="319" t="s">
        <v>17</v>
      </c>
      <c r="D59" s="95">
        <v>1</v>
      </c>
      <c r="E59" s="95" t="s">
        <v>57</v>
      </c>
      <c r="F59" s="95" t="s">
        <v>57</v>
      </c>
      <c r="G59" s="168">
        <v>17.43</v>
      </c>
      <c r="H59" s="118"/>
      <c r="I59" s="95">
        <f t="shared" si="0"/>
        <v>17.43</v>
      </c>
      <c r="J59" s="95">
        <f t="shared" si="1"/>
        <v>17.43</v>
      </c>
      <c r="K59" s="103"/>
      <c r="L59" s="162" t="s">
        <v>17</v>
      </c>
      <c r="M59" s="108">
        <v>1</v>
      </c>
      <c r="N59" s="169">
        <v>17.27</v>
      </c>
      <c r="O59" s="168">
        <v>3</v>
      </c>
      <c r="P59" s="92"/>
      <c r="Q59" s="92"/>
      <c r="R59" s="108">
        <f t="shared" si="2"/>
        <v>51.81</v>
      </c>
      <c r="S59" s="146"/>
      <c r="T59" s="108" t="s">
        <v>21</v>
      </c>
      <c r="U59" s="92">
        <f t="shared" si="15"/>
        <v>17.27</v>
      </c>
      <c r="V59" s="103"/>
      <c r="W59" s="162" t="s">
        <v>17</v>
      </c>
      <c r="X59" s="108" t="str">
        <f t="shared" si="3"/>
        <v>cad</v>
      </c>
      <c r="Y59" s="108" t="str">
        <f t="shared" si="4"/>
        <v>cad</v>
      </c>
      <c r="Z59" s="108">
        <f t="shared" si="5"/>
        <v>17.43</v>
      </c>
      <c r="AA59" s="108">
        <f t="shared" si="6"/>
        <v>0</v>
      </c>
      <c r="AB59" s="108">
        <f t="shared" si="7"/>
        <v>17.43</v>
      </c>
      <c r="AC59" s="108">
        <f t="shared" si="8"/>
        <v>17.43</v>
      </c>
      <c r="AD59" s="90"/>
      <c r="AE59" s="102" t="s">
        <v>17</v>
      </c>
      <c r="AF59" s="108">
        <f t="shared" si="14"/>
        <v>17.27</v>
      </c>
      <c r="AG59" s="90"/>
      <c r="AH59" s="90"/>
      <c r="AI59" s="90"/>
      <c r="AJ59" s="90"/>
      <c r="AK59" s="90"/>
    </row>
    <row r="60" spans="1:37" s="11" customFormat="1" ht="14.4">
      <c r="A60" s="18"/>
      <c r="B60" s="201"/>
      <c r="C60" s="95"/>
      <c r="D60" s="95"/>
      <c r="E60" s="95"/>
      <c r="F60" s="95"/>
      <c r="G60" s="168"/>
      <c r="H60" s="118"/>
      <c r="I60" s="95"/>
      <c r="J60" s="95"/>
      <c r="K60" s="103"/>
      <c r="L60" s="162" t="s">
        <v>571</v>
      </c>
      <c r="M60" s="108">
        <v>1</v>
      </c>
      <c r="N60" s="169">
        <v>3.63</v>
      </c>
      <c r="O60" s="168">
        <v>3</v>
      </c>
      <c r="P60" s="92"/>
      <c r="Q60" s="92"/>
      <c r="R60" s="108">
        <f t="shared" si="2"/>
        <v>10.89</v>
      </c>
      <c r="S60" s="146"/>
      <c r="T60" s="108"/>
      <c r="U60" s="108"/>
      <c r="V60" s="103"/>
      <c r="W60" s="162"/>
      <c r="X60" s="108"/>
      <c r="Y60" s="108"/>
      <c r="Z60" s="108"/>
      <c r="AA60" s="108"/>
      <c r="AB60" s="108"/>
      <c r="AC60" s="108"/>
      <c r="AD60" s="90"/>
      <c r="AE60" s="102"/>
      <c r="AF60" s="108">
        <f t="shared" si="14"/>
        <v>3.63</v>
      </c>
      <c r="AG60" s="90"/>
      <c r="AH60" s="90"/>
      <c r="AI60" s="90"/>
      <c r="AJ60" s="90"/>
      <c r="AK60" s="90"/>
    </row>
    <row r="61" spans="1:37" s="11" customFormat="1" ht="14.4">
      <c r="A61" s="18"/>
      <c r="B61" s="201" t="s">
        <v>579</v>
      </c>
      <c r="C61" s="95" t="s">
        <v>20</v>
      </c>
      <c r="D61" s="95">
        <v>1</v>
      </c>
      <c r="E61" s="95" t="s">
        <v>57</v>
      </c>
      <c r="F61" s="95" t="s">
        <v>57</v>
      </c>
      <c r="G61" s="168">
        <v>5.41</v>
      </c>
      <c r="H61" s="118"/>
      <c r="I61" s="95">
        <f t="shared" si="0"/>
        <v>5.41</v>
      </c>
      <c r="J61" s="95">
        <f t="shared" si="1"/>
        <v>5.41</v>
      </c>
      <c r="K61" s="103"/>
      <c r="L61" s="162" t="s">
        <v>18</v>
      </c>
      <c r="M61" s="108">
        <v>1</v>
      </c>
      <c r="N61" s="169">
        <v>10.08</v>
      </c>
      <c r="O61" s="168">
        <v>2.7</v>
      </c>
      <c r="P61" s="92"/>
      <c r="Q61" s="92"/>
      <c r="R61" s="108">
        <f t="shared" si="2"/>
        <v>27.216000000000001</v>
      </c>
      <c r="S61" s="146"/>
      <c r="T61" s="108" t="s">
        <v>18</v>
      </c>
      <c r="U61" s="163">
        <f t="shared" si="15"/>
        <v>10.08</v>
      </c>
      <c r="V61" s="103"/>
      <c r="W61" s="162" t="s">
        <v>18</v>
      </c>
      <c r="X61" s="108" t="str">
        <f t="shared" si="3"/>
        <v>cad</v>
      </c>
      <c r="Y61" s="108" t="str">
        <f t="shared" si="4"/>
        <v>cad</v>
      </c>
      <c r="Z61" s="108">
        <f t="shared" si="5"/>
        <v>5.41</v>
      </c>
      <c r="AA61" s="108">
        <f t="shared" si="6"/>
        <v>0</v>
      </c>
      <c r="AB61" s="108">
        <f t="shared" si="7"/>
        <v>5.41</v>
      </c>
      <c r="AC61" s="108">
        <f t="shared" si="8"/>
        <v>5.41</v>
      </c>
      <c r="AD61" s="90"/>
      <c r="AE61" s="102" t="s">
        <v>17</v>
      </c>
      <c r="AF61" s="108">
        <f t="shared" si="14"/>
        <v>10.08</v>
      </c>
      <c r="AG61" s="90"/>
      <c r="AH61" s="90"/>
      <c r="AI61" s="90"/>
      <c r="AJ61" s="90"/>
      <c r="AK61" s="90"/>
    </row>
    <row r="62" spans="1:37" s="11" customFormat="1" ht="14.4">
      <c r="A62" s="18"/>
      <c r="B62" s="201" t="s">
        <v>580</v>
      </c>
      <c r="C62" s="95" t="s">
        <v>20</v>
      </c>
      <c r="D62" s="95">
        <v>9</v>
      </c>
      <c r="E62" s="95" t="s">
        <v>57</v>
      </c>
      <c r="F62" s="95" t="s">
        <v>57</v>
      </c>
      <c r="G62" s="168">
        <v>4</v>
      </c>
      <c r="H62" s="118"/>
      <c r="I62" s="95">
        <f t="shared" si="0"/>
        <v>4</v>
      </c>
      <c r="J62" s="95">
        <f t="shared" si="1"/>
        <v>36</v>
      </c>
      <c r="K62" s="103"/>
      <c r="L62" s="162" t="s">
        <v>18</v>
      </c>
      <c r="M62" s="108">
        <v>9</v>
      </c>
      <c r="N62" s="169">
        <v>8.1</v>
      </c>
      <c r="O62" s="168">
        <v>2.7</v>
      </c>
      <c r="P62" s="92"/>
      <c r="Q62" s="92"/>
      <c r="R62" s="108">
        <f t="shared" si="2"/>
        <v>196.83</v>
      </c>
      <c r="S62" s="146"/>
      <c r="T62" s="108" t="s">
        <v>18</v>
      </c>
      <c r="U62" s="163">
        <f t="shared" si="15"/>
        <v>72.899999999999991</v>
      </c>
      <c r="V62" s="103"/>
      <c r="W62" s="162" t="s">
        <v>18</v>
      </c>
      <c r="X62" s="108" t="str">
        <f t="shared" si="3"/>
        <v>cad</v>
      </c>
      <c r="Y62" s="108" t="str">
        <f t="shared" si="4"/>
        <v>cad</v>
      </c>
      <c r="Z62" s="108">
        <f t="shared" si="5"/>
        <v>4</v>
      </c>
      <c r="AA62" s="108">
        <f t="shared" si="6"/>
        <v>0</v>
      </c>
      <c r="AB62" s="108">
        <f t="shared" si="7"/>
        <v>4</v>
      </c>
      <c r="AC62" s="108">
        <f t="shared" si="8"/>
        <v>36</v>
      </c>
      <c r="AD62" s="90"/>
      <c r="AE62" s="102" t="s">
        <v>17</v>
      </c>
      <c r="AF62" s="108">
        <f t="shared" si="14"/>
        <v>72.899999999999991</v>
      </c>
      <c r="AG62" s="90"/>
      <c r="AH62" s="90"/>
      <c r="AI62" s="90"/>
      <c r="AJ62" s="90"/>
      <c r="AK62" s="90"/>
    </row>
    <row r="63" spans="1:37" s="11" customFormat="1" ht="14.4">
      <c r="A63" s="18"/>
      <c r="B63" s="201" t="s">
        <v>581</v>
      </c>
      <c r="C63" s="95" t="s">
        <v>20</v>
      </c>
      <c r="D63" s="95">
        <v>2</v>
      </c>
      <c r="E63" s="95" t="s">
        <v>57</v>
      </c>
      <c r="F63" s="95" t="s">
        <v>57</v>
      </c>
      <c r="G63" s="168">
        <v>4.1100000000000003</v>
      </c>
      <c r="H63" s="118"/>
      <c r="I63" s="95">
        <f t="shared" si="0"/>
        <v>4.1100000000000003</v>
      </c>
      <c r="J63" s="95">
        <f t="shared" si="1"/>
        <v>8.2200000000000006</v>
      </c>
      <c r="K63" s="103"/>
      <c r="L63" s="162" t="s">
        <v>18</v>
      </c>
      <c r="M63" s="108">
        <v>2</v>
      </c>
      <c r="N63" s="169">
        <v>8.1999999999999993</v>
      </c>
      <c r="O63" s="168">
        <v>2.7</v>
      </c>
      <c r="P63" s="92"/>
      <c r="Q63" s="92"/>
      <c r="R63" s="108">
        <f t="shared" si="2"/>
        <v>44.28</v>
      </c>
      <c r="S63" s="146"/>
      <c r="T63" s="108" t="s">
        <v>18</v>
      </c>
      <c r="U63" s="163">
        <f t="shared" si="15"/>
        <v>16.399999999999999</v>
      </c>
      <c r="V63" s="103"/>
      <c r="W63" s="162" t="s">
        <v>18</v>
      </c>
      <c r="X63" s="108" t="str">
        <f t="shared" si="3"/>
        <v>cad</v>
      </c>
      <c r="Y63" s="108" t="str">
        <f t="shared" si="4"/>
        <v>cad</v>
      </c>
      <c r="Z63" s="108">
        <f t="shared" si="5"/>
        <v>4.1100000000000003</v>
      </c>
      <c r="AA63" s="108">
        <f t="shared" si="6"/>
        <v>0</v>
      </c>
      <c r="AB63" s="108">
        <f t="shared" si="7"/>
        <v>4.1100000000000003</v>
      </c>
      <c r="AC63" s="108">
        <f t="shared" si="8"/>
        <v>8.2200000000000006</v>
      </c>
      <c r="AD63" s="90"/>
      <c r="AE63" s="102" t="s">
        <v>17</v>
      </c>
      <c r="AF63" s="108">
        <f t="shared" si="14"/>
        <v>16.399999999999999</v>
      </c>
      <c r="AG63" s="90"/>
      <c r="AH63" s="90"/>
      <c r="AI63" s="90"/>
      <c r="AJ63" s="90"/>
      <c r="AK63" s="90"/>
    </row>
    <row r="64" spans="1:37" s="11" customFormat="1" ht="14.4">
      <c r="A64" s="18"/>
      <c r="B64" s="201" t="s">
        <v>581</v>
      </c>
      <c r="C64" s="95" t="s">
        <v>20</v>
      </c>
      <c r="D64" s="95">
        <v>1</v>
      </c>
      <c r="E64" s="95" t="s">
        <v>57</v>
      </c>
      <c r="F64" s="95" t="s">
        <v>57</v>
      </c>
      <c r="G64" s="168">
        <v>4.32</v>
      </c>
      <c r="H64" s="118"/>
      <c r="I64" s="95">
        <f t="shared" si="0"/>
        <v>4.32</v>
      </c>
      <c r="J64" s="95">
        <f t="shared" si="1"/>
        <v>4.32</v>
      </c>
      <c r="K64" s="103"/>
      <c r="L64" s="162" t="s">
        <v>18</v>
      </c>
      <c r="M64" s="108">
        <v>1</v>
      </c>
      <c r="N64" s="169">
        <v>8.2200000000000006</v>
      </c>
      <c r="O64" s="168">
        <v>2.7</v>
      </c>
      <c r="P64" s="92"/>
      <c r="Q64" s="92"/>
      <c r="R64" s="108">
        <f t="shared" si="2"/>
        <v>22.194000000000003</v>
      </c>
      <c r="S64" s="146"/>
      <c r="T64" s="108" t="s">
        <v>18</v>
      </c>
      <c r="U64" s="163">
        <f t="shared" si="15"/>
        <v>8.2200000000000006</v>
      </c>
      <c r="V64" s="103"/>
      <c r="W64" s="162" t="s">
        <v>18</v>
      </c>
      <c r="X64" s="108" t="str">
        <f t="shared" si="3"/>
        <v>cad</v>
      </c>
      <c r="Y64" s="108" t="str">
        <f t="shared" si="4"/>
        <v>cad</v>
      </c>
      <c r="Z64" s="108">
        <f t="shared" si="5"/>
        <v>4.32</v>
      </c>
      <c r="AA64" s="108">
        <f t="shared" si="6"/>
        <v>0</v>
      </c>
      <c r="AB64" s="108">
        <f t="shared" si="7"/>
        <v>4.32</v>
      </c>
      <c r="AC64" s="108">
        <f t="shared" si="8"/>
        <v>4.32</v>
      </c>
      <c r="AD64" s="90"/>
      <c r="AE64" s="102" t="s">
        <v>17</v>
      </c>
      <c r="AF64" s="108">
        <f t="shared" si="14"/>
        <v>8.2200000000000006</v>
      </c>
      <c r="AG64" s="90"/>
      <c r="AH64" s="90"/>
      <c r="AI64" s="90"/>
      <c r="AJ64" s="90"/>
      <c r="AK64" s="90"/>
    </row>
    <row r="65" spans="1:37" s="11" customFormat="1" ht="14.4">
      <c r="A65" s="18"/>
      <c r="B65" s="201" t="s">
        <v>581</v>
      </c>
      <c r="C65" s="95" t="s">
        <v>20</v>
      </c>
      <c r="D65" s="95">
        <v>1</v>
      </c>
      <c r="E65" s="95" t="s">
        <v>57</v>
      </c>
      <c r="F65" s="95" t="s">
        <v>57</v>
      </c>
      <c r="G65" s="168">
        <v>5.34</v>
      </c>
      <c r="H65" s="118"/>
      <c r="I65" s="95">
        <f t="shared" si="0"/>
        <v>5.34</v>
      </c>
      <c r="J65" s="95">
        <f t="shared" si="1"/>
        <v>5.34</v>
      </c>
      <c r="K65" s="103"/>
      <c r="L65" s="162" t="s">
        <v>18</v>
      </c>
      <c r="M65" s="108">
        <v>1</v>
      </c>
      <c r="N65" s="169">
        <v>10</v>
      </c>
      <c r="O65" s="168">
        <v>2.7</v>
      </c>
      <c r="P65" s="92"/>
      <c r="Q65" s="92"/>
      <c r="R65" s="108">
        <f t="shared" si="2"/>
        <v>27</v>
      </c>
      <c r="S65" s="146"/>
      <c r="T65" s="108" t="s">
        <v>18</v>
      </c>
      <c r="U65" s="163">
        <f t="shared" si="15"/>
        <v>10</v>
      </c>
      <c r="V65" s="103"/>
      <c r="W65" s="162" t="s">
        <v>18</v>
      </c>
      <c r="X65" s="108" t="str">
        <f t="shared" si="3"/>
        <v>cad</v>
      </c>
      <c r="Y65" s="108" t="str">
        <f t="shared" si="4"/>
        <v>cad</v>
      </c>
      <c r="Z65" s="108">
        <f t="shared" si="5"/>
        <v>5.34</v>
      </c>
      <c r="AA65" s="108">
        <f t="shared" si="6"/>
        <v>0</v>
      </c>
      <c r="AB65" s="108">
        <f t="shared" si="7"/>
        <v>5.34</v>
      </c>
      <c r="AC65" s="108">
        <f t="shared" si="8"/>
        <v>5.34</v>
      </c>
      <c r="AD65" s="90"/>
      <c r="AE65" s="102" t="s">
        <v>17</v>
      </c>
      <c r="AF65" s="108">
        <f t="shared" si="14"/>
        <v>10</v>
      </c>
      <c r="AG65" s="90"/>
      <c r="AH65" s="90"/>
      <c r="AI65" s="90"/>
      <c r="AJ65" s="90"/>
      <c r="AK65" s="90"/>
    </row>
    <row r="66" spans="1:37" s="11" customFormat="1" ht="14.4">
      <c r="A66" s="18"/>
      <c r="B66" s="201" t="s">
        <v>588</v>
      </c>
      <c r="C66" s="95" t="s">
        <v>20</v>
      </c>
      <c r="D66" s="95">
        <v>1</v>
      </c>
      <c r="E66" s="95" t="s">
        <v>57</v>
      </c>
      <c r="F66" s="95" t="s">
        <v>57</v>
      </c>
      <c r="G66" s="168">
        <v>5.24</v>
      </c>
      <c r="H66" s="118"/>
      <c r="I66" s="95">
        <f t="shared" si="0"/>
        <v>5.24</v>
      </c>
      <c r="J66" s="95">
        <f t="shared" si="1"/>
        <v>5.24</v>
      </c>
      <c r="K66" s="103"/>
      <c r="L66" s="162" t="s">
        <v>18</v>
      </c>
      <c r="M66" s="108">
        <v>1</v>
      </c>
      <c r="N66" s="169">
        <v>10.06</v>
      </c>
      <c r="O66" s="168">
        <v>2.7</v>
      </c>
      <c r="P66" s="92"/>
      <c r="Q66" s="92"/>
      <c r="R66" s="108">
        <f t="shared" si="2"/>
        <v>27.162000000000003</v>
      </c>
      <c r="S66" s="146"/>
      <c r="T66" s="108" t="s">
        <v>18</v>
      </c>
      <c r="U66" s="163">
        <f t="shared" si="15"/>
        <v>10.06</v>
      </c>
      <c r="V66" s="103"/>
      <c r="W66" s="162" t="s">
        <v>18</v>
      </c>
      <c r="X66" s="108" t="str">
        <f t="shared" si="3"/>
        <v>cad</v>
      </c>
      <c r="Y66" s="108" t="str">
        <f t="shared" si="4"/>
        <v>cad</v>
      </c>
      <c r="Z66" s="108">
        <f t="shared" si="5"/>
        <v>5.24</v>
      </c>
      <c r="AA66" s="108">
        <f t="shared" si="6"/>
        <v>0</v>
      </c>
      <c r="AB66" s="108">
        <f t="shared" si="7"/>
        <v>5.24</v>
      </c>
      <c r="AC66" s="108">
        <f t="shared" si="8"/>
        <v>5.24</v>
      </c>
      <c r="AD66" s="90"/>
      <c r="AE66" s="102" t="s">
        <v>17</v>
      </c>
      <c r="AF66" s="108">
        <f t="shared" si="14"/>
        <v>10.06</v>
      </c>
      <c r="AG66" s="90"/>
      <c r="AH66" s="90"/>
      <c r="AI66" s="90"/>
      <c r="AJ66" s="90"/>
      <c r="AK66" s="90"/>
    </row>
    <row r="67" spans="1:37" s="11" customFormat="1" ht="14.4">
      <c r="A67" s="18"/>
      <c r="B67" s="201" t="s">
        <v>588</v>
      </c>
      <c r="C67" s="95" t="s">
        <v>20</v>
      </c>
      <c r="D67" s="95">
        <v>1</v>
      </c>
      <c r="E67" s="95" t="s">
        <v>57</v>
      </c>
      <c r="F67" s="95" t="s">
        <v>57</v>
      </c>
      <c r="G67" s="168">
        <v>4.62</v>
      </c>
      <c r="H67" s="118"/>
      <c r="I67" s="95">
        <f t="shared" si="0"/>
        <v>4.62</v>
      </c>
      <c r="J67" s="95">
        <f t="shared" si="1"/>
        <v>4.62</v>
      </c>
      <c r="K67" s="103"/>
      <c r="L67" s="162" t="s">
        <v>18</v>
      </c>
      <c r="M67" s="108">
        <v>1</v>
      </c>
      <c r="N67" s="169">
        <v>10.02</v>
      </c>
      <c r="O67" s="168">
        <v>2.7</v>
      </c>
      <c r="P67" s="92"/>
      <c r="Q67" s="92"/>
      <c r="R67" s="108">
        <f t="shared" si="2"/>
        <v>27.054000000000002</v>
      </c>
      <c r="S67" s="146"/>
      <c r="T67" s="108" t="s">
        <v>18</v>
      </c>
      <c r="U67" s="163">
        <f t="shared" si="15"/>
        <v>10.02</v>
      </c>
      <c r="V67" s="103"/>
      <c r="W67" s="162" t="s">
        <v>18</v>
      </c>
      <c r="X67" s="108" t="str">
        <f t="shared" si="3"/>
        <v>cad</v>
      </c>
      <c r="Y67" s="108" t="str">
        <f t="shared" si="4"/>
        <v>cad</v>
      </c>
      <c r="Z67" s="108">
        <f t="shared" si="5"/>
        <v>4.62</v>
      </c>
      <c r="AA67" s="108">
        <f t="shared" si="6"/>
        <v>0</v>
      </c>
      <c r="AB67" s="108">
        <f t="shared" si="7"/>
        <v>4.62</v>
      </c>
      <c r="AC67" s="108">
        <f t="shared" si="8"/>
        <v>4.62</v>
      </c>
      <c r="AD67" s="90"/>
      <c r="AE67" s="102" t="s">
        <v>17</v>
      </c>
      <c r="AF67" s="108">
        <f t="shared" si="14"/>
        <v>10.02</v>
      </c>
      <c r="AG67" s="90"/>
      <c r="AH67" s="90"/>
      <c r="AI67" s="90"/>
      <c r="AJ67" s="90"/>
      <c r="AK67" s="90"/>
    </row>
    <row r="68" spans="1:37" s="11" customFormat="1" ht="14.4">
      <c r="A68" s="18"/>
      <c r="B68" s="201" t="s">
        <v>119</v>
      </c>
      <c r="C68" s="95" t="s">
        <v>22</v>
      </c>
      <c r="D68" s="95">
        <v>1</v>
      </c>
      <c r="E68" s="95" t="s">
        <v>57</v>
      </c>
      <c r="F68" s="95" t="s">
        <v>57</v>
      </c>
      <c r="G68" s="168">
        <v>8.1300000000000008</v>
      </c>
      <c r="H68" s="118"/>
      <c r="I68" s="95">
        <f t="shared" si="0"/>
        <v>8.1300000000000008</v>
      </c>
      <c r="J68" s="95">
        <f t="shared" si="1"/>
        <v>8.1300000000000008</v>
      </c>
      <c r="K68" s="103"/>
      <c r="L68" s="162" t="s">
        <v>20</v>
      </c>
      <c r="M68" s="108">
        <v>1</v>
      </c>
      <c r="N68" s="169">
        <v>12.65</v>
      </c>
      <c r="O68" s="168">
        <v>2.7</v>
      </c>
      <c r="P68" s="92"/>
      <c r="Q68" s="92"/>
      <c r="R68" s="108">
        <f t="shared" si="2"/>
        <v>34.155000000000001</v>
      </c>
      <c r="S68" s="146"/>
      <c r="T68" s="108"/>
      <c r="U68" s="108"/>
      <c r="V68" s="103"/>
      <c r="W68" s="162" t="s">
        <v>18</v>
      </c>
      <c r="X68" s="108" t="str">
        <f t="shared" si="3"/>
        <v>cad</v>
      </c>
      <c r="Y68" s="108" t="str">
        <f t="shared" si="4"/>
        <v>cad</v>
      </c>
      <c r="Z68" s="108">
        <f t="shared" si="5"/>
        <v>8.1300000000000008</v>
      </c>
      <c r="AA68" s="108">
        <f t="shared" si="6"/>
        <v>0</v>
      </c>
      <c r="AB68" s="108">
        <f t="shared" si="7"/>
        <v>8.1300000000000008</v>
      </c>
      <c r="AC68" s="108">
        <f t="shared" si="8"/>
        <v>8.1300000000000008</v>
      </c>
      <c r="AD68" s="90"/>
      <c r="AE68" s="102" t="s">
        <v>17</v>
      </c>
      <c r="AF68" s="108">
        <f t="shared" si="14"/>
        <v>12.65</v>
      </c>
      <c r="AG68" s="90"/>
      <c r="AH68" s="90"/>
      <c r="AI68" s="90"/>
      <c r="AJ68" s="90"/>
      <c r="AK68" s="90"/>
    </row>
    <row r="69" spans="1:37" s="11" customFormat="1" ht="14.4">
      <c r="A69" s="18"/>
      <c r="B69" s="138" t="s">
        <v>153</v>
      </c>
      <c r="C69" s="162" t="s">
        <v>20</v>
      </c>
      <c r="D69" s="108">
        <v>1</v>
      </c>
      <c r="E69" s="108" t="s">
        <v>57</v>
      </c>
      <c r="F69" s="108" t="s">
        <v>57</v>
      </c>
      <c r="G69" s="95">
        <v>6.3</v>
      </c>
      <c r="H69" s="92"/>
      <c r="I69" s="108">
        <f t="shared" si="0"/>
        <v>6.3</v>
      </c>
      <c r="J69" s="108">
        <f t="shared" si="1"/>
        <v>6.3</v>
      </c>
      <c r="K69" s="90"/>
      <c r="L69" s="162" t="s">
        <v>18</v>
      </c>
      <c r="M69" s="108">
        <v>1</v>
      </c>
      <c r="N69" s="95">
        <v>10.57</v>
      </c>
      <c r="O69" s="123">
        <v>2.7</v>
      </c>
      <c r="P69" s="253"/>
      <c r="Q69" s="253"/>
      <c r="R69" s="108">
        <f t="shared" ref="R69" si="27">(N69*O69-P69)*M69</f>
        <v>28.539000000000001</v>
      </c>
      <c r="S69" s="110"/>
      <c r="T69" s="108" t="s">
        <v>18</v>
      </c>
      <c r="U69" s="92">
        <f>N69*M69</f>
        <v>10.57</v>
      </c>
      <c r="V69" s="90"/>
      <c r="W69" s="162" t="s">
        <v>18</v>
      </c>
      <c r="X69" s="108" t="str">
        <f t="shared" si="3"/>
        <v>cad</v>
      </c>
      <c r="Y69" s="108" t="str">
        <f t="shared" si="4"/>
        <v>cad</v>
      </c>
      <c r="Z69" s="108">
        <f t="shared" si="5"/>
        <v>6.3</v>
      </c>
      <c r="AA69" s="108">
        <f t="shared" si="6"/>
        <v>0</v>
      </c>
      <c r="AB69" s="108">
        <f t="shared" si="7"/>
        <v>6.3</v>
      </c>
      <c r="AC69" s="108">
        <f t="shared" si="8"/>
        <v>6.3</v>
      </c>
      <c r="AD69" s="90"/>
      <c r="AE69" s="92" t="s">
        <v>357</v>
      </c>
      <c r="AF69" s="108">
        <f t="shared" si="14"/>
        <v>10.57</v>
      </c>
      <c r="AG69" s="90"/>
      <c r="AH69" s="90"/>
      <c r="AI69" s="90"/>
      <c r="AJ69" s="90"/>
      <c r="AK69" s="90"/>
    </row>
    <row r="70" spans="1:37" s="11" customFormat="1" ht="14.4">
      <c r="A70" s="18"/>
      <c r="B70" s="138" t="s">
        <v>590</v>
      </c>
      <c r="C70" s="162" t="s">
        <v>20</v>
      </c>
      <c r="D70" s="108">
        <v>2</v>
      </c>
      <c r="E70" s="108" t="s">
        <v>57</v>
      </c>
      <c r="F70" s="108" t="s">
        <v>57</v>
      </c>
      <c r="G70" s="145">
        <v>2.8</v>
      </c>
      <c r="H70" s="92"/>
      <c r="I70" s="108">
        <f t="shared" ref="I70:I75" si="28">(G70-H70)</f>
        <v>2.8</v>
      </c>
      <c r="J70" s="108">
        <f t="shared" ref="J70:J75" si="29">I70*D70</f>
        <v>5.6</v>
      </c>
      <c r="K70" s="90"/>
      <c r="L70" s="162" t="s">
        <v>18</v>
      </c>
      <c r="M70" s="108">
        <v>2</v>
      </c>
      <c r="N70" s="145">
        <v>6.85</v>
      </c>
      <c r="O70" s="123">
        <v>2.7</v>
      </c>
      <c r="P70" s="253"/>
      <c r="Q70" s="253"/>
      <c r="R70" s="108">
        <f t="shared" ref="R70:R75" si="30">(N70*O70-P70)*M70</f>
        <v>36.99</v>
      </c>
      <c r="S70" s="110"/>
      <c r="T70" s="108" t="s">
        <v>18</v>
      </c>
      <c r="U70" s="163">
        <f>N70*M70</f>
        <v>13.7</v>
      </c>
      <c r="V70" s="90"/>
      <c r="W70" s="162" t="s">
        <v>18</v>
      </c>
      <c r="X70" s="108" t="str">
        <f t="shared" ref="X70:X75" si="31">E70</f>
        <v>cad</v>
      </c>
      <c r="Y70" s="108" t="str">
        <f t="shared" ref="Y70:Y75" si="32">F70</f>
        <v>cad</v>
      </c>
      <c r="Z70" s="108">
        <f t="shared" ref="Z70:Z75" si="33">G70</f>
        <v>2.8</v>
      </c>
      <c r="AA70" s="108">
        <f t="shared" ref="AA70:AA75" si="34">H70</f>
        <v>0</v>
      </c>
      <c r="AB70" s="108">
        <f t="shared" ref="AB70:AB75" si="35">I70</f>
        <v>2.8</v>
      </c>
      <c r="AC70" s="108">
        <f t="shared" ref="AC70:AC75" si="36">J70</f>
        <v>5.6</v>
      </c>
      <c r="AD70" s="90"/>
      <c r="AE70" s="92" t="s">
        <v>357</v>
      </c>
      <c r="AF70" s="108">
        <f>N70*M70</f>
        <v>13.7</v>
      </c>
      <c r="AG70" s="90"/>
      <c r="AH70" s="90"/>
      <c r="AI70" s="90"/>
      <c r="AJ70" s="90"/>
      <c r="AK70" s="90"/>
    </row>
    <row r="71" spans="1:37" s="11" customFormat="1" ht="14.4">
      <c r="A71" s="18"/>
      <c r="B71" s="138" t="s">
        <v>156</v>
      </c>
      <c r="C71" s="162" t="s">
        <v>17</v>
      </c>
      <c r="D71" s="108">
        <v>1</v>
      </c>
      <c r="E71" s="108" t="s">
        <v>57</v>
      </c>
      <c r="F71" s="108" t="s">
        <v>57</v>
      </c>
      <c r="G71" s="145">
        <v>7.51</v>
      </c>
      <c r="H71" s="92"/>
      <c r="I71" s="108">
        <f t="shared" si="28"/>
        <v>7.51</v>
      </c>
      <c r="J71" s="108">
        <f t="shared" si="29"/>
        <v>7.51</v>
      </c>
      <c r="K71" s="90"/>
      <c r="L71" s="162" t="s">
        <v>17</v>
      </c>
      <c r="M71" s="108">
        <v>1</v>
      </c>
      <c r="N71" s="162">
        <v>11.18</v>
      </c>
      <c r="O71" s="108">
        <v>2.7</v>
      </c>
      <c r="P71" s="253"/>
      <c r="Q71" s="253"/>
      <c r="R71" s="108">
        <f t="shared" si="30"/>
        <v>30.186</v>
      </c>
      <c r="S71" s="110"/>
      <c r="T71" s="108" t="s">
        <v>17</v>
      </c>
      <c r="U71" s="163">
        <f>N71*M71</f>
        <v>11.18</v>
      </c>
      <c r="V71" s="90"/>
      <c r="W71" s="162" t="s">
        <v>17</v>
      </c>
      <c r="X71" s="108" t="str">
        <f t="shared" si="31"/>
        <v>cad</v>
      </c>
      <c r="Y71" s="108" t="str">
        <f t="shared" si="32"/>
        <v>cad</v>
      </c>
      <c r="Z71" s="108">
        <f t="shared" si="33"/>
        <v>7.51</v>
      </c>
      <c r="AA71" s="108">
        <f t="shared" si="34"/>
        <v>0</v>
      </c>
      <c r="AB71" s="108">
        <f t="shared" si="35"/>
        <v>7.51</v>
      </c>
      <c r="AC71" s="108">
        <f t="shared" si="36"/>
        <v>7.51</v>
      </c>
      <c r="AD71" s="90"/>
      <c r="AE71" s="92" t="s">
        <v>357</v>
      </c>
      <c r="AF71" s="108">
        <f t="shared" ref="AF71:AF72" si="37">N71*M71</f>
        <v>11.18</v>
      </c>
      <c r="AG71" s="90"/>
      <c r="AH71" s="90"/>
      <c r="AI71" s="90"/>
      <c r="AJ71" s="90"/>
      <c r="AK71" s="90"/>
    </row>
    <row r="72" spans="1:37" s="11" customFormat="1" ht="14.4">
      <c r="A72" s="18"/>
      <c r="B72" s="138" t="s">
        <v>126</v>
      </c>
      <c r="C72" s="162" t="s">
        <v>17</v>
      </c>
      <c r="D72" s="108">
        <v>1</v>
      </c>
      <c r="E72" s="108" t="s">
        <v>57</v>
      </c>
      <c r="F72" s="108" t="s">
        <v>57</v>
      </c>
      <c r="G72" s="145">
        <v>2.4700000000000002</v>
      </c>
      <c r="H72" s="92"/>
      <c r="I72" s="108">
        <f t="shared" si="28"/>
        <v>2.4700000000000002</v>
      </c>
      <c r="J72" s="108">
        <f t="shared" si="29"/>
        <v>2.4700000000000002</v>
      </c>
      <c r="K72" s="90"/>
      <c r="L72" s="162" t="s">
        <v>17</v>
      </c>
      <c r="M72" s="108">
        <v>1</v>
      </c>
      <c r="N72" s="145">
        <v>8.1</v>
      </c>
      <c r="O72" s="108">
        <v>2.8</v>
      </c>
      <c r="P72" s="253"/>
      <c r="Q72" s="253"/>
      <c r="R72" s="108">
        <f t="shared" si="30"/>
        <v>22.679999999999996</v>
      </c>
      <c r="S72" s="110"/>
      <c r="T72" s="108" t="s">
        <v>17</v>
      </c>
      <c r="U72" s="163">
        <f>N72*M72</f>
        <v>8.1</v>
      </c>
      <c r="V72" s="90"/>
      <c r="W72" s="162" t="s">
        <v>24</v>
      </c>
      <c r="X72" s="108" t="str">
        <f t="shared" si="31"/>
        <v>cad</v>
      </c>
      <c r="Y72" s="108" t="str">
        <f t="shared" si="32"/>
        <v>cad</v>
      </c>
      <c r="Z72" s="108">
        <f t="shared" si="33"/>
        <v>2.4700000000000002</v>
      </c>
      <c r="AA72" s="108">
        <f t="shared" si="34"/>
        <v>0</v>
      </c>
      <c r="AB72" s="108">
        <f t="shared" si="35"/>
        <v>2.4700000000000002</v>
      </c>
      <c r="AC72" s="108">
        <f t="shared" si="36"/>
        <v>2.4700000000000002</v>
      </c>
      <c r="AD72" s="90"/>
      <c r="AE72" s="92" t="s">
        <v>357</v>
      </c>
      <c r="AF72" s="108">
        <f t="shared" si="37"/>
        <v>8.1</v>
      </c>
      <c r="AG72" s="90"/>
      <c r="AH72" s="90"/>
      <c r="AI72" s="90"/>
      <c r="AJ72" s="90"/>
      <c r="AK72" s="90"/>
    </row>
    <row r="73" spans="1:37" s="11" customFormat="1" ht="14.4">
      <c r="A73" s="18"/>
      <c r="B73" s="138" t="s">
        <v>157</v>
      </c>
      <c r="C73" s="319" t="s">
        <v>17</v>
      </c>
      <c r="D73" s="108">
        <v>1</v>
      </c>
      <c r="E73" s="108" t="s">
        <v>57</v>
      </c>
      <c r="F73" s="108" t="s">
        <v>57</v>
      </c>
      <c r="G73" s="145">
        <v>75.5</v>
      </c>
      <c r="H73" s="92"/>
      <c r="I73" s="108">
        <f t="shared" ref="I73" si="38">(G73-H73)</f>
        <v>75.5</v>
      </c>
      <c r="J73" s="108">
        <f t="shared" ref="J73" si="39">I73*D73</f>
        <v>75.5</v>
      </c>
      <c r="K73" s="90"/>
      <c r="L73" s="162" t="s">
        <v>17</v>
      </c>
      <c r="M73" s="108">
        <v>1</v>
      </c>
      <c r="N73" s="145">
        <f>65.4-2.5</f>
        <v>62.900000000000006</v>
      </c>
      <c r="O73" s="108">
        <v>2.8</v>
      </c>
      <c r="P73" s="253"/>
      <c r="Q73" s="253"/>
      <c r="R73" s="108">
        <f t="shared" ref="R73" si="40">(N73*O73-P73)*M73</f>
        <v>176.12</v>
      </c>
      <c r="S73" s="110"/>
      <c r="T73" s="108" t="s">
        <v>21</v>
      </c>
      <c r="U73" s="163">
        <f t="shared" ref="U73" si="41">N73*M73</f>
        <v>62.900000000000006</v>
      </c>
      <c r="V73" s="90"/>
      <c r="W73" s="162" t="s">
        <v>17</v>
      </c>
      <c r="X73" s="108" t="str">
        <f t="shared" ref="X73:X74" si="42">E73</f>
        <v>cad</v>
      </c>
      <c r="Y73" s="108" t="str">
        <f t="shared" ref="Y73:Y74" si="43">F73</f>
        <v>cad</v>
      </c>
      <c r="Z73" s="108">
        <f t="shared" ref="Z73" si="44">G73</f>
        <v>75.5</v>
      </c>
      <c r="AA73" s="108">
        <f t="shared" ref="AA73:AA74" si="45">H73</f>
        <v>0</v>
      </c>
      <c r="AB73" s="108">
        <f t="shared" ref="AB73" si="46">I73</f>
        <v>75.5</v>
      </c>
      <c r="AC73" s="108">
        <f t="shared" ref="AC73" si="47">J73</f>
        <v>75.5</v>
      </c>
      <c r="AD73" s="90"/>
      <c r="AE73" s="92" t="s">
        <v>17</v>
      </c>
      <c r="AF73" s="108">
        <f>N73*M73</f>
        <v>62.900000000000006</v>
      </c>
      <c r="AG73" s="90"/>
      <c r="AH73" s="90"/>
      <c r="AI73" s="90"/>
      <c r="AJ73" s="90"/>
      <c r="AK73" s="90"/>
    </row>
    <row r="74" spans="1:37" s="11" customFormat="1" ht="14.4">
      <c r="A74" s="18"/>
      <c r="B74" s="138"/>
      <c r="C74" s="162"/>
      <c r="D74" s="108"/>
      <c r="E74" s="108"/>
      <c r="F74" s="108"/>
      <c r="G74" s="166"/>
      <c r="H74" s="92"/>
      <c r="I74" s="108"/>
      <c r="J74" s="108"/>
      <c r="K74" s="90"/>
      <c r="L74" s="162"/>
      <c r="M74" s="108"/>
      <c r="N74" s="162"/>
      <c r="O74" s="108"/>
      <c r="P74" s="253"/>
      <c r="Q74" s="253"/>
      <c r="R74" s="108"/>
      <c r="S74" s="110"/>
      <c r="T74" s="108"/>
      <c r="U74" s="92"/>
      <c r="V74" s="90"/>
      <c r="W74" s="162" t="s">
        <v>19</v>
      </c>
      <c r="X74" s="141">
        <f t="shared" si="42"/>
        <v>0</v>
      </c>
      <c r="Y74" s="141">
        <f t="shared" si="43"/>
        <v>0</v>
      </c>
      <c r="Z74" s="141">
        <v>35.17</v>
      </c>
      <c r="AA74" s="108">
        <f t="shared" si="45"/>
        <v>0</v>
      </c>
      <c r="AB74" s="141">
        <f>Z74</f>
        <v>35.17</v>
      </c>
      <c r="AC74" s="141">
        <f>AB74</f>
        <v>35.17</v>
      </c>
      <c r="AD74" s="90"/>
      <c r="AE74" s="92"/>
      <c r="AF74" s="108"/>
      <c r="AG74" s="90"/>
      <c r="AH74" s="90"/>
      <c r="AI74" s="90"/>
      <c r="AJ74" s="90"/>
      <c r="AK74" s="90"/>
    </row>
    <row r="75" spans="1:37" s="11" customFormat="1" ht="14.4">
      <c r="A75" s="18"/>
      <c r="B75" s="138" t="s">
        <v>133</v>
      </c>
      <c r="C75" s="162" t="s">
        <v>17</v>
      </c>
      <c r="D75" s="108">
        <v>1</v>
      </c>
      <c r="E75" s="108" t="s">
        <v>57</v>
      </c>
      <c r="F75" s="108" t="s">
        <v>57</v>
      </c>
      <c r="G75" s="145">
        <v>26.91</v>
      </c>
      <c r="H75" s="92"/>
      <c r="I75" s="108">
        <f t="shared" si="28"/>
        <v>26.91</v>
      </c>
      <c r="J75" s="108">
        <f t="shared" si="29"/>
        <v>26.91</v>
      </c>
      <c r="K75" s="90"/>
      <c r="L75" s="162" t="s">
        <v>17</v>
      </c>
      <c r="M75" s="108">
        <v>1</v>
      </c>
      <c r="N75" s="145">
        <v>29.55</v>
      </c>
      <c r="O75" s="123">
        <v>2.7</v>
      </c>
      <c r="P75" s="253"/>
      <c r="Q75" s="253"/>
      <c r="R75" s="108">
        <f t="shared" si="30"/>
        <v>79.785000000000011</v>
      </c>
      <c r="S75" s="110"/>
      <c r="T75" s="108" t="s">
        <v>17</v>
      </c>
      <c r="U75" s="254">
        <f>N75*M75</f>
        <v>29.55</v>
      </c>
      <c r="V75" s="90"/>
      <c r="W75" s="162" t="s">
        <v>17</v>
      </c>
      <c r="X75" s="108" t="str">
        <f t="shared" si="31"/>
        <v>cad</v>
      </c>
      <c r="Y75" s="108" t="str">
        <f t="shared" si="32"/>
        <v>cad</v>
      </c>
      <c r="Z75" s="108">
        <f t="shared" si="33"/>
        <v>26.91</v>
      </c>
      <c r="AA75" s="108">
        <f t="shared" si="34"/>
        <v>0</v>
      </c>
      <c r="AB75" s="108">
        <f t="shared" si="35"/>
        <v>26.91</v>
      </c>
      <c r="AC75" s="108">
        <f t="shared" si="36"/>
        <v>26.91</v>
      </c>
      <c r="AD75" s="90"/>
      <c r="AE75" s="92" t="s">
        <v>357</v>
      </c>
      <c r="AF75" s="108">
        <f>N75*M75</f>
        <v>29.55</v>
      </c>
      <c r="AG75" s="90"/>
      <c r="AH75" s="90"/>
      <c r="AI75" s="90"/>
      <c r="AJ75" s="90"/>
      <c r="AK75" s="90"/>
    </row>
    <row r="76" spans="1:37" s="11" customFormat="1" ht="14.4">
      <c r="A76" s="18"/>
      <c r="B76" s="138" t="s">
        <v>66</v>
      </c>
      <c r="C76" s="162" t="s">
        <v>24</v>
      </c>
      <c r="D76" s="108">
        <v>1</v>
      </c>
      <c r="E76" s="108" t="s">
        <v>57</v>
      </c>
      <c r="F76" s="108" t="s">
        <v>57</v>
      </c>
      <c r="G76" s="162">
        <v>40.909999999999997</v>
      </c>
      <c r="H76" s="92"/>
      <c r="I76" s="108">
        <f t="shared" ref="I76:I80" si="48">(G76-H76)</f>
        <v>40.909999999999997</v>
      </c>
      <c r="J76" s="108">
        <f t="shared" ref="J76:J80" si="49">I76*D76</f>
        <v>40.909999999999997</v>
      </c>
      <c r="K76" s="90"/>
      <c r="L76" s="162" t="s">
        <v>339</v>
      </c>
      <c r="M76" s="108">
        <v>1</v>
      </c>
      <c r="N76" s="162">
        <v>26.71</v>
      </c>
      <c r="O76" s="123">
        <v>3.9</v>
      </c>
      <c r="P76" s="253"/>
      <c r="Q76" s="253"/>
      <c r="R76" s="108">
        <f t="shared" ref="R76:R83" si="50">(N76*O76-P76)*M76</f>
        <v>104.169</v>
      </c>
      <c r="S76" s="110"/>
      <c r="T76" s="108" t="s">
        <v>20</v>
      </c>
      <c r="U76" s="92">
        <f>N76*M76</f>
        <v>26.71</v>
      </c>
      <c r="V76" s="90"/>
      <c r="W76" s="162" t="s">
        <v>20</v>
      </c>
      <c r="X76" s="108" t="str">
        <f t="shared" ref="X76:X83" si="51">E76</f>
        <v>cad</v>
      </c>
      <c r="Y76" s="108" t="str">
        <f t="shared" ref="Y76:Y83" si="52">F76</f>
        <v>cad</v>
      </c>
      <c r="Z76" s="108">
        <f t="shared" ref="Z76:Z83" si="53">G76</f>
        <v>40.909999999999997</v>
      </c>
      <c r="AA76" s="108">
        <f t="shared" ref="AA76:AA83" si="54">H76</f>
        <v>0</v>
      </c>
      <c r="AB76" s="108">
        <f t="shared" ref="AB76:AB83" si="55">I76</f>
        <v>40.909999999999997</v>
      </c>
      <c r="AC76" s="108">
        <f t="shared" ref="AC76:AC83" si="56">J76</f>
        <v>40.909999999999997</v>
      </c>
      <c r="AD76" s="90"/>
      <c r="AE76" s="92"/>
      <c r="AF76" s="108"/>
      <c r="AG76" s="90"/>
      <c r="AH76" s="90"/>
      <c r="AI76" s="90"/>
      <c r="AJ76" s="90"/>
      <c r="AK76" s="90"/>
    </row>
    <row r="77" spans="1:37" s="11" customFormat="1" ht="14.4">
      <c r="A77" s="18"/>
      <c r="B77" s="138"/>
      <c r="C77" s="162" t="s">
        <v>24</v>
      </c>
      <c r="D77" s="108">
        <v>1</v>
      </c>
      <c r="E77" s="108" t="s">
        <v>57</v>
      </c>
      <c r="F77" s="108" t="s">
        <v>57</v>
      </c>
      <c r="G77" s="162">
        <v>9.7100000000000009</v>
      </c>
      <c r="H77" s="92"/>
      <c r="I77" s="108">
        <f t="shared" ref="I77" si="57">(G77-H77)</f>
        <v>9.7100000000000009</v>
      </c>
      <c r="J77" s="108">
        <f t="shared" ref="J77" si="58">I77*D77</f>
        <v>9.7100000000000009</v>
      </c>
      <c r="K77" s="90"/>
      <c r="L77" s="162"/>
      <c r="M77" s="108"/>
      <c r="N77" s="162"/>
      <c r="O77" s="95"/>
      <c r="P77" s="253"/>
      <c r="Q77" s="253"/>
      <c r="R77" s="108"/>
      <c r="S77" s="110"/>
      <c r="T77" s="108"/>
      <c r="U77" s="92"/>
      <c r="V77" s="90"/>
      <c r="W77" s="162"/>
      <c r="X77" s="108"/>
      <c r="Y77" s="108"/>
      <c r="Z77" s="108"/>
      <c r="AA77" s="108"/>
      <c r="AB77" s="108"/>
      <c r="AC77" s="108"/>
      <c r="AD77" s="90"/>
      <c r="AE77" s="92"/>
      <c r="AF77" s="108"/>
      <c r="AG77" s="90"/>
      <c r="AH77" s="90"/>
      <c r="AI77" s="90"/>
      <c r="AJ77" s="90"/>
      <c r="AK77" s="90"/>
    </row>
    <row r="78" spans="1:37" s="11" customFormat="1" ht="14.4">
      <c r="A78" s="18"/>
      <c r="B78" s="138" t="s">
        <v>119</v>
      </c>
      <c r="C78" s="162" t="s">
        <v>22</v>
      </c>
      <c r="D78" s="108">
        <v>1</v>
      </c>
      <c r="E78" s="108" t="s">
        <v>57</v>
      </c>
      <c r="F78" s="108" t="s">
        <v>57</v>
      </c>
      <c r="G78" s="145">
        <v>8.1300000000000008</v>
      </c>
      <c r="H78" s="92"/>
      <c r="I78" s="108">
        <f t="shared" ref="I78:I79" si="59">(G78-H78)</f>
        <v>8.1300000000000008</v>
      </c>
      <c r="J78" s="108">
        <f t="shared" ref="J78:J79" si="60">I78*D78</f>
        <v>8.1300000000000008</v>
      </c>
      <c r="K78" s="90"/>
      <c r="L78" s="162" t="s">
        <v>20</v>
      </c>
      <c r="M78" s="108">
        <v>1</v>
      </c>
      <c r="N78" s="145">
        <v>12.65</v>
      </c>
      <c r="O78" s="123">
        <v>2.7</v>
      </c>
      <c r="P78" s="253"/>
      <c r="Q78" s="253"/>
      <c r="R78" s="108">
        <f t="shared" ref="R78:R79" si="61">(N78*O78-P78)*M78</f>
        <v>34.155000000000001</v>
      </c>
      <c r="S78" s="110"/>
      <c r="T78" s="108"/>
      <c r="U78" s="108"/>
      <c r="V78" s="90"/>
      <c r="W78" s="162" t="s">
        <v>18</v>
      </c>
      <c r="X78" s="108" t="str">
        <f t="shared" ref="X78:X79" si="62">E78</f>
        <v>cad</v>
      </c>
      <c r="Y78" s="108" t="str">
        <f t="shared" ref="Y78:Y79" si="63">F78</f>
        <v>cad</v>
      </c>
      <c r="Z78" s="108">
        <f t="shared" ref="Z78:Z79" si="64">G78</f>
        <v>8.1300000000000008</v>
      </c>
      <c r="AA78" s="108">
        <f t="shared" ref="AA78:AA79" si="65">H78</f>
        <v>0</v>
      </c>
      <c r="AB78" s="108">
        <f t="shared" ref="AB78:AB79" si="66">I78</f>
        <v>8.1300000000000008</v>
      </c>
      <c r="AC78" s="108">
        <f t="shared" ref="AC78:AC79" si="67">J78</f>
        <v>8.1300000000000008</v>
      </c>
      <c r="AD78" s="90"/>
      <c r="AE78" s="92" t="s">
        <v>357</v>
      </c>
      <c r="AF78" s="108">
        <f t="shared" ref="AF78:AF80" si="68">N78*M78</f>
        <v>12.65</v>
      </c>
      <c r="AG78" s="90"/>
      <c r="AH78" s="90"/>
      <c r="AI78" s="90"/>
      <c r="AJ78" s="90"/>
      <c r="AK78" s="90"/>
    </row>
    <row r="79" spans="1:37" s="11" customFormat="1" ht="14.4">
      <c r="A79" s="18"/>
      <c r="B79" s="138" t="s">
        <v>326</v>
      </c>
      <c r="C79" s="319" t="s">
        <v>17</v>
      </c>
      <c r="D79" s="108">
        <v>1</v>
      </c>
      <c r="E79" s="108" t="s">
        <v>57</v>
      </c>
      <c r="F79" s="108" t="s">
        <v>57</v>
      </c>
      <c r="G79" s="145">
        <v>14.06</v>
      </c>
      <c r="H79" s="92"/>
      <c r="I79" s="108">
        <f t="shared" si="59"/>
        <v>14.06</v>
      </c>
      <c r="J79" s="108">
        <f t="shared" si="60"/>
        <v>14.06</v>
      </c>
      <c r="K79" s="90"/>
      <c r="L79" s="162" t="s">
        <v>17</v>
      </c>
      <c r="M79" s="108">
        <v>1</v>
      </c>
      <c r="N79" s="145">
        <f>17.12-5.33</f>
        <v>11.790000000000001</v>
      </c>
      <c r="O79" s="123">
        <v>2.7</v>
      </c>
      <c r="P79" s="253"/>
      <c r="Q79" s="253"/>
      <c r="R79" s="108">
        <f t="shared" si="61"/>
        <v>31.833000000000006</v>
      </c>
      <c r="S79" s="110"/>
      <c r="T79" s="108" t="s">
        <v>21</v>
      </c>
      <c r="U79" s="92">
        <f>N79*M79</f>
        <v>11.790000000000001</v>
      </c>
      <c r="V79" s="90"/>
      <c r="W79" s="162" t="s">
        <v>17</v>
      </c>
      <c r="X79" s="108" t="str">
        <f t="shared" si="62"/>
        <v>cad</v>
      </c>
      <c r="Y79" s="108" t="str">
        <f t="shared" si="63"/>
        <v>cad</v>
      </c>
      <c r="Z79" s="108">
        <f t="shared" si="64"/>
        <v>14.06</v>
      </c>
      <c r="AA79" s="108">
        <f t="shared" si="65"/>
        <v>0</v>
      </c>
      <c r="AB79" s="108">
        <f t="shared" si="66"/>
        <v>14.06</v>
      </c>
      <c r="AC79" s="108">
        <f t="shared" si="67"/>
        <v>14.06</v>
      </c>
      <c r="AD79" s="90"/>
      <c r="AE79" s="92" t="s">
        <v>357</v>
      </c>
      <c r="AF79" s="108">
        <f t="shared" si="68"/>
        <v>11.790000000000001</v>
      </c>
      <c r="AG79" s="90"/>
      <c r="AH79" s="90"/>
      <c r="AI79" s="90"/>
      <c r="AJ79" s="90"/>
      <c r="AK79" s="90"/>
    </row>
    <row r="80" spans="1:37" s="11" customFormat="1" ht="14.4">
      <c r="A80" s="18"/>
      <c r="B80" s="138" t="s">
        <v>158</v>
      </c>
      <c r="C80" s="319" t="s">
        <v>17</v>
      </c>
      <c r="D80" s="108">
        <v>1</v>
      </c>
      <c r="E80" s="108" t="s">
        <v>57</v>
      </c>
      <c r="F80" s="108" t="s">
        <v>57</v>
      </c>
      <c r="G80" s="145">
        <v>68.5</v>
      </c>
      <c r="H80" s="92"/>
      <c r="I80" s="108">
        <f t="shared" si="48"/>
        <v>68.5</v>
      </c>
      <c r="J80" s="108">
        <f t="shared" si="49"/>
        <v>68.5</v>
      </c>
      <c r="K80" s="90"/>
      <c r="L80" s="162" t="s">
        <v>17</v>
      </c>
      <c r="M80" s="108">
        <v>1</v>
      </c>
      <c r="N80" s="162">
        <f>60.19-7.68</f>
        <v>52.51</v>
      </c>
      <c r="O80" s="108">
        <v>2.8</v>
      </c>
      <c r="P80" s="253"/>
      <c r="Q80" s="253"/>
      <c r="R80" s="108">
        <f t="shared" si="50"/>
        <v>147.02799999999999</v>
      </c>
      <c r="S80" s="110"/>
      <c r="T80" s="108" t="s">
        <v>21</v>
      </c>
      <c r="U80" s="92">
        <f>N80*M80</f>
        <v>52.51</v>
      </c>
      <c r="V80" s="90"/>
      <c r="W80" s="162" t="s">
        <v>17</v>
      </c>
      <c r="X80" s="108" t="str">
        <f t="shared" si="51"/>
        <v>cad</v>
      </c>
      <c r="Y80" s="108" t="str">
        <f t="shared" si="52"/>
        <v>cad</v>
      </c>
      <c r="Z80" s="108">
        <f t="shared" si="53"/>
        <v>68.5</v>
      </c>
      <c r="AA80" s="108">
        <f t="shared" si="54"/>
        <v>0</v>
      </c>
      <c r="AB80" s="108">
        <f t="shared" si="55"/>
        <v>68.5</v>
      </c>
      <c r="AC80" s="108">
        <f t="shared" si="56"/>
        <v>68.5</v>
      </c>
      <c r="AD80" s="90"/>
      <c r="AE80" s="92" t="s">
        <v>17</v>
      </c>
      <c r="AF80" s="108">
        <f t="shared" si="68"/>
        <v>52.51</v>
      </c>
      <c r="AG80" s="90"/>
      <c r="AH80" s="90"/>
      <c r="AI80" s="90"/>
      <c r="AJ80" s="90"/>
      <c r="AK80" s="90"/>
    </row>
    <row r="81" spans="1:37" s="11" customFormat="1" ht="14.4">
      <c r="A81" s="18"/>
      <c r="B81" s="138"/>
      <c r="C81" s="162"/>
      <c r="D81" s="108"/>
      <c r="E81" s="108"/>
      <c r="F81" s="108"/>
      <c r="G81" s="141"/>
      <c r="H81" s="92"/>
      <c r="I81" s="108"/>
      <c r="J81" s="108"/>
      <c r="K81" s="90"/>
      <c r="L81" s="162"/>
      <c r="M81" s="108"/>
      <c r="N81" s="162"/>
      <c r="O81" s="108"/>
      <c r="P81" s="253"/>
      <c r="Q81" s="253"/>
      <c r="R81" s="108"/>
      <c r="S81" s="110"/>
      <c r="T81" s="108"/>
      <c r="U81" s="92"/>
      <c r="V81" s="90"/>
      <c r="W81" s="162" t="s">
        <v>19</v>
      </c>
      <c r="X81" s="141">
        <f t="shared" ref="X81:X82" si="69">E81</f>
        <v>0</v>
      </c>
      <c r="Y81" s="141">
        <f t="shared" ref="Y81:Y82" si="70">F81</f>
        <v>0</v>
      </c>
      <c r="Z81" s="141">
        <v>25.79</v>
      </c>
      <c r="AA81" s="108">
        <f t="shared" ref="AA81:AA82" si="71">H81</f>
        <v>0</v>
      </c>
      <c r="AB81" s="141">
        <f t="shared" ref="AB81:AB82" si="72">Z81</f>
        <v>25.79</v>
      </c>
      <c r="AC81" s="141">
        <f t="shared" ref="AC81:AC82" si="73">AB81</f>
        <v>25.79</v>
      </c>
      <c r="AD81" s="90"/>
      <c r="AE81" s="92"/>
      <c r="AF81" s="108"/>
      <c r="AG81" s="90"/>
      <c r="AH81" s="90"/>
      <c r="AI81" s="90"/>
      <c r="AJ81" s="90"/>
      <c r="AK81" s="90"/>
    </row>
    <row r="82" spans="1:37" s="11" customFormat="1" ht="14.4">
      <c r="A82" s="18"/>
      <c r="B82" s="138"/>
      <c r="C82" s="162"/>
      <c r="D82" s="108"/>
      <c r="E82" s="108"/>
      <c r="F82" s="108"/>
      <c r="G82" s="141"/>
      <c r="H82" s="92"/>
      <c r="I82" s="108"/>
      <c r="J82" s="108"/>
      <c r="K82" s="90"/>
      <c r="L82" s="162"/>
      <c r="M82" s="108"/>
      <c r="N82" s="162"/>
      <c r="O82" s="108"/>
      <c r="P82" s="253"/>
      <c r="Q82" s="253"/>
      <c r="R82" s="108"/>
      <c r="S82" s="110"/>
      <c r="T82" s="108"/>
      <c r="U82" s="92"/>
      <c r="V82" s="90"/>
      <c r="W82" s="162" t="s">
        <v>20</v>
      </c>
      <c r="X82" s="141">
        <f t="shared" si="69"/>
        <v>0</v>
      </c>
      <c r="Y82" s="141">
        <f t="shared" si="70"/>
        <v>0</v>
      </c>
      <c r="Z82" s="141">
        <v>1.56</v>
      </c>
      <c r="AA82" s="108">
        <f t="shared" si="71"/>
        <v>0</v>
      </c>
      <c r="AB82" s="141">
        <f t="shared" si="72"/>
        <v>1.56</v>
      </c>
      <c r="AC82" s="141">
        <f t="shared" si="73"/>
        <v>1.56</v>
      </c>
      <c r="AD82" s="90"/>
      <c r="AE82" s="92"/>
      <c r="AF82" s="108"/>
      <c r="AG82" s="90"/>
      <c r="AH82" s="90"/>
      <c r="AI82" s="90"/>
      <c r="AJ82" s="90"/>
      <c r="AK82" s="90"/>
    </row>
    <row r="83" spans="1:37" ht="14.4">
      <c r="B83" s="118"/>
      <c r="C83" s="95"/>
      <c r="D83" s="95"/>
      <c r="E83" s="95"/>
      <c r="F83" s="95"/>
      <c r="G83" s="95"/>
      <c r="H83" s="118"/>
      <c r="I83" s="95"/>
      <c r="J83" s="95"/>
      <c r="K83" s="83"/>
      <c r="L83" s="95"/>
      <c r="M83" s="95"/>
      <c r="N83" s="95"/>
      <c r="O83" s="198"/>
      <c r="P83" s="222"/>
      <c r="Q83" s="222"/>
      <c r="R83" s="95">
        <f t="shared" si="50"/>
        <v>0</v>
      </c>
      <c r="S83" s="170"/>
      <c r="T83" s="95"/>
      <c r="U83" s="95"/>
      <c r="V83" s="83"/>
      <c r="W83" s="95"/>
      <c r="X83" s="95">
        <f t="shared" si="51"/>
        <v>0</v>
      </c>
      <c r="Y83" s="95">
        <f t="shared" si="52"/>
        <v>0</v>
      </c>
      <c r="Z83" s="95">
        <f t="shared" si="53"/>
        <v>0</v>
      </c>
      <c r="AA83" s="95">
        <f t="shared" si="54"/>
        <v>0</v>
      </c>
      <c r="AB83" s="95">
        <f t="shared" si="55"/>
        <v>0</v>
      </c>
      <c r="AC83" s="95">
        <f t="shared" si="56"/>
        <v>0</v>
      </c>
      <c r="AD83" s="83"/>
      <c r="AE83" s="118"/>
      <c r="AF83" s="95">
        <f>N83</f>
        <v>0</v>
      </c>
      <c r="AG83" s="83"/>
      <c r="AH83" s="83"/>
      <c r="AI83" s="83"/>
      <c r="AJ83" s="83"/>
      <c r="AK83" s="83"/>
    </row>
    <row r="84" spans="1:37" ht="15.75" customHeight="1">
      <c r="B84" s="83"/>
      <c r="C84" s="83"/>
      <c r="D84" s="83"/>
      <c r="E84" s="83"/>
      <c r="F84" s="83"/>
      <c r="G84" s="170"/>
      <c r="H84" s="83"/>
      <c r="I84" s="83"/>
      <c r="J84" s="189">
        <f>SUM(J11:J83)</f>
        <v>1125.2</v>
      </c>
      <c r="K84" s="85"/>
      <c r="L84" s="85"/>
      <c r="M84" s="87"/>
      <c r="N84" s="189">
        <f>SUM(N11:N83)</f>
        <v>878.20999999999992</v>
      </c>
      <c r="O84" s="87"/>
      <c r="P84" s="87"/>
      <c r="Q84" s="85"/>
      <c r="R84" s="189">
        <f>SUM(R11:R83)</f>
        <v>3756.532999999999</v>
      </c>
      <c r="S84" s="241"/>
      <c r="T84" s="241"/>
      <c r="U84" s="189">
        <f>SUM(U11:U83)</f>
        <v>1172.33</v>
      </c>
      <c r="V84" s="83"/>
      <c r="W84" s="85"/>
      <c r="X84" s="85"/>
      <c r="Y84" s="85"/>
      <c r="Z84" s="85"/>
      <c r="AA84" s="85"/>
      <c r="AB84" s="85"/>
      <c r="AC84" s="189">
        <f>SUM(AC11:AC83)</f>
        <v>1209.71</v>
      </c>
      <c r="AD84" s="85"/>
      <c r="AE84" s="85"/>
      <c r="AF84" s="189">
        <f>SUM(AF11:AF15,AF16:AF19,AF20:AF23,AF25:AF69,AF70,AF71:AF72,AF73:AF75,AF78:AF80)</f>
        <v>1224.48</v>
      </c>
      <c r="AG84" s="83"/>
      <c r="AH84" s="83"/>
      <c r="AI84" s="83"/>
      <c r="AJ84" s="83"/>
      <c r="AK84" s="83"/>
    </row>
    <row r="85" spans="1:37" s="11" customFormat="1" ht="15.75" customHeight="1">
      <c r="A85" s="18"/>
      <c r="B85" s="90"/>
      <c r="C85" s="90"/>
      <c r="D85" s="90"/>
      <c r="E85" s="90"/>
      <c r="F85" s="90"/>
      <c r="G85" s="110"/>
      <c r="H85" s="90"/>
      <c r="I85" s="90"/>
      <c r="J85" s="248"/>
      <c r="K85" s="90"/>
      <c r="L85" s="103"/>
      <c r="M85" s="195"/>
      <c r="N85" s="200"/>
      <c r="O85" s="195"/>
      <c r="P85" s="195"/>
      <c r="Q85" s="193"/>
      <c r="R85" s="200"/>
      <c r="S85" s="248"/>
      <c r="T85" s="248"/>
      <c r="U85" s="248"/>
      <c r="V85" s="90"/>
      <c r="W85" s="255"/>
      <c r="X85" s="90"/>
      <c r="Y85" s="90"/>
      <c r="Z85" s="90"/>
      <c r="AA85" s="90"/>
      <c r="AB85" s="90"/>
      <c r="AC85" s="248"/>
      <c r="AD85" s="90"/>
      <c r="AE85" s="90"/>
      <c r="AF85" s="248"/>
      <c r="AG85" s="90"/>
      <c r="AH85" s="90"/>
      <c r="AI85" s="90"/>
      <c r="AJ85" s="90"/>
      <c r="AK85" s="90"/>
    </row>
    <row r="86" spans="1:37" ht="15.75" customHeight="1">
      <c r="B86" s="227" t="s">
        <v>5</v>
      </c>
      <c r="C86" s="83"/>
      <c r="D86" s="83"/>
      <c r="E86" s="83"/>
      <c r="F86" s="83"/>
      <c r="G86" s="83"/>
      <c r="H86" s="83"/>
      <c r="I86" s="83"/>
      <c r="J86" s="170"/>
      <c r="K86" s="83"/>
      <c r="L86" s="85"/>
      <c r="M86" s="199"/>
      <c r="N86" s="199"/>
      <c r="O86" s="199"/>
      <c r="P86" s="199"/>
      <c r="Q86" s="191"/>
      <c r="R86" s="191"/>
      <c r="S86" s="83"/>
      <c r="T86" s="83"/>
      <c r="U86" s="226"/>
      <c r="V86" s="83"/>
      <c r="W86" s="187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</row>
    <row r="87" spans="1:37" ht="15.75" customHeight="1">
      <c r="B87" s="227"/>
      <c r="C87" s="83"/>
      <c r="D87" s="83"/>
      <c r="E87" s="83"/>
      <c r="F87" s="83"/>
      <c r="G87" s="83"/>
      <c r="H87" s="83"/>
      <c r="I87" s="83"/>
      <c r="J87" s="170"/>
      <c r="K87" s="83"/>
      <c r="L87" s="191"/>
      <c r="M87" s="199"/>
      <c r="N87" s="199"/>
      <c r="O87" s="199"/>
      <c r="P87" s="199"/>
      <c r="Q87" s="191"/>
      <c r="R87" s="191"/>
      <c r="S87" s="83"/>
      <c r="T87" s="83"/>
      <c r="U87" s="83"/>
      <c r="V87" s="83"/>
      <c r="W87" s="187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</row>
    <row r="88" spans="1:37" ht="15.75" customHeight="1">
      <c r="B88" s="227" t="s">
        <v>3</v>
      </c>
      <c r="C88" s="83"/>
      <c r="D88" s="83"/>
      <c r="E88" s="83"/>
      <c r="F88" s="83"/>
      <c r="G88" s="83"/>
      <c r="H88" s="83"/>
      <c r="I88" s="83"/>
      <c r="J88" s="170"/>
      <c r="K88" s="83"/>
      <c r="L88" s="191"/>
      <c r="M88" s="249" t="s">
        <v>2</v>
      </c>
      <c r="N88" s="191"/>
      <c r="O88" s="199"/>
      <c r="P88" s="199"/>
      <c r="Q88" s="191"/>
      <c r="R88" s="191"/>
      <c r="S88" s="83"/>
      <c r="T88" s="83"/>
      <c r="U88" s="83"/>
      <c r="V88" s="83"/>
      <c r="W88" s="187"/>
      <c r="X88" s="83"/>
      <c r="Y88" s="227" t="s">
        <v>4</v>
      </c>
      <c r="Z88" s="83"/>
      <c r="AA88" s="83"/>
      <c r="AB88" s="83"/>
      <c r="AC88" s="83"/>
      <c r="AD88" s="83"/>
      <c r="AE88" s="227" t="s">
        <v>34</v>
      </c>
      <c r="AF88" s="80"/>
      <c r="AG88" s="80"/>
      <c r="AH88" s="80"/>
      <c r="AI88" s="188"/>
      <c r="AJ88" s="83"/>
      <c r="AK88" s="83"/>
    </row>
    <row r="89" spans="1:37" ht="15.75" customHeight="1">
      <c r="B89" s="162" t="s">
        <v>17</v>
      </c>
      <c r="C89" s="198">
        <f>SUMIF(C$11:C$82,B89,J$11:J$82)</f>
        <v>892.00999999999976</v>
      </c>
      <c r="D89" s="83"/>
      <c r="E89" s="83"/>
      <c r="F89" s="83"/>
      <c r="G89" s="83"/>
      <c r="H89" s="83"/>
      <c r="I89" s="83"/>
      <c r="J89" s="170"/>
      <c r="K89" s="83"/>
      <c r="L89" s="191"/>
      <c r="M89" s="118" t="s">
        <v>17</v>
      </c>
      <c r="N89" s="198">
        <f>SUMIF(L$11:L$82,M89,R$11:R$82)</f>
        <v>2543.4529999999995</v>
      </c>
      <c r="O89" s="199"/>
      <c r="P89" s="199"/>
      <c r="Q89" s="191"/>
      <c r="R89" s="191"/>
      <c r="S89" s="83"/>
      <c r="T89" s="83"/>
      <c r="U89" s="83"/>
      <c r="V89" s="83"/>
      <c r="W89" s="187"/>
      <c r="X89" s="83"/>
      <c r="Y89" s="228" t="s">
        <v>17</v>
      </c>
      <c r="Z89" s="221">
        <f t="shared" ref="Z89:Z97" si="74">SUMIF(W$11:W$82,Y89,AC$11:AC$82)</f>
        <v>889.53999999999974</v>
      </c>
      <c r="AA89" s="313"/>
      <c r="AB89" s="313"/>
      <c r="AC89" s="83"/>
      <c r="AD89" s="83"/>
      <c r="AE89" s="118" t="s">
        <v>39</v>
      </c>
      <c r="AF89" s="324" t="s">
        <v>364</v>
      </c>
      <c r="AG89" s="324"/>
      <c r="AH89" s="324"/>
      <c r="AI89" s="118" t="s">
        <v>365</v>
      </c>
      <c r="AJ89" s="83"/>
      <c r="AK89" s="83"/>
    </row>
    <row r="90" spans="1:37" ht="15.75" customHeight="1">
      <c r="B90" s="162" t="s">
        <v>18</v>
      </c>
      <c r="C90" s="198">
        <f t="shared" ref="C90:C102" si="75">SUMIF(C$11:C$82,B90,J$11:J$82)</f>
        <v>0</v>
      </c>
      <c r="D90" s="83"/>
      <c r="E90" s="83"/>
      <c r="F90" s="83"/>
      <c r="G90" s="83"/>
      <c r="H90" s="83"/>
      <c r="I90" s="83"/>
      <c r="J90" s="170"/>
      <c r="K90" s="83"/>
      <c r="L90" s="191"/>
      <c r="M90" s="118" t="s">
        <v>18</v>
      </c>
      <c r="N90" s="198">
        <f t="shared" ref="N90:N109" si="76">SUMIF(L$11:L$82,M90,R$11:R$82)</f>
        <v>525.798</v>
      </c>
      <c r="O90" s="199"/>
      <c r="P90" s="199"/>
      <c r="Q90" s="191"/>
      <c r="R90" s="191"/>
      <c r="S90" s="83"/>
      <c r="T90" s="83"/>
      <c r="U90" s="83"/>
      <c r="V90" s="83"/>
      <c r="W90" s="187"/>
      <c r="X90" s="83"/>
      <c r="Y90" s="228" t="s">
        <v>18</v>
      </c>
      <c r="Z90" s="221">
        <f t="shared" si="74"/>
        <v>120.24999999999997</v>
      </c>
      <c r="AA90" s="313"/>
      <c r="AB90" s="83"/>
      <c r="AC90" s="83"/>
      <c r="AD90" s="83"/>
      <c r="AE90" s="118" t="s">
        <v>357</v>
      </c>
      <c r="AF90" s="323" t="s">
        <v>363</v>
      </c>
      <c r="AG90" s="323"/>
      <c r="AH90" s="323"/>
      <c r="AI90" s="95">
        <f>AF84</f>
        <v>1224.48</v>
      </c>
      <c r="AJ90" s="83"/>
      <c r="AK90" s="83"/>
    </row>
    <row r="91" spans="1:37" ht="15.75" customHeight="1">
      <c r="B91" s="162" t="s">
        <v>19</v>
      </c>
      <c r="C91" s="198">
        <f t="shared" si="75"/>
        <v>0</v>
      </c>
      <c r="D91" s="83"/>
      <c r="E91" s="83"/>
      <c r="F91" s="83"/>
      <c r="G91" s="83"/>
      <c r="H91" s="83"/>
      <c r="I91" s="83"/>
      <c r="J91" s="170"/>
      <c r="K91" s="83"/>
      <c r="L91" s="191"/>
      <c r="M91" s="118" t="s">
        <v>19</v>
      </c>
      <c r="N91" s="198">
        <f t="shared" si="76"/>
        <v>0</v>
      </c>
      <c r="O91" s="199"/>
      <c r="P91" s="199"/>
      <c r="Q91" s="191"/>
      <c r="R91" s="191"/>
      <c r="S91" s="83"/>
      <c r="T91" s="83"/>
      <c r="U91" s="83"/>
      <c r="V91" s="83"/>
      <c r="W91" s="187"/>
      <c r="X91" s="83"/>
      <c r="Y91" s="228" t="s">
        <v>19</v>
      </c>
      <c r="Z91" s="221">
        <f t="shared" si="74"/>
        <v>99.25</v>
      </c>
      <c r="AA91" s="313"/>
      <c r="AB91" s="83"/>
      <c r="AC91" s="83"/>
      <c r="AD91" s="83"/>
      <c r="AE91" s="83"/>
      <c r="AF91" s="83"/>
      <c r="AG91" s="83"/>
      <c r="AH91" s="83"/>
      <c r="AI91" s="83"/>
      <c r="AJ91" s="83"/>
      <c r="AK91" s="83"/>
    </row>
    <row r="92" spans="1:37" ht="15.75" customHeight="1">
      <c r="B92" s="162" t="s">
        <v>20</v>
      </c>
      <c r="C92" s="198">
        <f t="shared" si="75"/>
        <v>100.44</v>
      </c>
      <c r="D92" s="83"/>
      <c r="E92" s="83"/>
      <c r="F92" s="83"/>
      <c r="G92" s="83"/>
      <c r="H92" s="83"/>
      <c r="I92" s="83"/>
      <c r="J92" s="170"/>
      <c r="K92" s="83"/>
      <c r="L92" s="191"/>
      <c r="M92" s="118" t="s">
        <v>20</v>
      </c>
      <c r="N92" s="198">
        <f t="shared" si="76"/>
        <v>109.998</v>
      </c>
      <c r="O92" s="199"/>
      <c r="P92" s="199"/>
      <c r="Q92" s="191"/>
      <c r="R92" s="191"/>
      <c r="S92" s="83"/>
      <c r="T92" s="83"/>
      <c r="U92" s="83"/>
      <c r="V92" s="83"/>
      <c r="W92" s="187"/>
      <c r="X92" s="83"/>
      <c r="Y92" s="228" t="s">
        <v>20</v>
      </c>
      <c r="Z92" s="221">
        <f t="shared" si="74"/>
        <v>98.2</v>
      </c>
      <c r="AA92" s="313"/>
      <c r="AB92" s="83"/>
      <c r="AC92" s="83"/>
      <c r="AD92" s="83"/>
      <c r="AE92" s="83"/>
      <c r="AF92" s="83"/>
      <c r="AG92" s="83"/>
      <c r="AH92" s="83"/>
      <c r="AI92" s="83"/>
      <c r="AJ92" s="83"/>
      <c r="AK92" s="83"/>
    </row>
    <row r="93" spans="1:37" ht="15.75" customHeight="1">
      <c r="B93" s="162" t="s">
        <v>21</v>
      </c>
      <c r="C93" s="198">
        <f t="shared" si="75"/>
        <v>0</v>
      </c>
      <c r="D93" s="83"/>
      <c r="E93" s="83"/>
      <c r="F93" s="83"/>
      <c r="G93" s="83"/>
      <c r="H93" s="83"/>
      <c r="I93" s="83"/>
      <c r="J93" s="170"/>
      <c r="K93" s="83"/>
      <c r="L93" s="191"/>
      <c r="M93" s="118" t="s">
        <v>21</v>
      </c>
      <c r="N93" s="198">
        <f t="shared" si="76"/>
        <v>0</v>
      </c>
      <c r="O93" s="199"/>
      <c r="P93" s="199"/>
      <c r="Q93" s="191"/>
      <c r="R93" s="191"/>
      <c r="S93" s="83"/>
      <c r="T93" s="83"/>
      <c r="U93" s="83"/>
      <c r="V93" s="83"/>
      <c r="W93" s="187"/>
      <c r="X93" s="83"/>
      <c r="Y93" s="228" t="s">
        <v>21</v>
      </c>
      <c r="Z93" s="221">
        <f t="shared" si="74"/>
        <v>0</v>
      </c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</row>
    <row r="94" spans="1:37" ht="15.75" customHeight="1">
      <c r="B94" s="162" t="s">
        <v>22</v>
      </c>
      <c r="C94" s="198">
        <f t="shared" si="75"/>
        <v>19.810000000000002</v>
      </c>
      <c r="D94" s="83"/>
      <c r="E94" s="83"/>
      <c r="F94" s="83"/>
      <c r="G94" s="83"/>
      <c r="H94" s="83"/>
      <c r="I94" s="83"/>
      <c r="J94" s="170"/>
      <c r="K94" s="83"/>
      <c r="L94" s="191"/>
      <c r="M94" s="118" t="s">
        <v>22</v>
      </c>
      <c r="N94" s="198">
        <f t="shared" si="76"/>
        <v>0</v>
      </c>
      <c r="O94" s="199"/>
      <c r="P94" s="199"/>
      <c r="Q94" s="191"/>
      <c r="R94" s="191"/>
      <c r="S94" s="83"/>
      <c r="T94" s="83"/>
      <c r="U94" s="83"/>
      <c r="V94" s="83"/>
      <c r="W94" s="187"/>
      <c r="X94" s="83"/>
      <c r="Y94" s="228" t="s">
        <v>22</v>
      </c>
      <c r="Z94" s="221">
        <f t="shared" si="74"/>
        <v>0</v>
      </c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</row>
    <row r="95" spans="1:37" ht="15.75" customHeight="1">
      <c r="B95" s="162" t="s">
        <v>23</v>
      </c>
      <c r="C95" s="198">
        <f t="shared" si="75"/>
        <v>0</v>
      </c>
      <c r="D95" s="83"/>
      <c r="E95" s="83"/>
      <c r="F95" s="83"/>
      <c r="G95" s="83"/>
      <c r="H95" s="83"/>
      <c r="I95" s="83"/>
      <c r="J95" s="170"/>
      <c r="K95" s="83"/>
      <c r="L95" s="191"/>
      <c r="M95" s="118" t="s">
        <v>23</v>
      </c>
      <c r="N95" s="198">
        <f t="shared" si="76"/>
        <v>0</v>
      </c>
      <c r="O95" s="199"/>
      <c r="P95" s="199"/>
      <c r="Q95" s="191"/>
      <c r="R95" s="191"/>
      <c r="S95" s="83"/>
      <c r="T95" s="83"/>
      <c r="U95" s="83"/>
      <c r="V95" s="83"/>
      <c r="W95" s="187"/>
      <c r="X95" s="83"/>
      <c r="Y95" s="228" t="s">
        <v>23</v>
      </c>
      <c r="Z95" s="221">
        <f t="shared" si="74"/>
        <v>0</v>
      </c>
      <c r="AA95" s="83"/>
      <c r="AB95" s="313"/>
      <c r="AC95" s="83"/>
      <c r="AD95" s="83"/>
      <c r="AE95" s="83"/>
      <c r="AF95" s="83"/>
      <c r="AG95" s="83"/>
      <c r="AH95" s="83"/>
      <c r="AI95" s="83"/>
      <c r="AJ95" s="83"/>
      <c r="AK95" s="83"/>
    </row>
    <row r="96" spans="1:37" ht="15.75" customHeight="1">
      <c r="B96" s="162" t="s">
        <v>24</v>
      </c>
      <c r="C96" s="198">
        <f t="shared" si="75"/>
        <v>112.94</v>
      </c>
      <c r="D96" s="83"/>
      <c r="E96" s="83"/>
      <c r="F96" s="83"/>
      <c r="G96" s="83"/>
      <c r="H96" s="83"/>
      <c r="I96" s="83"/>
      <c r="J96" s="170"/>
      <c r="K96" s="83"/>
      <c r="L96" s="191"/>
      <c r="M96" s="118" t="s">
        <v>24</v>
      </c>
      <c r="N96" s="198">
        <f t="shared" si="76"/>
        <v>31.472999999999999</v>
      </c>
      <c r="O96" s="199"/>
      <c r="P96" s="199"/>
      <c r="Q96" s="191"/>
      <c r="R96" s="191"/>
      <c r="S96" s="83"/>
      <c r="T96" s="83"/>
      <c r="U96" s="83"/>
      <c r="V96" s="83"/>
      <c r="W96" s="187"/>
      <c r="X96" s="83"/>
      <c r="Y96" s="228" t="s">
        <v>24</v>
      </c>
      <c r="Z96" s="221">
        <f t="shared" si="74"/>
        <v>2.4700000000000002</v>
      </c>
      <c r="AA96" s="170"/>
      <c r="AB96" s="83"/>
      <c r="AC96" s="83"/>
      <c r="AD96" s="83"/>
      <c r="AE96" s="83"/>
      <c r="AF96" s="83"/>
      <c r="AG96" s="83"/>
      <c r="AH96" s="83"/>
      <c r="AI96" s="83"/>
      <c r="AJ96" s="83"/>
      <c r="AK96" s="83"/>
    </row>
    <row r="97" spans="2:37" ht="15.75" customHeight="1">
      <c r="B97" s="162" t="s">
        <v>25</v>
      </c>
      <c r="C97" s="198">
        <f t="shared" si="75"/>
        <v>0</v>
      </c>
      <c r="D97" s="83"/>
      <c r="E97" s="83"/>
      <c r="F97" s="83"/>
      <c r="G97" s="83"/>
      <c r="H97" s="83"/>
      <c r="I97" s="83"/>
      <c r="J97" s="170"/>
      <c r="K97" s="83"/>
      <c r="L97" s="191"/>
      <c r="M97" s="118" t="s">
        <v>25</v>
      </c>
      <c r="N97" s="198">
        <f t="shared" si="76"/>
        <v>0</v>
      </c>
      <c r="O97" s="199"/>
      <c r="P97" s="199"/>
      <c r="Q97" s="191"/>
      <c r="R97" s="191"/>
      <c r="S97" s="83"/>
      <c r="T97" s="83"/>
      <c r="U97" s="83"/>
      <c r="V97" s="83"/>
      <c r="W97" s="187"/>
      <c r="X97" s="83"/>
      <c r="Y97" s="228" t="s">
        <v>25</v>
      </c>
      <c r="Z97" s="221">
        <f t="shared" si="74"/>
        <v>0</v>
      </c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</row>
    <row r="98" spans="2:37" ht="15.75" customHeight="1">
      <c r="B98" s="162" t="s">
        <v>26</v>
      </c>
      <c r="C98" s="198">
        <f t="shared" si="75"/>
        <v>0</v>
      </c>
      <c r="D98" s="83"/>
      <c r="E98" s="83"/>
      <c r="F98" s="83"/>
      <c r="G98" s="83"/>
      <c r="H98" s="83"/>
      <c r="I98" s="83"/>
      <c r="J98" s="170"/>
      <c r="K98" s="83"/>
      <c r="L98" s="191"/>
      <c r="M98" s="118" t="s">
        <v>26</v>
      </c>
      <c r="N98" s="198">
        <f t="shared" si="76"/>
        <v>0</v>
      </c>
      <c r="O98" s="199"/>
      <c r="P98" s="199"/>
      <c r="Q98" s="191"/>
      <c r="R98" s="191"/>
      <c r="S98" s="83"/>
      <c r="T98" s="83"/>
      <c r="U98" s="83"/>
      <c r="V98" s="83"/>
      <c r="W98" s="187"/>
      <c r="X98" s="83"/>
      <c r="Y98" s="85"/>
      <c r="Z98" s="189">
        <f>SUM(Z89:Z97)</f>
        <v>1209.7099999999998</v>
      </c>
      <c r="AA98" s="313"/>
      <c r="AB98" s="83"/>
      <c r="AC98" s="83"/>
      <c r="AD98" s="83"/>
      <c r="AE98" s="83"/>
      <c r="AF98" s="83"/>
      <c r="AG98" s="83"/>
      <c r="AH98" s="83"/>
      <c r="AI98" s="83"/>
      <c r="AJ98" s="83"/>
      <c r="AK98" s="83"/>
    </row>
    <row r="99" spans="2:37" ht="15.75" customHeight="1">
      <c r="B99" s="162" t="s">
        <v>27</v>
      </c>
      <c r="C99" s="198">
        <f t="shared" si="75"/>
        <v>0</v>
      </c>
      <c r="D99" s="83"/>
      <c r="E99" s="83"/>
      <c r="F99" s="83"/>
      <c r="G99" s="83"/>
      <c r="H99" s="83"/>
      <c r="I99" s="83"/>
      <c r="J99" s="170"/>
      <c r="K99" s="83"/>
      <c r="L99" s="191"/>
      <c r="M99" s="118" t="s">
        <v>27</v>
      </c>
      <c r="N99" s="198">
        <f t="shared" si="76"/>
        <v>0</v>
      </c>
      <c r="O99" s="199"/>
      <c r="P99" s="199"/>
      <c r="Q99" s="191"/>
      <c r="R99" s="191"/>
      <c r="S99" s="83"/>
      <c r="T99" s="83"/>
      <c r="U99" s="83"/>
      <c r="V99" s="83"/>
      <c r="W99" s="187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</row>
    <row r="100" spans="2:37" ht="15.75" customHeight="1">
      <c r="B100" s="162" t="s">
        <v>337</v>
      </c>
      <c r="C100" s="198">
        <f t="shared" si="75"/>
        <v>0</v>
      </c>
      <c r="D100" s="83"/>
      <c r="E100" s="83"/>
      <c r="F100" s="83"/>
      <c r="G100" s="83"/>
      <c r="H100" s="83"/>
      <c r="I100" s="83"/>
      <c r="J100" s="170"/>
      <c r="K100" s="83"/>
      <c r="L100" s="191"/>
      <c r="M100" s="118" t="s">
        <v>337</v>
      </c>
      <c r="N100" s="198">
        <f t="shared" si="76"/>
        <v>0</v>
      </c>
      <c r="O100" s="199"/>
      <c r="P100" s="199"/>
      <c r="Q100" s="191"/>
      <c r="R100" s="191"/>
      <c r="S100" s="83"/>
      <c r="T100" s="83"/>
      <c r="U100" s="83"/>
      <c r="V100" s="83"/>
      <c r="W100" s="187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</row>
    <row r="101" spans="2:37" ht="15.75" customHeight="1">
      <c r="B101" s="162" t="s">
        <v>338</v>
      </c>
      <c r="C101" s="198">
        <f t="shared" si="75"/>
        <v>0</v>
      </c>
      <c r="D101" s="83"/>
      <c r="E101" s="83"/>
      <c r="F101" s="83"/>
      <c r="G101" s="83"/>
      <c r="H101" s="83"/>
      <c r="I101" s="83"/>
      <c r="J101" s="170"/>
      <c r="K101" s="83"/>
      <c r="L101" s="191"/>
      <c r="M101" s="118" t="s">
        <v>338</v>
      </c>
      <c r="N101" s="198">
        <f t="shared" si="76"/>
        <v>0</v>
      </c>
      <c r="O101" s="199"/>
      <c r="P101" s="199"/>
      <c r="Q101" s="191"/>
      <c r="R101" s="191"/>
      <c r="S101" s="83"/>
      <c r="T101" s="83"/>
      <c r="U101" s="83"/>
      <c r="V101" s="83"/>
      <c r="W101" s="187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</row>
    <row r="102" spans="2:37" ht="15.75" customHeight="1">
      <c r="B102" s="162" t="s">
        <v>339</v>
      </c>
      <c r="C102" s="198">
        <f t="shared" si="75"/>
        <v>0</v>
      </c>
      <c r="D102" s="83"/>
      <c r="E102" s="83"/>
      <c r="F102" s="83"/>
      <c r="G102" s="83"/>
      <c r="H102" s="83"/>
      <c r="I102" s="83"/>
      <c r="J102" s="170"/>
      <c r="K102" s="83"/>
      <c r="L102" s="191"/>
      <c r="M102" s="118" t="s">
        <v>339</v>
      </c>
      <c r="N102" s="198">
        <f t="shared" si="76"/>
        <v>255.68399999999997</v>
      </c>
      <c r="O102" s="199"/>
      <c r="P102" s="199"/>
      <c r="Q102" s="191"/>
      <c r="R102" s="191"/>
      <c r="S102" s="83"/>
      <c r="T102" s="83"/>
      <c r="U102" s="83"/>
      <c r="V102" s="83"/>
      <c r="W102" s="187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</row>
    <row r="103" spans="2:37" ht="15.75" customHeight="1">
      <c r="B103" s="87"/>
      <c r="C103" s="211">
        <f>SUM(C89:C102)</f>
        <v>1125.1999999999998</v>
      </c>
      <c r="D103" s="170"/>
      <c r="E103" s="83"/>
      <c r="F103" s="83"/>
      <c r="G103" s="83"/>
      <c r="H103" s="83"/>
      <c r="I103" s="83"/>
      <c r="J103" s="170"/>
      <c r="K103" s="83"/>
      <c r="L103" s="191"/>
      <c r="M103" s="118" t="s">
        <v>28</v>
      </c>
      <c r="N103" s="198">
        <f t="shared" si="76"/>
        <v>0</v>
      </c>
      <c r="O103" s="199"/>
      <c r="P103" s="199"/>
      <c r="Q103" s="191"/>
      <c r="R103" s="191"/>
      <c r="S103" s="83"/>
      <c r="T103" s="83"/>
      <c r="U103" s="83"/>
      <c r="V103" s="83"/>
      <c r="W103" s="187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</row>
    <row r="104" spans="2:37" ht="15.75" customHeight="1">
      <c r="B104" s="83"/>
      <c r="C104" s="83"/>
      <c r="D104" s="83"/>
      <c r="E104" s="83"/>
      <c r="F104" s="83"/>
      <c r="G104" s="83"/>
      <c r="H104" s="83"/>
      <c r="I104" s="83"/>
      <c r="J104" s="170"/>
      <c r="K104" s="83"/>
      <c r="L104" s="191"/>
      <c r="M104" s="118" t="s">
        <v>29</v>
      </c>
      <c r="N104" s="198">
        <f t="shared" si="76"/>
        <v>0</v>
      </c>
      <c r="O104" s="199"/>
      <c r="P104" s="199"/>
      <c r="Q104" s="191"/>
      <c r="R104" s="191"/>
      <c r="S104" s="83"/>
      <c r="T104" s="83"/>
      <c r="U104" s="83"/>
      <c r="V104" s="83"/>
      <c r="W104" s="187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</row>
    <row r="105" spans="2:37" ht="15.75" customHeight="1">
      <c r="B105" s="83"/>
      <c r="C105" s="83"/>
      <c r="D105" s="83"/>
      <c r="E105" s="83"/>
      <c r="F105" s="83"/>
      <c r="G105" s="83"/>
      <c r="H105" s="83"/>
      <c r="I105" s="83"/>
      <c r="J105" s="170"/>
      <c r="K105" s="83"/>
      <c r="L105" s="191"/>
      <c r="M105" s="118" t="s">
        <v>30</v>
      </c>
      <c r="N105" s="198">
        <f t="shared" si="76"/>
        <v>0</v>
      </c>
      <c r="O105" s="199"/>
      <c r="P105" s="199"/>
      <c r="Q105" s="191"/>
      <c r="R105" s="191"/>
      <c r="S105" s="83"/>
      <c r="T105" s="83"/>
      <c r="U105" s="83"/>
      <c r="V105" s="83"/>
      <c r="W105" s="187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</row>
    <row r="106" spans="2:37" ht="15.75" customHeight="1">
      <c r="B106" s="83"/>
      <c r="C106" s="83"/>
      <c r="D106" s="83"/>
      <c r="E106" s="83"/>
      <c r="F106" s="83"/>
      <c r="G106" s="83"/>
      <c r="H106" s="83"/>
      <c r="I106" s="83"/>
      <c r="J106" s="170"/>
      <c r="K106" s="83"/>
      <c r="L106" s="191"/>
      <c r="M106" s="118" t="s">
        <v>340</v>
      </c>
      <c r="N106" s="198">
        <f t="shared" si="76"/>
        <v>0</v>
      </c>
      <c r="O106" s="199"/>
      <c r="P106" s="199"/>
      <c r="Q106" s="191"/>
      <c r="R106" s="191"/>
      <c r="S106" s="83"/>
      <c r="T106" s="83"/>
      <c r="U106" s="83"/>
      <c r="V106" s="83"/>
      <c r="W106" s="187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</row>
    <row r="107" spans="2:37" ht="15.75" customHeight="1">
      <c r="B107" s="83"/>
      <c r="C107" s="83"/>
      <c r="D107" s="83"/>
      <c r="E107" s="83"/>
      <c r="F107" s="83"/>
      <c r="G107" s="83"/>
      <c r="H107" s="83"/>
      <c r="I107" s="83"/>
      <c r="J107" s="170"/>
      <c r="K107" s="83"/>
      <c r="L107" s="191"/>
      <c r="M107" s="118" t="s">
        <v>341</v>
      </c>
      <c r="N107" s="198">
        <f t="shared" si="76"/>
        <v>0</v>
      </c>
      <c r="O107" s="199"/>
      <c r="P107" s="199"/>
      <c r="Q107" s="191"/>
      <c r="R107" s="191"/>
      <c r="S107" s="83"/>
      <c r="T107" s="83"/>
      <c r="U107" s="83"/>
      <c r="V107" s="83"/>
      <c r="W107" s="187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</row>
    <row r="108" spans="2:37" ht="15.75" customHeight="1">
      <c r="B108" s="83"/>
      <c r="C108" s="83"/>
      <c r="D108" s="83"/>
      <c r="E108" s="83"/>
      <c r="F108" s="83"/>
      <c r="G108" s="83"/>
      <c r="H108" s="83"/>
      <c r="I108" s="83"/>
      <c r="J108" s="170"/>
      <c r="K108" s="83"/>
      <c r="L108" s="191"/>
      <c r="M108" s="118" t="s">
        <v>31</v>
      </c>
      <c r="N108" s="198">
        <f t="shared" si="76"/>
        <v>0</v>
      </c>
      <c r="O108" s="199"/>
      <c r="P108" s="199"/>
      <c r="Q108" s="191"/>
      <c r="R108" s="191"/>
      <c r="S108" s="83"/>
      <c r="T108" s="83"/>
      <c r="U108" s="83"/>
      <c r="V108" s="83"/>
      <c r="W108" s="187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</row>
    <row r="109" spans="2:37" ht="15.75" customHeight="1">
      <c r="B109" s="83"/>
      <c r="C109" s="83"/>
      <c r="D109" s="83"/>
      <c r="E109" s="83"/>
      <c r="F109" s="83"/>
      <c r="G109" s="83"/>
      <c r="H109" s="83"/>
      <c r="I109" s="83"/>
      <c r="J109" s="170"/>
      <c r="K109" s="83"/>
      <c r="L109" s="191"/>
      <c r="M109" s="118" t="s">
        <v>571</v>
      </c>
      <c r="N109" s="198">
        <f t="shared" si="76"/>
        <v>290.12700000000001</v>
      </c>
      <c r="O109" s="199"/>
      <c r="P109" s="199"/>
      <c r="Q109" s="191"/>
      <c r="R109" s="191"/>
      <c r="S109" s="83"/>
      <c r="T109" s="83"/>
      <c r="U109" s="83"/>
      <c r="V109" s="83"/>
      <c r="W109" s="187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</row>
    <row r="110" spans="2:37" ht="15.75" customHeight="1">
      <c r="B110" s="83"/>
      <c r="C110" s="83"/>
      <c r="D110" s="83"/>
      <c r="E110" s="83"/>
      <c r="F110" s="83"/>
      <c r="G110" s="83"/>
      <c r="H110" s="83"/>
      <c r="I110" s="83"/>
      <c r="J110" s="170"/>
      <c r="K110" s="83"/>
      <c r="L110" s="191"/>
      <c r="M110" s="191"/>
      <c r="N110" s="190">
        <f>SUM(N89:N109)</f>
        <v>3756.532999999999</v>
      </c>
      <c r="O110" s="199"/>
      <c r="P110" s="199"/>
      <c r="Q110" s="191"/>
      <c r="R110" s="191"/>
      <c r="S110" s="83"/>
      <c r="T110" s="83"/>
      <c r="U110" s="83"/>
      <c r="V110" s="83"/>
      <c r="W110" s="187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</row>
    <row r="111" spans="2:37" ht="15.75" customHeight="1">
      <c r="B111" s="83"/>
      <c r="C111" s="83"/>
      <c r="D111" s="83"/>
      <c r="E111" s="83"/>
      <c r="F111" s="83"/>
      <c r="G111" s="83"/>
      <c r="H111" s="83"/>
      <c r="I111" s="83"/>
      <c r="J111" s="170"/>
      <c r="K111" s="83"/>
      <c r="L111" s="191"/>
      <c r="M111" s="83"/>
      <c r="N111" s="83"/>
      <c r="O111" s="199"/>
      <c r="P111" s="199"/>
      <c r="Q111" s="191"/>
      <c r="R111" s="191"/>
      <c r="S111" s="83"/>
      <c r="T111" s="83"/>
      <c r="U111" s="83"/>
      <c r="V111" s="83"/>
      <c r="W111" s="187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</row>
    <row r="112" spans="2:37" ht="15.75" customHeight="1">
      <c r="B112" s="83"/>
      <c r="C112" s="83"/>
      <c r="D112" s="83"/>
      <c r="E112" s="83"/>
      <c r="F112" s="83"/>
      <c r="G112" s="83"/>
      <c r="H112" s="83"/>
      <c r="I112" s="83"/>
      <c r="J112" s="170"/>
      <c r="K112" s="83"/>
      <c r="L112" s="191"/>
      <c r="M112" s="83"/>
      <c r="N112" s="83"/>
      <c r="O112" s="199"/>
      <c r="P112" s="199"/>
      <c r="Q112" s="191"/>
      <c r="R112" s="191"/>
      <c r="S112" s="83"/>
      <c r="T112" s="83"/>
      <c r="U112" s="83"/>
      <c r="V112" s="83"/>
      <c r="W112" s="187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</row>
    <row r="113" spans="2:37" ht="15.75" customHeight="1">
      <c r="B113" s="83"/>
      <c r="C113" s="83"/>
      <c r="D113" s="83"/>
      <c r="E113" s="83"/>
      <c r="F113" s="83"/>
      <c r="G113" s="83"/>
      <c r="H113" s="83"/>
      <c r="I113" s="83"/>
      <c r="J113" s="170"/>
      <c r="K113" s="83"/>
      <c r="L113" s="191"/>
      <c r="M113" s="83"/>
      <c r="N113" s="83"/>
      <c r="O113" s="199"/>
      <c r="P113" s="199"/>
      <c r="Q113" s="191"/>
      <c r="R113" s="191"/>
      <c r="S113" s="83"/>
      <c r="T113" s="83"/>
      <c r="U113" s="83"/>
      <c r="V113" s="83"/>
      <c r="W113" s="187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</row>
    <row r="114" spans="2:37" ht="15.75" customHeight="1">
      <c r="B114" s="227" t="s">
        <v>33</v>
      </c>
      <c r="C114" s="80"/>
      <c r="D114" s="80"/>
      <c r="E114" s="80"/>
      <c r="F114" s="188"/>
      <c r="G114" s="83"/>
      <c r="H114" s="83"/>
      <c r="I114" s="83"/>
      <c r="J114" s="170"/>
      <c r="K114" s="83"/>
      <c r="L114" s="83"/>
      <c r="M114" s="170"/>
      <c r="N114" s="170"/>
      <c r="O114" s="170"/>
      <c r="P114" s="170"/>
      <c r="Q114" s="83"/>
      <c r="R114" s="83"/>
      <c r="S114" s="83"/>
      <c r="T114" s="83"/>
      <c r="U114" s="83"/>
      <c r="V114" s="83"/>
      <c r="W114" s="187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</row>
    <row r="115" spans="2:37" ht="15.75" customHeight="1">
      <c r="B115" s="83"/>
      <c r="C115" s="80"/>
      <c r="D115" s="80"/>
      <c r="E115" s="80"/>
      <c r="F115" s="188"/>
      <c r="G115" s="83"/>
      <c r="H115" s="83"/>
      <c r="I115" s="83"/>
      <c r="J115" s="170"/>
      <c r="K115" s="83"/>
      <c r="L115" s="83"/>
      <c r="M115" s="170"/>
      <c r="N115" s="170"/>
      <c r="O115" s="170"/>
      <c r="P115" s="170"/>
      <c r="Q115" s="83"/>
      <c r="R115" s="83"/>
      <c r="S115" s="83"/>
      <c r="T115" s="83"/>
      <c r="U115" s="83"/>
      <c r="V115" s="83"/>
      <c r="W115" s="187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</row>
    <row r="116" spans="2:37" ht="60" customHeight="1">
      <c r="B116" s="91" t="s">
        <v>17</v>
      </c>
      <c r="C116" s="323" t="s">
        <v>359</v>
      </c>
      <c r="D116" s="323"/>
      <c r="E116" s="323"/>
      <c r="F116" s="213">
        <f>SUMIF(T$11:T$82,B116,U$11:U$82)</f>
        <v>318.08000000000004</v>
      </c>
      <c r="G116" s="83"/>
      <c r="H116" s="83"/>
      <c r="I116" s="83"/>
      <c r="J116" s="170"/>
      <c r="K116" s="83"/>
      <c r="L116" s="83"/>
      <c r="M116" s="170"/>
      <c r="N116" s="170"/>
      <c r="O116" s="170"/>
      <c r="P116" s="170"/>
      <c r="Q116" s="83"/>
      <c r="R116" s="83"/>
      <c r="S116" s="83"/>
      <c r="T116" s="83"/>
      <c r="U116" s="83"/>
      <c r="V116" s="83"/>
      <c r="W116" s="187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</row>
    <row r="117" spans="2:37" ht="60" customHeight="1">
      <c r="B117" s="91" t="s">
        <v>18</v>
      </c>
      <c r="C117" s="323" t="s">
        <v>360</v>
      </c>
      <c r="D117" s="323"/>
      <c r="E117" s="323"/>
      <c r="F117" s="213">
        <f t="shared" ref="F117:F120" si="77">SUMIF(T$11:T$82,B117,U$11:U$82)</f>
        <v>202.43999999999997</v>
      </c>
      <c r="G117" s="83"/>
      <c r="H117" s="83"/>
      <c r="I117" s="83"/>
      <c r="J117" s="170"/>
      <c r="K117" s="83"/>
      <c r="L117" s="83"/>
      <c r="M117" s="170"/>
      <c r="N117" s="170"/>
      <c r="O117" s="170"/>
      <c r="P117" s="170"/>
      <c r="Q117" s="83"/>
      <c r="R117" s="83"/>
      <c r="S117" s="83"/>
      <c r="T117" s="83"/>
      <c r="U117" s="83"/>
      <c r="V117" s="83"/>
      <c r="W117" s="187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</row>
    <row r="118" spans="2:37" ht="34.950000000000003" customHeight="1">
      <c r="B118" s="91" t="s">
        <v>19</v>
      </c>
      <c r="C118" s="323" t="s">
        <v>361</v>
      </c>
      <c r="D118" s="323"/>
      <c r="E118" s="323"/>
      <c r="F118" s="213">
        <f t="shared" si="77"/>
        <v>0</v>
      </c>
      <c r="G118" s="83"/>
      <c r="H118" s="83"/>
      <c r="I118" s="83"/>
      <c r="J118" s="170"/>
      <c r="K118" s="83"/>
      <c r="L118" s="83"/>
      <c r="M118" s="170"/>
      <c r="N118" s="170"/>
      <c r="O118" s="170"/>
      <c r="P118" s="170"/>
      <c r="Q118" s="83"/>
      <c r="R118" s="83"/>
      <c r="S118" s="83"/>
      <c r="T118" s="83"/>
      <c r="U118" s="83"/>
      <c r="V118" s="83"/>
      <c r="W118" s="187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</row>
    <row r="119" spans="2:37" ht="60" customHeight="1">
      <c r="B119" s="91" t="s">
        <v>20</v>
      </c>
      <c r="C119" s="323" t="s">
        <v>362</v>
      </c>
      <c r="D119" s="323"/>
      <c r="E119" s="323"/>
      <c r="F119" s="213">
        <f t="shared" si="77"/>
        <v>73.63</v>
      </c>
      <c r="G119" s="83"/>
      <c r="H119" s="83"/>
      <c r="I119" s="83"/>
      <c r="J119" s="170"/>
      <c r="K119" s="83"/>
      <c r="L119" s="83"/>
      <c r="M119" s="170"/>
      <c r="N119" s="170"/>
      <c r="O119" s="170"/>
      <c r="P119" s="170"/>
      <c r="Q119" s="83"/>
      <c r="R119" s="83"/>
      <c r="S119" s="83"/>
      <c r="T119" s="83"/>
      <c r="U119" s="83"/>
      <c r="V119" s="83"/>
      <c r="W119" s="187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</row>
    <row r="120" spans="2:37" ht="60" customHeight="1">
      <c r="B120" s="91" t="s">
        <v>21</v>
      </c>
      <c r="C120" s="323" t="s">
        <v>532</v>
      </c>
      <c r="D120" s="323"/>
      <c r="E120" s="323"/>
      <c r="F120" s="213">
        <f t="shared" si="77"/>
        <v>578.17999999999995</v>
      </c>
      <c r="G120" s="83"/>
      <c r="H120" s="83"/>
      <c r="I120" s="83"/>
      <c r="J120" s="170"/>
      <c r="K120" s="83"/>
      <c r="L120" s="83"/>
      <c r="M120" s="170"/>
      <c r="N120" s="170"/>
      <c r="O120" s="170"/>
      <c r="P120" s="170"/>
      <c r="Q120" s="83"/>
      <c r="R120" s="83"/>
      <c r="S120" s="83"/>
      <c r="T120" s="83"/>
      <c r="U120" s="83"/>
      <c r="V120" s="83"/>
      <c r="W120" s="187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</row>
    <row r="121" spans="2:37" ht="15.75" customHeight="1">
      <c r="B121" s="83"/>
      <c r="C121" s="80"/>
      <c r="D121" s="80"/>
      <c r="E121" s="80"/>
      <c r="F121" s="214">
        <f>SUM(F116:F120)</f>
        <v>1172.33</v>
      </c>
      <c r="G121" s="83"/>
      <c r="H121" s="83"/>
      <c r="I121" s="83"/>
      <c r="J121" s="170"/>
      <c r="K121" s="83"/>
      <c r="L121" s="83"/>
      <c r="M121" s="170"/>
      <c r="N121" s="170"/>
      <c r="O121" s="170"/>
      <c r="P121" s="170"/>
      <c r="Q121" s="83"/>
      <c r="R121" s="83"/>
      <c r="S121" s="83"/>
      <c r="T121" s="83"/>
      <c r="U121" s="83"/>
      <c r="V121" s="83"/>
      <c r="W121" s="187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</row>
    <row r="122" spans="2:37" ht="15.75" customHeight="1">
      <c r="B122" s="83"/>
      <c r="C122" s="83"/>
      <c r="D122" s="83"/>
      <c r="E122" s="83"/>
      <c r="F122" s="83"/>
      <c r="G122" s="83"/>
      <c r="H122" s="83"/>
      <c r="I122" s="83"/>
      <c r="J122" s="170"/>
      <c r="K122" s="83"/>
      <c r="L122" s="83"/>
      <c r="M122" s="170"/>
      <c r="N122" s="170"/>
      <c r="O122" s="170"/>
      <c r="P122" s="170"/>
      <c r="Q122" s="83"/>
      <c r="R122" s="83"/>
      <c r="S122" s="83"/>
      <c r="T122" s="83"/>
      <c r="U122" s="83"/>
      <c r="V122" s="83"/>
      <c r="W122" s="187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</row>
    <row r="123" spans="2:37" ht="15.75" customHeight="1">
      <c r="B123" s="83"/>
      <c r="C123" s="83"/>
      <c r="D123" s="83"/>
      <c r="E123" s="83"/>
      <c r="F123" s="83"/>
      <c r="G123" s="83"/>
      <c r="H123" s="83"/>
      <c r="I123" s="83"/>
      <c r="J123" s="170"/>
      <c r="K123" s="83"/>
      <c r="L123" s="83"/>
      <c r="M123" s="170"/>
      <c r="N123" s="170"/>
      <c r="O123" s="170"/>
      <c r="P123" s="170"/>
      <c r="Q123" s="83"/>
      <c r="R123" s="83"/>
      <c r="S123" s="83"/>
      <c r="T123" s="83"/>
      <c r="U123" s="83"/>
      <c r="V123" s="83"/>
      <c r="W123" s="187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</row>
    <row r="124" spans="2:37" ht="15.75" customHeight="1">
      <c r="B124" s="83"/>
      <c r="C124" s="83"/>
      <c r="D124" s="83"/>
      <c r="E124" s="83"/>
      <c r="F124" s="83"/>
      <c r="G124" s="83"/>
      <c r="H124" s="83"/>
      <c r="I124" s="83"/>
      <c r="J124" s="170"/>
      <c r="K124" s="83"/>
      <c r="L124" s="83"/>
      <c r="M124" s="170"/>
      <c r="N124" s="170"/>
      <c r="O124" s="170"/>
      <c r="P124" s="170"/>
      <c r="Q124" s="83"/>
      <c r="R124" s="83"/>
      <c r="S124" s="83"/>
      <c r="T124" s="83"/>
      <c r="U124" s="83"/>
      <c r="V124" s="83"/>
      <c r="W124" s="187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</row>
    <row r="125" spans="2:37" ht="15.75" customHeight="1">
      <c r="B125" s="83"/>
      <c r="C125" s="83"/>
      <c r="D125" s="83"/>
      <c r="E125" s="83"/>
      <c r="F125" s="133"/>
      <c r="G125" s="83"/>
      <c r="H125" s="83"/>
      <c r="I125" s="83"/>
      <c r="J125" s="170"/>
      <c r="K125" s="83"/>
      <c r="L125" s="83"/>
      <c r="M125" s="170"/>
      <c r="N125" s="170"/>
      <c r="O125" s="170"/>
      <c r="P125" s="170"/>
      <c r="Q125" s="83"/>
      <c r="R125" s="83"/>
      <c r="S125" s="83"/>
      <c r="T125" s="83"/>
      <c r="U125" s="83"/>
      <c r="V125" s="83"/>
      <c r="W125" s="187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</row>
    <row r="126" spans="2:37" ht="15.75" customHeight="1">
      <c r="B126" s="83"/>
      <c r="C126" s="83"/>
      <c r="D126" s="83"/>
      <c r="E126" s="83"/>
      <c r="F126" s="83"/>
      <c r="G126" s="83"/>
      <c r="H126" s="83"/>
      <c r="I126" s="83"/>
      <c r="J126" s="170"/>
      <c r="K126" s="83"/>
      <c r="L126" s="83"/>
      <c r="M126" s="170"/>
      <c r="N126" s="170"/>
      <c r="O126" s="170"/>
      <c r="P126" s="170"/>
      <c r="Q126" s="83"/>
      <c r="R126" s="83"/>
      <c r="S126" s="83"/>
      <c r="T126" s="83"/>
      <c r="U126" s="83"/>
      <c r="V126" s="83"/>
      <c r="W126" s="187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</row>
    <row r="127" spans="2:37" ht="15.75" customHeight="1">
      <c r="B127" s="83"/>
      <c r="C127" s="83"/>
      <c r="D127" s="83"/>
      <c r="E127" s="83"/>
      <c r="F127" s="83"/>
      <c r="G127" s="83"/>
      <c r="H127" s="83"/>
      <c r="I127" s="83"/>
      <c r="J127" s="170"/>
      <c r="K127" s="83"/>
      <c r="L127" s="83"/>
      <c r="M127" s="170"/>
      <c r="N127" s="170"/>
      <c r="O127" s="170"/>
      <c r="P127" s="170"/>
      <c r="Q127" s="83"/>
      <c r="R127" s="83"/>
      <c r="S127" s="83"/>
      <c r="T127" s="83"/>
      <c r="U127" s="83"/>
      <c r="V127" s="83"/>
      <c r="W127" s="187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</row>
    <row r="128" spans="2:37" ht="15.75" customHeight="1">
      <c r="B128" s="83"/>
      <c r="C128" s="83"/>
      <c r="D128" s="83"/>
      <c r="E128" s="83"/>
      <c r="F128" s="83"/>
      <c r="G128" s="83"/>
      <c r="H128" s="83"/>
      <c r="I128" s="83"/>
      <c r="J128" s="170"/>
      <c r="K128" s="83"/>
      <c r="L128" s="83"/>
      <c r="M128" s="170"/>
      <c r="N128" s="170"/>
      <c r="O128" s="170"/>
      <c r="P128" s="170"/>
      <c r="Q128" s="83"/>
      <c r="R128" s="83"/>
      <c r="S128" s="83"/>
      <c r="T128" s="83"/>
      <c r="U128" s="83"/>
      <c r="V128" s="83"/>
      <c r="W128" s="187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</row>
    <row r="129" spans="2:37" ht="15.75" customHeight="1">
      <c r="B129" s="83"/>
      <c r="C129" s="83"/>
      <c r="D129" s="170"/>
      <c r="E129" s="83"/>
      <c r="F129" s="83"/>
      <c r="G129" s="83"/>
      <c r="H129" s="83"/>
      <c r="I129" s="83"/>
      <c r="J129" s="170"/>
      <c r="K129" s="83"/>
      <c r="L129" s="83"/>
      <c r="M129" s="170"/>
      <c r="N129" s="170"/>
      <c r="O129" s="170"/>
      <c r="P129" s="170"/>
      <c r="Q129" s="83"/>
      <c r="R129" s="83"/>
      <c r="S129" s="83"/>
      <c r="T129" s="83"/>
      <c r="U129" s="83"/>
      <c r="V129" s="83"/>
      <c r="W129" s="187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</row>
    <row r="130" spans="2:37" ht="15.75" customHeight="1">
      <c r="B130" s="83"/>
      <c r="C130" s="83"/>
      <c r="D130" s="83"/>
      <c r="E130" s="83"/>
      <c r="F130" s="83"/>
      <c r="G130" s="83"/>
      <c r="H130" s="83"/>
      <c r="I130" s="83"/>
      <c r="J130" s="170"/>
      <c r="K130" s="83"/>
      <c r="L130" s="83"/>
      <c r="M130" s="170"/>
      <c r="N130" s="170"/>
      <c r="O130" s="170"/>
      <c r="P130" s="170"/>
      <c r="Q130" s="83"/>
      <c r="R130" s="83"/>
      <c r="S130" s="83"/>
      <c r="T130" s="83"/>
      <c r="U130" s="83"/>
      <c r="V130" s="83"/>
      <c r="W130" s="187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</row>
    <row r="131" spans="2:37" ht="15.75" customHeight="1">
      <c r="B131" s="83"/>
      <c r="C131" s="83"/>
      <c r="D131" s="83"/>
      <c r="E131" s="83"/>
      <c r="F131" s="83"/>
      <c r="G131" s="83"/>
      <c r="H131" s="83"/>
      <c r="I131" s="83"/>
      <c r="J131" s="170"/>
      <c r="K131" s="83"/>
      <c r="L131" s="83"/>
      <c r="M131" s="170"/>
      <c r="N131" s="170"/>
      <c r="O131" s="170"/>
      <c r="P131" s="170"/>
      <c r="Q131" s="83"/>
      <c r="R131" s="83"/>
      <c r="S131" s="83"/>
      <c r="T131" s="83"/>
      <c r="U131" s="83"/>
      <c r="V131" s="83"/>
      <c r="W131" s="187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</row>
    <row r="132" spans="2:37" ht="15.75" customHeight="1">
      <c r="B132" s="83"/>
      <c r="C132" s="83"/>
      <c r="D132" s="83"/>
      <c r="E132" s="83"/>
      <c r="F132" s="83"/>
      <c r="G132" s="83"/>
      <c r="H132" s="83"/>
      <c r="I132" s="83"/>
      <c r="J132" s="170"/>
      <c r="K132" s="83"/>
      <c r="L132" s="83"/>
      <c r="M132" s="170"/>
      <c r="N132" s="170"/>
      <c r="O132" s="170"/>
      <c r="P132" s="170"/>
      <c r="Q132" s="83"/>
      <c r="R132" s="83"/>
      <c r="S132" s="83"/>
      <c r="T132" s="83"/>
      <c r="U132" s="83"/>
      <c r="V132" s="83"/>
      <c r="W132" s="187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</row>
    <row r="133" spans="2:37" ht="15.75" customHeight="1">
      <c r="B133" s="83"/>
      <c r="C133" s="83"/>
      <c r="D133" s="83"/>
      <c r="E133" s="83"/>
      <c r="F133" s="83"/>
      <c r="G133" s="83"/>
      <c r="H133" s="83"/>
      <c r="I133" s="83"/>
      <c r="J133" s="170"/>
      <c r="K133" s="83"/>
      <c r="L133" s="83"/>
      <c r="M133" s="170"/>
      <c r="N133" s="170"/>
      <c r="O133" s="170"/>
      <c r="P133" s="170"/>
      <c r="Q133" s="83"/>
      <c r="R133" s="83"/>
      <c r="S133" s="83"/>
      <c r="T133" s="83"/>
      <c r="U133" s="83"/>
      <c r="V133" s="83"/>
      <c r="W133" s="187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</row>
    <row r="134" spans="2:37" ht="15.75" customHeight="1">
      <c r="B134" s="83"/>
      <c r="C134" s="83"/>
      <c r="D134" s="83"/>
      <c r="E134" s="83"/>
      <c r="F134" s="83"/>
      <c r="G134" s="83"/>
      <c r="H134" s="83"/>
      <c r="I134" s="83"/>
      <c r="J134" s="170"/>
      <c r="K134" s="83"/>
      <c r="L134" s="83"/>
      <c r="M134" s="170"/>
      <c r="N134" s="170"/>
      <c r="O134" s="170"/>
      <c r="P134" s="170"/>
      <c r="Q134" s="83"/>
      <c r="R134" s="83"/>
      <c r="S134" s="83"/>
      <c r="T134" s="83"/>
      <c r="U134" s="83"/>
      <c r="V134" s="83"/>
      <c r="W134" s="187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</row>
    <row r="135" spans="2:37" ht="15.75" customHeight="1">
      <c r="B135" s="83"/>
      <c r="C135" s="83"/>
      <c r="D135" s="83"/>
      <c r="E135" s="83"/>
      <c r="F135" s="83"/>
      <c r="G135" s="83"/>
      <c r="H135" s="83"/>
      <c r="I135" s="83"/>
      <c r="J135" s="170"/>
      <c r="K135" s="83"/>
      <c r="L135" s="83"/>
      <c r="M135" s="170"/>
      <c r="N135" s="170"/>
      <c r="O135" s="170"/>
      <c r="P135" s="170"/>
      <c r="Q135" s="83"/>
      <c r="R135" s="83"/>
      <c r="S135" s="83"/>
      <c r="T135" s="83"/>
      <c r="U135" s="83"/>
      <c r="V135" s="83"/>
      <c r="W135" s="187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</row>
    <row r="136" spans="2:37" ht="15.75" customHeight="1">
      <c r="B136" s="83"/>
      <c r="C136" s="83"/>
      <c r="D136" s="83"/>
      <c r="E136" s="83"/>
      <c r="F136" s="83"/>
      <c r="G136" s="83"/>
      <c r="H136" s="83"/>
      <c r="I136" s="83"/>
      <c r="J136" s="170"/>
      <c r="K136" s="83"/>
      <c r="L136" s="83"/>
      <c r="M136" s="170"/>
      <c r="N136" s="170"/>
      <c r="O136" s="170"/>
      <c r="P136" s="170"/>
      <c r="Q136" s="83"/>
      <c r="R136" s="83"/>
      <c r="S136" s="83"/>
      <c r="T136" s="83"/>
      <c r="U136" s="83"/>
      <c r="V136" s="83"/>
      <c r="W136" s="187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</row>
    <row r="137" spans="2:37" ht="15.75" customHeight="1">
      <c r="B137" s="83"/>
      <c r="C137" s="83"/>
      <c r="D137" s="83"/>
      <c r="E137" s="83"/>
      <c r="F137" s="83"/>
      <c r="G137" s="83"/>
      <c r="H137" s="83"/>
      <c r="I137" s="83"/>
      <c r="J137" s="170"/>
      <c r="K137" s="83"/>
      <c r="L137" s="83"/>
      <c r="M137" s="170"/>
      <c r="N137" s="170"/>
      <c r="O137" s="170"/>
      <c r="P137" s="170"/>
      <c r="Q137" s="83"/>
      <c r="R137" s="83"/>
      <c r="S137" s="83"/>
      <c r="T137" s="83"/>
      <c r="U137" s="83"/>
      <c r="V137" s="83"/>
      <c r="W137" s="187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</row>
    <row r="138" spans="2:37" ht="15.75" customHeight="1">
      <c r="B138" s="83"/>
      <c r="C138" s="83"/>
      <c r="D138" s="83"/>
      <c r="E138" s="83"/>
      <c r="F138" s="83"/>
      <c r="G138" s="83"/>
      <c r="H138" s="83"/>
      <c r="I138" s="83"/>
      <c r="J138" s="170"/>
      <c r="K138" s="83"/>
      <c r="L138" s="83"/>
      <c r="M138" s="170"/>
      <c r="N138" s="170"/>
      <c r="O138" s="170"/>
      <c r="P138" s="170"/>
      <c r="Q138" s="83"/>
      <c r="R138" s="83"/>
      <c r="S138" s="83"/>
      <c r="T138" s="83"/>
      <c r="U138" s="83"/>
      <c r="V138" s="83"/>
      <c r="W138" s="187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</row>
    <row r="139" spans="2:37" ht="15.75" customHeight="1">
      <c r="B139" s="83"/>
      <c r="C139" s="83"/>
      <c r="D139" s="83"/>
      <c r="E139" s="83"/>
      <c r="F139" s="83"/>
      <c r="G139" s="83"/>
      <c r="H139" s="83"/>
      <c r="I139" s="83"/>
      <c r="J139" s="170"/>
      <c r="K139" s="83"/>
      <c r="L139" s="83"/>
      <c r="M139" s="170"/>
      <c r="N139" s="170"/>
      <c r="O139" s="170"/>
      <c r="P139" s="170"/>
      <c r="Q139" s="83"/>
      <c r="R139" s="83"/>
      <c r="S139" s="83"/>
      <c r="T139" s="83"/>
      <c r="U139" s="83"/>
      <c r="V139" s="83"/>
      <c r="W139" s="187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</row>
    <row r="140" spans="2:37" ht="15.75" customHeight="1">
      <c r="B140" s="83"/>
      <c r="C140" s="83"/>
      <c r="D140" s="83"/>
      <c r="E140" s="83"/>
      <c r="F140" s="83"/>
      <c r="G140" s="83"/>
      <c r="H140" s="83"/>
      <c r="I140" s="83"/>
      <c r="J140" s="170"/>
      <c r="K140" s="83"/>
      <c r="L140" s="83"/>
      <c r="M140" s="170"/>
      <c r="N140" s="170"/>
      <c r="O140" s="170"/>
      <c r="P140" s="170"/>
      <c r="Q140" s="83"/>
      <c r="R140" s="83"/>
      <c r="S140" s="83"/>
      <c r="T140" s="83"/>
      <c r="U140" s="83"/>
      <c r="V140" s="83"/>
      <c r="W140" s="187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</row>
    <row r="141" spans="2:37" ht="15.75" customHeight="1">
      <c r="B141" s="83"/>
      <c r="C141" s="83"/>
      <c r="D141" s="83"/>
      <c r="E141" s="83"/>
      <c r="F141" s="83"/>
      <c r="G141" s="83"/>
      <c r="H141" s="83"/>
      <c r="I141" s="83"/>
      <c r="J141" s="170"/>
      <c r="K141" s="83"/>
      <c r="L141" s="83"/>
      <c r="M141" s="170"/>
      <c r="N141" s="170"/>
      <c r="O141" s="170"/>
      <c r="P141" s="170"/>
      <c r="Q141" s="83"/>
      <c r="R141" s="83"/>
      <c r="S141" s="83"/>
      <c r="T141" s="83"/>
      <c r="U141" s="83"/>
      <c r="V141" s="83"/>
      <c r="W141" s="187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</row>
    <row r="142" spans="2:37" ht="15.75" customHeight="1">
      <c r="B142" s="83"/>
      <c r="C142" s="83"/>
      <c r="D142" s="170">
        <v>0</v>
      </c>
      <c r="E142" s="83"/>
      <c r="F142" s="83"/>
      <c r="G142" s="83"/>
      <c r="H142" s="83"/>
      <c r="I142" s="83"/>
      <c r="J142" s="170"/>
      <c r="K142" s="83"/>
      <c r="L142" s="83"/>
      <c r="M142" s="170"/>
      <c r="N142" s="170"/>
      <c r="O142" s="170"/>
      <c r="P142" s="170"/>
      <c r="Q142" s="83"/>
      <c r="R142" s="83"/>
      <c r="S142" s="83"/>
      <c r="T142" s="83"/>
      <c r="U142" s="83"/>
      <c r="V142" s="83"/>
      <c r="W142" s="187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</row>
    <row r="143" spans="2:37" ht="15.75" customHeight="1">
      <c r="B143" s="83"/>
      <c r="C143" s="83"/>
      <c r="D143" s="83"/>
      <c r="E143" s="83"/>
      <c r="F143" s="83"/>
      <c r="G143" s="83"/>
      <c r="H143" s="83"/>
      <c r="I143" s="83"/>
      <c r="J143" s="170"/>
      <c r="K143" s="83"/>
      <c r="L143" s="83"/>
      <c r="M143" s="170"/>
      <c r="N143" s="170"/>
      <c r="O143" s="170"/>
      <c r="P143" s="170"/>
      <c r="Q143" s="83"/>
      <c r="R143" s="83"/>
      <c r="S143" s="83"/>
      <c r="T143" s="83"/>
      <c r="U143" s="83"/>
      <c r="V143" s="83"/>
      <c r="W143" s="187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</row>
    <row r="144" spans="2:37" ht="15.75" customHeight="1"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187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</row>
    <row r="145" spans="2:37" ht="15.75" customHeight="1"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187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</row>
    <row r="146" spans="2:37" ht="15.75" customHeight="1"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187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</row>
    <row r="147" spans="2:37" ht="65.25" customHeight="1"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187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</row>
    <row r="148" spans="2:37" ht="66" customHeight="1"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187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</row>
    <row r="149" spans="2:37" ht="36" customHeight="1"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187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</row>
    <row r="150" spans="2:37" ht="39.75" customHeight="1"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187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</row>
    <row r="151" spans="2:37" ht="15.75" customHeight="1"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187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</row>
    <row r="152" spans="2:37" ht="15.75" customHeight="1">
      <c r="B152" s="83"/>
      <c r="C152" s="80"/>
      <c r="D152" s="80"/>
      <c r="E152" s="80"/>
      <c r="F152" s="188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187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</row>
    <row r="153" spans="2:37" ht="15.75" customHeight="1">
      <c r="B153" s="227"/>
      <c r="C153" s="80"/>
      <c r="D153" s="80"/>
      <c r="E153" s="80"/>
      <c r="F153" s="188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187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</row>
    <row r="154" spans="2:37" ht="15.75" customHeight="1"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187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</row>
    <row r="155" spans="2:37" ht="15.75" customHeight="1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187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</row>
    <row r="156" spans="2:37" ht="26.25" customHeight="1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187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</row>
    <row r="157" spans="2:37" ht="15.75" customHeight="1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187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</row>
    <row r="158" spans="2:37" ht="15.75" customHeight="1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187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</row>
    <row r="159" spans="2:37" ht="15.75" customHeight="1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187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</row>
    <row r="160" spans="2:37" ht="15.75" customHeight="1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187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</row>
    <row r="161" spans="2:37" ht="15.75" customHeight="1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187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</row>
    <row r="162" spans="2:37" ht="15.75" customHeight="1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187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</row>
    <row r="163" spans="2:37" ht="15.75" customHeight="1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187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</row>
    <row r="164" spans="2:37" ht="15.75" customHeight="1"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187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</row>
    <row r="165" spans="2:37" ht="15.75" customHeight="1"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187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</row>
    <row r="166" spans="2:37" ht="15.75" customHeight="1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187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</row>
    <row r="167" spans="2:37" ht="15.75" customHeight="1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187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</row>
    <row r="168" spans="2:37" ht="15.75" customHeight="1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187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</row>
    <row r="169" spans="2:37" ht="15.75" customHeight="1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187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</row>
    <row r="170" spans="2:37" ht="15.75" customHeight="1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187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</row>
    <row r="171" spans="2:37" ht="15.75" customHeight="1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187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</row>
    <row r="172" spans="2:37" ht="15.75" customHeight="1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187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</row>
    <row r="173" spans="2:37" ht="15.75" customHeight="1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187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</row>
    <row r="174" spans="2:37" ht="15.75" customHeight="1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187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</row>
    <row r="175" spans="2:37" ht="15.75" customHeight="1"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187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</row>
    <row r="176" spans="2:37" ht="15.75" customHeight="1"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187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</row>
    <row r="177" spans="2:37" ht="15.75" customHeight="1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187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</row>
    <row r="178" spans="2:37" ht="15.75" customHeight="1"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187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</row>
    <row r="179" spans="2:37" ht="15.75" customHeight="1"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187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</row>
    <row r="180" spans="2:37" ht="15.75" customHeight="1"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187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</row>
    <row r="181" spans="2:37" ht="15.75" customHeight="1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187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</row>
    <row r="182" spans="2:37" ht="15.75" customHeight="1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187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</row>
    <row r="183" spans="2:37" ht="15.75" customHeight="1"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187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</row>
    <row r="184" spans="2:37" ht="15.75" customHeight="1"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187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</row>
    <row r="185" spans="2:37" ht="15.75" customHeight="1"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187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</row>
    <row r="186" spans="2:37" ht="15.75" customHeight="1"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187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</row>
    <row r="187" spans="2:37" ht="15.75" customHeight="1"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187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</row>
    <row r="188" spans="2:37" ht="15.75" customHeight="1"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187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</row>
    <row r="189" spans="2:37" ht="15.75" customHeight="1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187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</row>
    <row r="190" spans="2:37" ht="15.75" customHeight="1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187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</row>
    <row r="191" spans="2:37" ht="15.75" customHeight="1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187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</row>
    <row r="192" spans="2:37" ht="15.75" customHeight="1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187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</row>
    <row r="193" spans="2:37" ht="15.75" customHeight="1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187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</row>
    <row r="194" spans="2:37" ht="15.75" customHeight="1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187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</row>
    <row r="195" spans="2:37" ht="15.75" customHeight="1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187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</row>
    <row r="196" spans="2:37" ht="15.75" customHeight="1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187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</row>
    <row r="197" spans="2:37" ht="15.75" customHeight="1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187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</row>
    <row r="198" spans="2:37" ht="15.75" customHeight="1"/>
    <row r="199" spans="2:37" ht="15.75" customHeight="1"/>
    <row r="200" spans="2:37" ht="15.75" customHeight="1"/>
    <row r="201" spans="2:37" ht="15.75" customHeight="1"/>
    <row r="202" spans="2:37" ht="15.75" customHeight="1"/>
    <row r="203" spans="2:37" ht="15.75" customHeight="1"/>
    <row r="204" spans="2:37" ht="15.75" customHeight="1"/>
    <row r="205" spans="2:37" ht="15.75" customHeight="1"/>
    <row r="206" spans="2:37" ht="15.75" customHeight="1"/>
    <row r="207" spans="2:37" ht="15.75" customHeight="1"/>
    <row r="208" spans="2:3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</sheetData>
  <mergeCells count="7">
    <mergeCell ref="AF89:AH89"/>
    <mergeCell ref="C120:E120"/>
    <mergeCell ref="AF90:AH90"/>
    <mergeCell ref="C116:E116"/>
    <mergeCell ref="C117:E117"/>
    <mergeCell ref="C118:E118"/>
    <mergeCell ref="C119:E119"/>
  </mergeCells>
  <phoneticPr fontId="19" type="noConversion"/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048520"/>
  <sheetViews>
    <sheetView zoomScale="110" zoomScaleNormal="110" workbookViewId="0">
      <selection activeCell="Z117" sqref="Z117"/>
    </sheetView>
  </sheetViews>
  <sheetFormatPr defaultRowHeight="15" customHeight="1"/>
  <cols>
    <col min="1" max="1" width="5.296875" style="16" customWidth="1"/>
    <col min="2" max="2" width="20.3984375" style="16" customWidth="1"/>
    <col min="3" max="3" width="7.8984375" style="16" customWidth="1"/>
    <col min="4" max="4" width="6.796875" style="16" customWidth="1"/>
    <col min="5" max="5" width="8.69921875" style="16" customWidth="1"/>
    <col min="6" max="6" width="10" style="16" customWidth="1"/>
    <col min="7" max="7" width="8.69921875" style="16" customWidth="1"/>
    <col min="8" max="8" width="7.69921875" style="16" customWidth="1"/>
    <col min="9" max="9" width="7.8984375" style="16" customWidth="1"/>
    <col min="10" max="10" width="8.69921875" style="16" customWidth="1"/>
    <col min="11" max="11" width="2.796875" style="16" customWidth="1"/>
    <col min="12" max="12" width="7.69921875" style="16" customWidth="1"/>
    <col min="13" max="13" width="6.69921875" style="16" customWidth="1"/>
    <col min="14" max="14" width="8.796875" style="16" customWidth="1"/>
    <col min="15" max="15" width="7.796875" style="5" customWidth="1"/>
    <col min="16" max="16" width="8.69921875" style="5" customWidth="1"/>
    <col min="17" max="17" width="9.19921875" style="5" customWidth="1"/>
    <col min="18" max="18" width="8.796875" style="5" customWidth="1"/>
    <col min="19" max="19" width="2.59765625" style="5" customWidth="1"/>
    <col min="20" max="20" width="8.69921875" style="5" customWidth="1"/>
    <col min="21" max="21" width="10.8984375" style="5" customWidth="1"/>
    <col min="22" max="22" width="2.796875" style="5" customWidth="1"/>
    <col min="23" max="23" width="12.19921875" style="34" customWidth="1"/>
    <col min="24" max="24" width="7.59765625" style="5" bestFit="1" customWidth="1"/>
    <col min="25" max="25" width="8.8984375" style="5" customWidth="1"/>
    <col min="26" max="26" width="7.19921875" style="5" bestFit="1" customWidth="1"/>
    <col min="27" max="27" width="8.69921875" style="5" customWidth="1"/>
    <col min="28" max="28" width="9.8984375" style="5" customWidth="1"/>
    <col min="29" max="29" width="9.5" style="5" customWidth="1"/>
    <col min="30" max="30" width="2.796875" style="5" customWidth="1"/>
    <col min="31" max="31" width="7.69921875" style="5" customWidth="1"/>
    <col min="32" max="32" width="9.796875" style="5" customWidth="1"/>
    <col min="33" max="33" width="13.3984375" customWidth="1"/>
    <col min="34" max="34" width="12.09765625" customWidth="1"/>
    <col min="35" max="35" width="8.796875" customWidth="1"/>
    <col min="36" max="1024" width="13.3984375" customWidth="1"/>
  </cols>
  <sheetData>
    <row r="1" spans="1:37" ht="15" customHeight="1">
      <c r="F1" s="28"/>
    </row>
    <row r="2" spans="1:37" ht="15" customHeight="1">
      <c r="A2" s="279" t="s">
        <v>281</v>
      </c>
      <c r="B2" s="284" t="s">
        <v>282</v>
      </c>
      <c r="C2" s="83"/>
      <c r="D2" s="83"/>
      <c r="E2" s="83"/>
      <c r="F2" s="191"/>
      <c r="I2" s="66" t="s">
        <v>423</v>
      </c>
    </row>
    <row r="3" spans="1:37" ht="15" customHeight="1">
      <c r="A3" s="279" t="s">
        <v>283</v>
      </c>
      <c r="B3" s="284" t="s">
        <v>284</v>
      </c>
      <c r="C3" s="83"/>
      <c r="D3" s="83"/>
      <c r="E3" s="83"/>
      <c r="F3" s="191"/>
      <c r="I3" s="67" t="s">
        <v>391</v>
      </c>
    </row>
    <row r="4" spans="1:37" ht="15" customHeight="1">
      <c r="A4" s="83"/>
      <c r="B4" s="285" t="s">
        <v>636</v>
      </c>
      <c r="C4" s="83"/>
      <c r="D4" s="83"/>
      <c r="E4" s="83"/>
      <c r="F4" s="191"/>
      <c r="I4" s="68" t="s">
        <v>392</v>
      </c>
    </row>
    <row r="5" spans="1:37" ht="15" customHeight="1">
      <c r="F5" s="28"/>
      <c r="I5" s="70" t="s">
        <v>442</v>
      </c>
    </row>
    <row r="6" spans="1:37" ht="15" customHeight="1">
      <c r="I6" s="71" t="s">
        <v>526</v>
      </c>
    </row>
    <row r="7" spans="1:37" ht="13.8">
      <c r="B7" s="44"/>
      <c r="L7" s="44"/>
      <c r="M7" s="44"/>
      <c r="T7" s="47"/>
      <c r="U7" s="47"/>
      <c r="W7" s="48"/>
      <c r="AE7" s="47"/>
      <c r="AF7" s="47"/>
    </row>
    <row r="8" spans="1:37" ht="13.8">
      <c r="B8" s="273" t="s">
        <v>35</v>
      </c>
      <c r="C8" s="191"/>
      <c r="D8" s="191"/>
      <c r="E8" s="191"/>
      <c r="F8" s="191"/>
      <c r="G8" s="191"/>
      <c r="H8" s="191"/>
      <c r="I8" s="191"/>
      <c r="J8" s="191"/>
      <c r="K8" s="191"/>
      <c r="L8" s="273" t="s">
        <v>36</v>
      </c>
      <c r="M8" s="273"/>
      <c r="N8" s="191"/>
      <c r="O8" s="191"/>
      <c r="P8" s="191"/>
      <c r="Q8" s="191"/>
      <c r="R8" s="191"/>
      <c r="S8" s="191"/>
      <c r="T8" s="273" t="s">
        <v>33</v>
      </c>
      <c r="U8" s="273"/>
      <c r="V8" s="191"/>
      <c r="W8" s="275" t="s">
        <v>37</v>
      </c>
      <c r="X8" s="191"/>
      <c r="Y8" s="191"/>
      <c r="Z8" s="191"/>
      <c r="AA8" s="191"/>
      <c r="AB8" s="191"/>
      <c r="AC8" s="191"/>
      <c r="AD8" s="191"/>
      <c r="AE8" s="273" t="s">
        <v>34</v>
      </c>
      <c r="AF8" s="273"/>
    </row>
    <row r="9" spans="1:37" ht="15" customHeight="1">
      <c r="A9" s="16" t="s">
        <v>351</v>
      </c>
    </row>
    <row r="10" spans="1:37" ht="14.4">
      <c r="A10" s="16" t="s">
        <v>344</v>
      </c>
      <c r="B10" s="79" t="s">
        <v>38</v>
      </c>
      <c r="C10" s="79" t="s">
        <v>39</v>
      </c>
      <c r="D10" s="79" t="s">
        <v>40</v>
      </c>
      <c r="E10" s="79" t="s">
        <v>41</v>
      </c>
      <c r="F10" s="79" t="s">
        <v>42</v>
      </c>
      <c r="G10" s="79" t="s">
        <v>43</v>
      </c>
      <c r="H10" s="79" t="s">
        <v>44</v>
      </c>
      <c r="I10" s="79" t="s">
        <v>45</v>
      </c>
      <c r="J10" s="79" t="s">
        <v>46</v>
      </c>
      <c r="K10" s="83"/>
      <c r="L10" s="81" t="s">
        <v>39</v>
      </c>
      <c r="M10" s="82" t="s">
        <v>40</v>
      </c>
      <c r="N10" s="82" t="s">
        <v>47</v>
      </c>
      <c r="O10" s="82" t="s">
        <v>48</v>
      </c>
      <c r="P10" s="82" t="s">
        <v>44</v>
      </c>
      <c r="Q10" s="82" t="s">
        <v>49</v>
      </c>
      <c r="R10" s="82" t="s">
        <v>46</v>
      </c>
      <c r="S10" s="83"/>
      <c r="T10" s="84" t="s">
        <v>39</v>
      </c>
      <c r="U10" s="84" t="s">
        <v>47</v>
      </c>
      <c r="V10" s="83"/>
      <c r="W10" s="88" t="s">
        <v>39</v>
      </c>
      <c r="X10" s="88" t="s">
        <v>41</v>
      </c>
      <c r="Y10" s="88" t="s">
        <v>42</v>
      </c>
      <c r="Z10" s="88" t="s">
        <v>43</v>
      </c>
      <c r="AA10" s="88" t="s">
        <v>44</v>
      </c>
      <c r="AB10" s="88" t="s">
        <v>45</v>
      </c>
      <c r="AC10" s="88" t="s">
        <v>46</v>
      </c>
      <c r="AD10" s="83"/>
      <c r="AE10" s="84" t="s">
        <v>39</v>
      </c>
      <c r="AF10" s="84" t="s">
        <v>47</v>
      </c>
      <c r="AG10" s="83"/>
      <c r="AH10" s="83"/>
      <c r="AI10" s="83"/>
      <c r="AJ10" s="83"/>
      <c r="AK10" s="83"/>
    </row>
    <row r="11" spans="1:37" ht="14.4">
      <c r="B11" s="79"/>
      <c r="C11" s="79" t="s">
        <v>50</v>
      </c>
      <c r="D11" s="79"/>
      <c r="E11" s="79" t="s">
        <v>51</v>
      </c>
      <c r="F11" s="79" t="s">
        <v>52</v>
      </c>
      <c r="G11" s="79" t="s">
        <v>51</v>
      </c>
      <c r="H11" s="79" t="s">
        <v>51</v>
      </c>
      <c r="I11" s="79" t="s">
        <v>51</v>
      </c>
      <c r="J11" s="79" t="s">
        <v>51</v>
      </c>
      <c r="K11" s="83"/>
      <c r="L11" s="81" t="s">
        <v>53</v>
      </c>
      <c r="M11" s="82"/>
      <c r="N11" s="82"/>
      <c r="O11" s="82" t="s">
        <v>51</v>
      </c>
      <c r="P11" s="82" t="s">
        <v>51</v>
      </c>
      <c r="Q11" s="82" t="s">
        <v>51</v>
      </c>
      <c r="R11" s="82" t="s">
        <v>51</v>
      </c>
      <c r="S11" s="83"/>
      <c r="T11" s="84"/>
      <c r="U11" s="84" t="s">
        <v>52</v>
      </c>
      <c r="V11" s="83"/>
      <c r="W11" s="88" t="s">
        <v>54</v>
      </c>
      <c r="X11" s="88" t="s">
        <v>51</v>
      </c>
      <c r="Y11" s="88" t="s">
        <v>52</v>
      </c>
      <c r="Z11" s="88" t="s">
        <v>51</v>
      </c>
      <c r="AA11" s="88" t="s">
        <v>51</v>
      </c>
      <c r="AB11" s="88" t="s">
        <v>51</v>
      </c>
      <c r="AC11" s="88" t="s">
        <v>51</v>
      </c>
      <c r="AD11" s="83"/>
      <c r="AE11" s="84"/>
      <c r="AF11" s="84" t="s">
        <v>52</v>
      </c>
      <c r="AG11" s="83"/>
      <c r="AH11" s="83"/>
      <c r="AI11" s="83"/>
      <c r="AJ11" s="83"/>
      <c r="AK11" s="83"/>
    </row>
    <row r="12" spans="1:37" s="11" customFormat="1" ht="14.4">
      <c r="A12" s="18"/>
      <c r="B12" s="138" t="s">
        <v>59</v>
      </c>
      <c r="C12" s="162" t="s">
        <v>24</v>
      </c>
      <c r="D12" s="108">
        <v>1</v>
      </c>
      <c r="E12" s="108" t="s">
        <v>57</v>
      </c>
      <c r="F12" s="108" t="s">
        <v>57</v>
      </c>
      <c r="G12" s="162">
        <v>40.909999999999997</v>
      </c>
      <c r="H12" s="92"/>
      <c r="I12" s="108">
        <f t="shared" ref="I12:I25" si="0">(G12-H12)</f>
        <v>40.909999999999997</v>
      </c>
      <c r="J12" s="108">
        <f t="shared" ref="J12:J25" si="1">I12*D12</f>
        <v>40.909999999999997</v>
      </c>
      <c r="K12" s="90"/>
      <c r="L12" s="162" t="s">
        <v>24</v>
      </c>
      <c r="M12" s="108">
        <v>1</v>
      </c>
      <c r="N12" s="162">
        <v>26.71</v>
      </c>
      <c r="O12" s="123">
        <v>3.9</v>
      </c>
      <c r="P12" s="92"/>
      <c r="Q12" s="92"/>
      <c r="R12" s="108">
        <f t="shared" ref="R12:R25" si="2">(N12*O12-P12)*M12</f>
        <v>104.169</v>
      </c>
      <c r="S12" s="110"/>
      <c r="T12" s="108" t="s">
        <v>20</v>
      </c>
      <c r="U12" s="92">
        <f>N12*M12</f>
        <v>26.71</v>
      </c>
      <c r="V12" s="90"/>
      <c r="W12" s="162" t="s">
        <v>20</v>
      </c>
      <c r="X12" s="108" t="str">
        <f t="shared" ref="X12:X25" si="3">E12</f>
        <v>cad</v>
      </c>
      <c r="Y12" s="108" t="str">
        <f t="shared" ref="Y12:Y25" si="4">F12</f>
        <v>cad</v>
      </c>
      <c r="Z12" s="108">
        <f t="shared" ref="Z12:Z25" si="5">G12</f>
        <v>40.909999999999997</v>
      </c>
      <c r="AA12" s="108">
        <f t="shared" ref="AA12:AA25" si="6">H12</f>
        <v>0</v>
      </c>
      <c r="AB12" s="108">
        <f t="shared" ref="AB12:AB25" si="7">I12</f>
        <v>40.909999999999997</v>
      </c>
      <c r="AC12" s="108">
        <f t="shared" ref="AC12:AC25" si="8">J12</f>
        <v>40.909999999999997</v>
      </c>
      <c r="AD12" s="90"/>
      <c r="AE12" s="92"/>
      <c r="AF12" s="194"/>
      <c r="AG12" s="90"/>
      <c r="AH12" s="90"/>
      <c r="AI12" s="90"/>
      <c r="AJ12" s="90"/>
      <c r="AK12" s="90"/>
    </row>
    <row r="13" spans="1:37" s="11" customFormat="1" ht="14.4">
      <c r="A13" s="18"/>
      <c r="B13" s="138"/>
      <c r="C13" s="162" t="s">
        <v>24</v>
      </c>
      <c r="D13" s="108">
        <v>1</v>
      </c>
      <c r="E13" s="108" t="s">
        <v>57</v>
      </c>
      <c r="F13" s="108" t="s">
        <v>57</v>
      </c>
      <c r="G13" s="162">
        <v>9.7100000000000009</v>
      </c>
      <c r="H13" s="92"/>
      <c r="I13" s="108">
        <f t="shared" ref="I13" si="9">(G13-H13)</f>
        <v>9.7100000000000009</v>
      </c>
      <c r="J13" s="108">
        <f t="shared" ref="J13" si="10">I13*D13</f>
        <v>9.7100000000000009</v>
      </c>
      <c r="K13" s="90"/>
      <c r="L13" s="256"/>
      <c r="M13" s="108"/>
      <c r="N13" s="162"/>
      <c r="O13" s="95"/>
      <c r="P13" s="92"/>
      <c r="Q13" s="92"/>
      <c r="R13" s="108"/>
      <c r="S13" s="110"/>
      <c r="T13" s="108"/>
      <c r="U13" s="92"/>
      <c r="V13" s="90"/>
      <c r="W13" s="162"/>
      <c r="X13" s="108"/>
      <c r="Y13" s="108"/>
      <c r="Z13" s="108"/>
      <c r="AA13" s="108"/>
      <c r="AB13" s="108"/>
      <c r="AC13" s="108"/>
      <c r="AD13" s="90"/>
      <c r="AE13" s="92"/>
      <c r="AF13" s="194"/>
      <c r="AG13" s="90"/>
      <c r="AH13" s="90"/>
      <c r="AI13" s="90"/>
      <c r="AJ13" s="90"/>
      <c r="AK13" s="90"/>
    </row>
    <row r="14" spans="1:37" s="13" customFormat="1" ht="14.4">
      <c r="A14" s="36"/>
      <c r="B14" s="257" t="s">
        <v>108</v>
      </c>
      <c r="C14" s="258"/>
      <c r="D14" s="258"/>
      <c r="E14" s="258"/>
      <c r="F14" s="258"/>
      <c r="G14" s="258"/>
      <c r="H14" s="257"/>
      <c r="I14" s="108"/>
      <c r="J14" s="108"/>
      <c r="K14" s="259"/>
      <c r="L14" s="260"/>
      <c r="M14" s="108"/>
      <c r="N14" s="258"/>
      <c r="O14" s="258"/>
      <c r="P14" s="257"/>
      <c r="Q14" s="257"/>
      <c r="R14" s="108"/>
      <c r="S14" s="110"/>
      <c r="T14" s="108"/>
      <c r="U14" s="108"/>
      <c r="V14" s="90"/>
      <c r="W14" s="258"/>
      <c r="X14" s="108"/>
      <c r="Y14" s="108"/>
      <c r="Z14" s="108"/>
      <c r="AA14" s="108"/>
      <c r="AB14" s="108"/>
      <c r="AC14" s="108"/>
      <c r="AD14" s="259"/>
      <c r="AE14" s="92"/>
      <c r="AF14" s="194"/>
      <c r="AG14" s="259"/>
      <c r="AH14" s="259"/>
      <c r="AI14" s="259"/>
      <c r="AJ14" s="259"/>
      <c r="AK14" s="259"/>
    </row>
    <row r="15" spans="1:37" s="13" customFormat="1" ht="14.4">
      <c r="A15" s="36"/>
      <c r="B15" s="257" t="s">
        <v>109</v>
      </c>
      <c r="C15" s="258"/>
      <c r="D15" s="258"/>
      <c r="E15" s="258"/>
      <c r="F15" s="258"/>
      <c r="G15" s="258"/>
      <c r="H15" s="257"/>
      <c r="I15" s="108"/>
      <c r="J15" s="108"/>
      <c r="K15" s="259"/>
      <c r="L15" s="260"/>
      <c r="M15" s="108"/>
      <c r="N15" s="258"/>
      <c r="O15" s="258"/>
      <c r="P15" s="257"/>
      <c r="Q15" s="257"/>
      <c r="R15" s="108"/>
      <c r="S15" s="110"/>
      <c r="T15" s="108"/>
      <c r="U15" s="108"/>
      <c r="V15" s="90"/>
      <c r="W15" s="258"/>
      <c r="X15" s="108"/>
      <c r="Y15" s="108"/>
      <c r="Z15" s="108"/>
      <c r="AA15" s="108"/>
      <c r="AB15" s="108"/>
      <c r="AC15" s="108"/>
      <c r="AD15" s="259"/>
      <c r="AE15" s="92"/>
      <c r="AF15" s="194"/>
      <c r="AG15" s="259"/>
      <c r="AH15" s="259"/>
      <c r="AI15" s="259"/>
      <c r="AJ15" s="259"/>
      <c r="AK15" s="259"/>
    </row>
    <row r="16" spans="1:37" s="11" customFormat="1" ht="14.4">
      <c r="A16" s="18"/>
      <c r="B16" s="138" t="s">
        <v>126</v>
      </c>
      <c r="C16" s="162" t="s">
        <v>28</v>
      </c>
      <c r="D16" s="108">
        <v>1</v>
      </c>
      <c r="E16" s="108" t="s">
        <v>57</v>
      </c>
      <c r="F16" s="108" t="s">
        <v>57</v>
      </c>
      <c r="G16" s="145">
        <v>3.44</v>
      </c>
      <c r="H16" s="92"/>
      <c r="I16" s="108">
        <f t="shared" ref="I16" si="11">(G16-H16)</f>
        <v>3.44</v>
      </c>
      <c r="J16" s="108">
        <f t="shared" ref="J16" si="12">I16*D16</f>
        <v>3.44</v>
      </c>
      <c r="K16" s="90"/>
      <c r="L16" s="162" t="s">
        <v>21</v>
      </c>
      <c r="M16" s="108">
        <v>1</v>
      </c>
      <c r="N16" s="145">
        <v>7.9</v>
      </c>
      <c r="O16" s="123">
        <v>2.7</v>
      </c>
      <c r="P16" s="92"/>
      <c r="Q16" s="92"/>
      <c r="R16" s="108">
        <f t="shared" ref="R16" si="13">(N16*O16-P16)*M16</f>
        <v>21.330000000000002</v>
      </c>
      <c r="S16" s="110"/>
      <c r="T16" s="108" t="s">
        <v>22</v>
      </c>
      <c r="U16" s="163">
        <f>N16*M16</f>
        <v>7.9</v>
      </c>
      <c r="V16" s="90"/>
      <c r="W16" s="162" t="s">
        <v>17</v>
      </c>
      <c r="X16" s="108" t="str">
        <f t="shared" ref="X16" si="14">E16</f>
        <v>cad</v>
      </c>
      <c r="Y16" s="108" t="str">
        <f t="shared" ref="Y16" si="15">F16</f>
        <v>cad</v>
      </c>
      <c r="Z16" s="108">
        <f t="shared" ref="Z16" si="16">G16</f>
        <v>3.44</v>
      </c>
      <c r="AA16" s="108">
        <f t="shared" ref="AA16" si="17">H16</f>
        <v>0</v>
      </c>
      <c r="AB16" s="108">
        <f t="shared" ref="AB16" si="18">I16</f>
        <v>3.44</v>
      </c>
      <c r="AC16" s="108">
        <f t="shared" ref="AC16" si="19">J16</f>
        <v>3.44</v>
      </c>
      <c r="AD16" s="90"/>
      <c r="AE16" s="92" t="s">
        <v>17</v>
      </c>
      <c r="AF16" s="194">
        <f>N16*M16</f>
        <v>7.9</v>
      </c>
      <c r="AG16" s="90"/>
      <c r="AH16" s="90"/>
      <c r="AI16" s="90"/>
      <c r="AJ16" s="90"/>
      <c r="AK16" s="90"/>
    </row>
    <row r="17" spans="1:37" s="11" customFormat="1" ht="14.4">
      <c r="A17" s="18"/>
      <c r="B17" s="138" t="s">
        <v>139</v>
      </c>
      <c r="C17" s="162" t="s">
        <v>28</v>
      </c>
      <c r="D17" s="108">
        <v>1</v>
      </c>
      <c r="E17" s="108" t="s">
        <v>57</v>
      </c>
      <c r="F17" s="108" t="s">
        <v>57</v>
      </c>
      <c r="G17" s="145">
        <v>14.32</v>
      </c>
      <c r="H17" s="92"/>
      <c r="I17" s="108">
        <f t="shared" si="0"/>
        <v>14.32</v>
      </c>
      <c r="J17" s="108">
        <f t="shared" si="1"/>
        <v>14.32</v>
      </c>
      <c r="K17" s="90"/>
      <c r="L17" s="162" t="s">
        <v>21</v>
      </c>
      <c r="M17" s="108">
        <v>1</v>
      </c>
      <c r="N17" s="145">
        <v>16.5</v>
      </c>
      <c r="O17" s="123">
        <v>2.7</v>
      </c>
      <c r="P17" s="92"/>
      <c r="Q17" s="92"/>
      <c r="R17" s="108">
        <f t="shared" si="2"/>
        <v>44.550000000000004</v>
      </c>
      <c r="S17" s="110"/>
      <c r="T17" s="108" t="s">
        <v>22</v>
      </c>
      <c r="U17" s="163">
        <f>N17*M17</f>
        <v>16.5</v>
      </c>
      <c r="V17" s="90"/>
      <c r="W17" s="162" t="s">
        <v>17</v>
      </c>
      <c r="X17" s="108" t="str">
        <f t="shared" si="3"/>
        <v>cad</v>
      </c>
      <c r="Y17" s="108" t="str">
        <f t="shared" si="4"/>
        <v>cad</v>
      </c>
      <c r="Z17" s="108">
        <f t="shared" si="5"/>
        <v>14.32</v>
      </c>
      <c r="AA17" s="108">
        <f t="shared" si="6"/>
        <v>0</v>
      </c>
      <c r="AB17" s="108">
        <f t="shared" si="7"/>
        <v>14.32</v>
      </c>
      <c r="AC17" s="108">
        <f t="shared" si="8"/>
        <v>14.32</v>
      </c>
      <c r="AD17" s="90"/>
      <c r="AE17" s="92" t="s">
        <v>357</v>
      </c>
      <c r="AF17" s="194">
        <f>N17*M17</f>
        <v>16.5</v>
      </c>
      <c r="AG17" s="90"/>
      <c r="AH17" s="90"/>
      <c r="AI17" s="90"/>
      <c r="AJ17" s="90"/>
      <c r="AK17" s="90"/>
    </row>
    <row r="18" spans="1:37" s="11" customFormat="1" ht="14.4">
      <c r="A18" s="18"/>
      <c r="B18" s="92" t="s">
        <v>121</v>
      </c>
      <c r="C18" s="108"/>
      <c r="D18" s="108"/>
      <c r="E18" s="108"/>
      <c r="F18" s="108"/>
      <c r="G18" s="108"/>
      <c r="H18" s="92"/>
      <c r="I18" s="108"/>
      <c r="J18" s="108"/>
      <c r="K18" s="90"/>
      <c r="L18" s="261"/>
      <c r="M18" s="108"/>
      <c r="N18" s="108"/>
      <c r="O18" s="108"/>
      <c r="P18" s="92"/>
      <c r="Q18" s="92"/>
      <c r="R18" s="108"/>
      <c r="S18" s="110"/>
      <c r="T18" s="108"/>
      <c r="U18" s="108"/>
      <c r="V18" s="90"/>
      <c r="W18" s="108"/>
      <c r="X18" s="108"/>
      <c r="Y18" s="108"/>
      <c r="Z18" s="108"/>
      <c r="AA18" s="108"/>
      <c r="AB18" s="108"/>
      <c r="AC18" s="108"/>
      <c r="AD18" s="90"/>
      <c r="AE18" s="92"/>
      <c r="AF18" s="194"/>
      <c r="AG18" s="90"/>
      <c r="AH18" s="90"/>
      <c r="AI18" s="90"/>
      <c r="AJ18" s="90"/>
      <c r="AK18" s="90"/>
    </row>
    <row r="19" spans="1:37" s="11" customFormat="1" ht="14.4">
      <c r="A19" s="18"/>
      <c r="B19" s="92" t="s">
        <v>122</v>
      </c>
      <c r="C19" s="108"/>
      <c r="D19" s="108"/>
      <c r="E19" s="108"/>
      <c r="F19" s="108"/>
      <c r="G19" s="108"/>
      <c r="H19" s="92"/>
      <c r="I19" s="108"/>
      <c r="J19" s="108"/>
      <c r="K19" s="90"/>
      <c r="L19" s="261"/>
      <c r="M19" s="108"/>
      <c r="N19" s="108"/>
      <c r="O19" s="108"/>
      <c r="P19" s="92"/>
      <c r="Q19" s="92"/>
      <c r="R19" s="108"/>
      <c r="S19" s="110"/>
      <c r="T19" s="108"/>
      <c r="U19" s="108"/>
      <c r="V19" s="90"/>
      <c r="W19" s="108"/>
      <c r="X19" s="108"/>
      <c r="Y19" s="108"/>
      <c r="Z19" s="108"/>
      <c r="AA19" s="108"/>
      <c r="AB19" s="108"/>
      <c r="AC19" s="108"/>
      <c r="AD19" s="90"/>
      <c r="AE19" s="92"/>
      <c r="AF19" s="194"/>
      <c r="AG19" s="90"/>
      <c r="AH19" s="90"/>
      <c r="AI19" s="90"/>
      <c r="AJ19" s="90"/>
      <c r="AK19" s="90"/>
    </row>
    <row r="20" spans="1:37" s="11" customFormat="1" ht="14.4">
      <c r="A20" s="18"/>
      <c r="B20" s="138" t="s">
        <v>73</v>
      </c>
      <c r="C20" s="162" t="s">
        <v>17</v>
      </c>
      <c r="D20" s="108">
        <v>1</v>
      </c>
      <c r="E20" s="108" t="s">
        <v>57</v>
      </c>
      <c r="F20" s="108" t="s">
        <v>57</v>
      </c>
      <c r="G20" s="145">
        <v>15.88</v>
      </c>
      <c r="H20" s="92"/>
      <c r="I20" s="108">
        <f t="shared" si="0"/>
        <v>15.88</v>
      </c>
      <c r="J20" s="108">
        <f t="shared" si="1"/>
        <v>15.88</v>
      </c>
      <c r="K20" s="90"/>
      <c r="L20" s="162" t="s">
        <v>17</v>
      </c>
      <c r="M20" s="108">
        <v>1</v>
      </c>
      <c r="N20" s="145">
        <v>21.9</v>
      </c>
      <c r="O20" s="123">
        <v>2.8</v>
      </c>
      <c r="P20" s="92"/>
      <c r="Q20" s="92"/>
      <c r="R20" s="108">
        <f t="shared" si="2"/>
        <v>61.319999999999993</v>
      </c>
      <c r="S20" s="110"/>
      <c r="T20" s="108" t="s">
        <v>17</v>
      </c>
      <c r="U20" s="163">
        <f>N20*M20</f>
        <v>21.9</v>
      </c>
      <c r="V20" s="90"/>
      <c r="W20" s="162" t="s">
        <v>17</v>
      </c>
      <c r="X20" s="108" t="str">
        <f t="shared" si="3"/>
        <v>cad</v>
      </c>
      <c r="Y20" s="108" t="str">
        <f t="shared" si="4"/>
        <v>cad</v>
      </c>
      <c r="Z20" s="108">
        <f t="shared" si="5"/>
        <v>15.88</v>
      </c>
      <c r="AA20" s="108">
        <f t="shared" si="6"/>
        <v>0</v>
      </c>
      <c r="AB20" s="108">
        <f t="shared" si="7"/>
        <v>15.88</v>
      </c>
      <c r="AC20" s="108">
        <f t="shared" si="8"/>
        <v>15.88</v>
      </c>
      <c r="AD20" s="90"/>
      <c r="AE20" s="92" t="s">
        <v>357</v>
      </c>
      <c r="AF20" s="194">
        <f>N20*M20</f>
        <v>21.9</v>
      </c>
      <c r="AG20" s="90"/>
      <c r="AH20" s="90"/>
      <c r="AI20" s="90"/>
      <c r="AJ20" s="90"/>
      <c r="AK20" s="90"/>
    </row>
    <row r="21" spans="1:37" s="11" customFormat="1" ht="14.4">
      <c r="A21" s="18"/>
      <c r="B21" s="138"/>
      <c r="C21" s="162"/>
      <c r="D21" s="108"/>
      <c r="E21" s="108"/>
      <c r="F21" s="108"/>
      <c r="G21" s="166"/>
      <c r="H21" s="92"/>
      <c r="I21" s="108"/>
      <c r="J21" s="108"/>
      <c r="K21" s="90"/>
      <c r="L21" s="162"/>
      <c r="M21" s="108"/>
      <c r="N21" s="95"/>
      <c r="O21" s="95"/>
      <c r="P21" s="92"/>
      <c r="Q21" s="92"/>
      <c r="R21" s="108"/>
      <c r="S21" s="110"/>
      <c r="T21" s="108"/>
      <c r="U21" s="163"/>
      <c r="V21" s="90"/>
      <c r="W21" s="162" t="s">
        <v>24</v>
      </c>
      <c r="X21" s="141">
        <f t="shared" si="3"/>
        <v>0</v>
      </c>
      <c r="Y21" s="141">
        <f t="shared" si="4"/>
        <v>0</v>
      </c>
      <c r="Z21" s="141">
        <v>3.13</v>
      </c>
      <c r="AA21" s="95">
        <f t="shared" si="6"/>
        <v>0</v>
      </c>
      <c r="AB21" s="141">
        <f>Z21</f>
        <v>3.13</v>
      </c>
      <c r="AC21" s="141">
        <f>Z21</f>
        <v>3.13</v>
      </c>
      <c r="AD21" s="90"/>
      <c r="AE21" s="92"/>
      <c r="AF21" s="194"/>
      <c r="AG21" s="90"/>
      <c r="AH21" s="90"/>
      <c r="AI21" s="90"/>
      <c r="AJ21" s="90"/>
      <c r="AK21" s="90"/>
    </row>
    <row r="22" spans="1:37" s="11" customFormat="1" ht="14.4">
      <c r="A22" s="18"/>
      <c r="B22" s="138" t="s">
        <v>140</v>
      </c>
      <c r="C22" s="162" t="s">
        <v>22</v>
      </c>
      <c r="D22" s="108">
        <v>1</v>
      </c>
      <c r="E22" s="108" t="s">
        <v>57</v>
      </c>
      <c r="F22" s="108" t="s">
        <v>57</v>
      </c>
      <c r="G22" s="145">
        <v>2.42</v>
      </c>
      <c r="H22" s="92"/>
      <c r="I22" s="108">
        <f t="shared" si="0"/>
        <v>2.42</v>
      </c>
      <c r="J22" s="108">
        <f t="shared" si="1"/>
        <v>2.42</v>
      </c>
      <c r="K22" s="90"/>
      <c r="L22" s="162" t="s">
        <v>22</v>
      </c>
      <c r="M22" s="108">
        <v>1</v>
      </c>
      <c r="N22" s="145">
        <v>6.6</v>
      </c>
      <c r="O22" s="123">
        <v>2.7</v>
      </c>
      <c r="P22" s="92"/>
      <c r="Q22" s="92"/>
      <c r="R22" s="108">
        <f t="shared" si="2"/>
        <v>17.82</v>
      </c>
      <c r="S22" s="110"/>
      <c r="T22" s="108"/>
      <c r="U22" s="108"/>
      <c r="V22" s="90"/>
      <c r="W22" s="162" t="s">
        <v>18</v>
      </c>
      <c r="X22" s="108" t="str">
        <f t="shared" si="3"/>
        <v>cad</v>
      </c>
      <c r="Y22" s="108" t="str">
        <f t="shared" si="4"/>
        <v>cad</v>
      </c>
      <c r="Z22" s="108">
        <f t="shared" si="5"/>
        <v>2.42</v>
      </c>
      <c r="AA22" s="108">
        <f t="shared" si="6"/>
        <v>0</v>
      </c>
      <c r="AB22" s="108">
        <f t="shared" si="7"/>
        <v>2.42</v>
      </c>
      <c r="AC22" s="108">
        <f t="shared" si="8"/>
        <v>2.42</v>
      </c>
      <c r="AD22" s="90"/>
      <c r="AE22" s="92" t="s">
        <v>357</v>
      </c>
      <c r="AF22" s="194">
        <f>N22*M22</f>
        <v>6.6</v>
      </c>
      <c r="AG22" s="90"/>
      <c r="AH22" s="90"/>
      <c r="AI22" s="90"/>
      <c r="AJ22" s="90"/>
      <c r="AK22" s="90"/>
    </row>
    <row r="23" spans="1:37" s="11" customFormat="1" ht="14.4">
      <c r="A23" s="18"/>
      <c r="B23" s="138" t="s">
        <v>141</v>
      </c>
      <c r="C23" s="162" t="s">
        <v>24</v>
      </c>
      <c r="D23" s="108">
        <v>1</v>
      </c>
      <c r="E23" s="108" t="s">
        <v>57</v>
      </c>
      <c r="F23" s="108" t="s">
        <v>57</v>
      </c>
      <c r="G23" s="145">
        <v>7.11</v>
      </c>
      <c r="H23" s="92"/>
      <c r="I23" s="108">
        <f t="shared" si="0"/>
        <v>7.11</v>
      </c>
      <c r="J23" s="108">
        <f t="shared" si="1"/>
        <v>7.11</v>
      </c>
      <c r="K23" s="90"/>
      <c r="L23" s="162" t="s">
        <v>24</v>
      </c>
      <c r="M23" s="108">
        <v>1</v>
      </c>
      <c r="N23" s="145">
        <v>10.67</v>
      </c>
      <c r="O23" s="123">
        <v>2.7</v>
      </c>
      <c r="P23" s="92"/>
      <c r="Q23" s="92"/>
      <c r="R23" s="108">
        <f t="shared" si="2"/>
        <v>28.809000000000001</v>
      </c>
      <c r="S23" s="110"/>
      <c r="T23" s="108" t="s">
        <v>20</v>
      </c>
      <c r="U23" s="92">
        <f>N23*M23</f>
        <v>10.67</v>
      </c>
      <c r="V23" s="90"/>
      <c r="W23" s="162" t="s">
        <v>17</v>
      </c>
      <c r="X23" s="108" t="str">
        <f t="shared" si="3"/>
        <v>cad</v>
      </c>
      <c r="Y23" s="108" t="str">
        <f t="shared" si="4"/>
        <v>cad</v>
      </c>
      <c r="Z23" s="108">
        <f t="shared" si="5"/>
        <v>7.11</v>
      </c>
      <c r="AA23" s="108">
        <f t="shared" si="6"/>
        <v>0</v>
      </c>
      <c r="AB23" s="108">
        <f t="shared" si="7"/>
        <v>7.11</v>
      </c>
      <c r="AC23" s="108">
        <f t="shared" si="8"/>
        <v>7.11</v>
      </c>
      <c r="AD23" s="90"/>
      <c r="AE23" s="92" t="s">
        <v>357</v>
      </c>
      <c r="AF23" s="194">
        <f>N23*M23</f>
        <v>10.67</v>
      </c>
      <c r="AG23" s="90"/>
      <c r="AH23" s="90"/>
      <c r="AI23" s="90"/>
      <c r="AJ23" s="90"/>
      <c r="AK23" s="90"/>
    </row>
    <row r="24" spans="1:37" s="11" customFormat="1" ht="14.4">
      <c r="A24" s="18"/>
      <c r="B24" s="138"/>
      <c r="C24" s="162"/>
      <c r="D24" s="108"/>
      <c r="E24" s="108"/>
      <c r="F24" s="108"/>
      <c r="G24" s="166"/>
      <c r="H24" s="92"/>
      <c r="I24" s="108"/>
      <c r="J24" s="108"/>
      <c r="K24" s="90"/>
      <c r="L24" s="162"/>
      <c r="M24" s="108"/>
      <c r="N24" s="95"/>
      <c r="O24" s="95"/>
      <c r="P24" s="92"/>
      <c r="Q24" s="92"/>
      <c r="R24" s="108"/>
      <c r="S24" s="110"/>
      <c r="T24" s="108"/>
      <c r="U24" s="92"/>
      <c r="V24" s="90"/>
      <c r="W24" s="162" t="s">
        <v>24</v>
      </c>
      <c r="X24" s="141">
        <f t="shared" ref="X24" si="20">E24</f>
        <v>0</v>
      </c>
      <c r="Y24" s="141">
        <f t="shared" ref="Y24" si="21">F24</f>
        <v>0</v>
      </c>
      <c r="Z24" s="141">
        <v>1.56</v>
      </c>
      <c r="AA24" s="108">
        <f t="shared" ref="AA24" si="22">H24</f>
        <v>0</v>
      </c>
      <c r="AB24" s="141">
        <f>Z24</f>
        <v>1.56</v>
      </c>
      <c r="AC24" s="141">
        <f>Z24</f>
        <v>1.56</v>
      </c>
      <c r="AD24" s="90"/>
      <c r="AE24" s="92"/>
      <c r="AF24" s="194"/>
      <c r="AG24" s="90"/>
      <c r="AH24" s="90"/>
      <c r="AI24" s="90"/>
      <c r="AJ24" s="90"/>
      <c r="AK24" s="90"/>
    </row>
    <row r="25" spans="1:37" s="11" customFormat="1" ht="14.4">
      <c r="A25" s="18"/>
      <c r="B25" s="138" t="s">
        <v>123</v>
      </c>
      <c r="C25" s="162" t="s">
        <v>22</v>
      </c>
      <c r="D25" s="108">
        <v>1</v>
      </c>
      <c r="E25" s="108" t="s">
        <v>57</v>
      </c>
      <c r="F25" s="108" t="s">
        <v>57</v>
      </c>
      <c r="G25" s="145">
        <v>3.24</v>
      </c>
      <c r="H25" s="92"/>
      <c r="I25" s="108">
        <f t="shared" si="0"/>
        <v>3.24</v>
      </c>
      <c r="J25" s="108">
        <f t="shared" si="1"/>
        <v>3.24</v>
      </c>
      <c r="K25" s="90"/>
      <c r="L25" s="162" t="s">
        <v>22</v>
      </c>
      <c r="M25" s="108">
        <v>1</v>
      </c>
      <c r="N25" s="145">
        <v>7.35</v>
      </c>
      <c r="O25" s="123">
        <v>2.7</v>
      </c>
      <c r="P25" s="92"/>
      <c r="Q25" s="92"/>
      <c r="R25" s="108">
        <f t="shared" si="2"/>
        <v>19.844999999999999</v>
      </c>
      <c r="S25" s="110"/>
      <c r="T25" s="108"/>
      <c r="U25" s="108"/>
      <c r="V25" s="90"/>
      <c r="W25" s="162" t="s">
        <v>18</v>
      </c>
      <c r="X25" s="108" t="str">
        <f t="shared" si="3"/>
        <v>cad</v>
      </c>
      <c r="Y25" s="108" t="str">
        <f t="shared" si="4"/>
        <v>cad</v>
      </c>
      <c r="Z25" s="108">
        <f t="shared" si="5"/>
        <v>3.24</v>
      </c>
      <c r="AA25" s="108">
        <f t="shared" si="6"/>
        <v>0</v>
      </c>
      <c r="AB25" s="108">
        <f t="shared" si="7"/>
        <v>3.24</v>
      </c>
      <c r="AC25" s="108">
        <f t="shared" si="8"/>
        <v>3.24</v>
      </c>
      <c r="AD25" s="90"/>
      <c r="AE25" s="92" t="s">
        <v>357</v>
      </c>
      <c r="AF25" s="194">
        <f t="shared" ref="AF25:AF32" si="23">N25*M25</f>
        <v>7.35</v>
      </c>
      <c r="AG25" s="90"/>
      <c r="AH25" s="90"/>
      <c r="AI25" s="90"/>
      <c r="AJ25" s="90"/>
      <c r="AK25" s="90"/>
    </row>
    <row r="26" spans="1:37" s="11" customFormat="1" ht="14.4">
      <c r="A26" s="18"/>
      <c r="B26" s="138" t="s">
        <v>119</v>
      </c>
      <c r="C26" s="162" t="s">
        <v>22</v>
      </c>
      <c r="D26" s="108">
        <v>1</v>
      </c>
      <c r="E26" s="108" t="s">
        <v>57</v>
      </c>
      <c r="F26" s="108" t="s">
        <v>57</v>
      </c>
      <c r="G26" s="145">
        <v>8.0399999999999991</v>
      </c>
      <c r="H26" s="92"/>
      <c r="I26" s="108">
        <f t="shared" ref="I26:I98" si="24">(G26-H26)</f>
        <v>8.0399999999999991</v>
      </c>
      <c r="J26" s="108">
        <f t="shared" ref="J26:J98" si="25">I26*D26</f>
        <v>8.0399999999999991</v>
      </c>
      <c r="K26" s="90"/>
      <c r="L26" s="162" t="s">
        <v>22</v>
      </c>
      <c r="M26" s="108">
        <v>1</v>
      </c>
      <c r="N26" s="145">
        <v>11.5</v>
      </c>
      <c r="O26" s="123">
        <v>2.7</v>
      </c>
      <c r="P26" s="92"/>
      <c r="Q26" s="92"/>
      <c r="R26" s="108">
        <f t="shared" ref="R26:R98" si="26">(N26*O26-P26)*M26</f>
        <v>31.05</v>
      </c>
      <c r="S26" s="110"/>
      <c r="T26" s="108"/>
      <c r="U26" s="108"/>
      <c r="V26" s="90"/>
      <c r="W26" s="162" t="s">
        <v>18</v>
      </c>
      <c r="X26" s="108" t="str">
        <f t="shared" ref="X26:X98" si="27">E26</f>
        <v>cad</v>
      </c>
      <c r="Y26" s="108" t="str">
        <f t="shared" ref="Y26:Y98" si="28">F26</f>
        <v>cad</v>
      </c>
      <c r="Z26" s="108">
        <f t="shared" ref="Z26:Z98" si="29">G26</f>
        <v>8.0399999999999991</v>
      </c>
      <c r="AA26" s="108">
        <f t="shared" ref="AA26:AA98" si="30">H26</f>
        <v>0</v>
      </c>
      <c r="AB26" s="108">
        <f t="shared" ref="AB26:AB98" si="31">I26</f>
        <v>8.0399999999999991</v>
      </c>
      <c r="AC26" s="108">
        <f t="shared" ref="AC26:AC98" si="32">J26</f>
        <v>8.0399999999999991</v>
      </c>
      <c r="AD26" s="90"/>
      <c r="AE26" s="92" t="s">
        <v>357</v>
      </c>
      <c r="AF26" s="194">
        <f t="shared" si="23"/>
        <v>11.5</v>
      </c>
      <c r="AG26" s="90"/>
      <c r="AH26" s="90"/>
      <c r="AI26" s="90"/>
      <c r="AJ26" s="90"/>
      <c r="AK26" s="90"/>
    </row>
    <row r="27" spans="1:37" s="11" customFormat="1" ht="14.4">
      <c r="A27" s="18"/>
      <c r="B27" s="201" t="s">
        <v>119</v>
      </c>
      <c r="C27" s="162" t="s">
        <v>22</v>
      </c>
      <c r="D27" s="108">
        <v>1</v>
      </c>
      <c r="E27" s="108" t="s">
        <v>57</v>
      </c>
      <c r="F27" s="108" t="s">
        <v>57</v>
      </c>
      <c r="G27" s="169">
        <v>8.27</v>
      </c>
      <c r="H27" s="92"/>
      <c r="I27" s="108">
        <f t="shared" ref="I27" si="33">(G27-H27)</f>
        <v>8.27</v>
      </c>
      <c r="J27" s="108">
        <f t="shared" ref="J27" si="34">I27*D27</f>
        <v>8.27</v>
      </c>
      <c r="K27" s="90"/>
      <c r="L27" s="162" t="s">
        <v>22</v>
      </c>
      <c r="M27" s="108">
        <v>1</v>
      </c>
      <c r="N27" s="169">
        <v>11.69</v>
      </c>
      <c r="O27" s="168">
        <v>2.7</v>
      </c>
      <c r="P27" s="92"/>
      <c r="Q27" s="92"/>
      <c r="R27" s="108">
        <f t="shared" si="26"/>
        <v>31.563000000000002</v>
      </c>
      <c r="S27" s="110"/>
      <c r="T27" s="108"/>
      <c r="U27" s="108"/>
      <c r="V27" s="90"/>
      <c r="W27" s="162" t="s">
        <v>18</v>
      </c>
      <c r="X27" s="108" t="str">
        <f t="shared" ref="X27" si="35">E27</f>
        <v>cad</v>
      </c>
      <c r="Y27" s="108" t="str">
        <f t="shared" ref="Y27" si="36">F27</f>
        <v>cad</v>
      </c>
      <c r="Z27" s="108">
        <f t="shared" ref="Z27" si="37">G27</f>
        <v>8.27</v>
      </c>
      <c r="AA27" s="108">
        <f t="shared" ref="AA27" si="38">H27</f>
        <v>0</v>
      </c>
      <c r="AB27" s="108">
        <f t="shared" ref="AB27" si="39">I27</f>
        <v>8.27</v>
      </c>
      <c r="AC27" s="108">
        <f t="shared" ref="AC27" si="40">J27</f>
        <v>8.27</v>
      </c>
      <c r="AD27" s="90"/>
      <c r="AE27" s="92" t="s">
        <v>357</v>
      </c>
      <c r="AF27" s="194">
        <f t="shared" si="23"/>
        <v>11.69</v>
      </c>
      <c r="AG27" s="90"/>
      <c r="AH27" s="90"/>
      <c r="AI27" s="90"/>
      <c r="AJ27" s="90"/>
      <c r="AK27" s="90"/>
    </row>
    <row r="28" spans="1:37" s="11" customFormat="1" ht="14.4">
      <c r="A28" s="18"/>
      <c r="B28" s="138" t="s">
        <v>142</v>
      </c>
      <c r="C28" s="162" t="s">
        <v>20</v>
      </c>
      <c r="D28" s="108">
        <v>1</v>
      </c>
      <c r="E28" s="108" t="s">
        <v>57</v>
      </c>
      <c r="F28" s="108" t="s">
        <v>57</v>
      </c>
      <c r="G28" s="145">
        <v>14.7</v>
      </c>
      <c r="H28" s="92"/>
      <c r="I28" s="108">
        <f t="shared" si="24"/>
        <v>14.7</v>
      </c>
      <c r="J28" s="108">
        <f t="shared" si="25"/>
        <v>14.7</v>
      </c>
      <c r="K28" s="90"/>
      <c r="L28" s="162" t="s">
        <v>18</v>
      </c>
      <c r="M28" s="108">
        <v>1</v>
      </c>
      <c r="N28" s="145">
        <v>15.89</v>
      </c>
      <c r="O28" s="123">
        <v>2.7</v>
      </c>
      <c r="P28" s="92"/>
      <c r="Q28" s="92"/>
      <c r="R28" s="108">
        <f t="shared" si="26"/>
        <v>42.903000000000006</v>
      </c>
      <c r="S28" s="110"/>
      <c r="T28" s="108" t="s">
        <v>18</v>
      </c>
      <c r="U28" s="92">
        <f t="shared" ref="U28:U29" si="41">N28*M28</f>
        <v>15.89</v>
      </c>
      <c r="V28" s="90"/>
      <c r="W28" s="162" t="s">
        <v>18</v>
      </c>
      <c r="X28" s="108" t="str">
        <f t="shared" si="27"/>
        <v>cad</v>
      </c>
      <c r="Y28" s="108" t="str">
        <f t="shared" si="28"/>
        <v>cad</v>
      </c>
      <c r="Z28" s="108">
        <f t="shared" si="29"/>
        <v>14.7</v>
      </c>
      <c r="AA28" s="108">
        <f t="shared" si="30"/>
        <v>0</v>
      </c>
      <c r="AB28" s="108">
        <f t="shared" si="31"/>
        <v>14.7</v>
      </c>
      <c r="AC28" s="108">
        <f t="shared" si="32"/>
        <v>14.7</v>
      </c>
      <c r="AD28" s="90"/>
      <c r="AE28" s="92" t="s">
        <v>357</v>
      </c>
      <c r="AF28" s="194">
        <f t="shared" si="23"/>
        <v>15.89</v>
      </c>
      <c r="AG28" s="90"/>
      <c r="AH28" s="90"/>
      <c r="AI28" s="90"/>
      <c r="AJ28" s="90"/>
      <c r="AK28" s="90"/>
    </row>
    <row r="29" spans="1:37" s="11" customFormat="1" ht="14.4">
      <c r="A29" s="18"/>
      <c r="B29" s="138" t="s">
        <v>143</v>
      </c>
      <c r="C29" s="162" t="s">
        <v>20</v>
      </c>
      <c r="D29" s="108">
        <v>1</v>
      </c>
      <c r="E29" s="108" t="s">
        <v>57</v>
      </c>
      <c r="F29" s="108" t="s">
        <v>57</v>
      </c>
      <c r="G29" s="145">
        <v>12.61</v>
      </c>
      <c r="H29" s="92"/>
      <c r="I29" s="108">
        <f t="shared" si="24"/>
        <v>12.61</v>
      </c>
      <c r="J29" s="108">
        <f t="shared" si="25"/>
        <v>12.61</v>
      </c>
      <c r="K29" s="90"/>
      <c r="L29" s="162" t="s">
        <v>18</v>
      </c>
      <c r="M29" s="108">
        <v>1</v>
      </c>
      <c r="N29" s="145">
        <v>14.5</v>
      </c>
      <c r="O29" s="123">
        <v>2.7</v>
      </c>
      <c r="P29" s="92"/>
      <c r="Q29" s="92"/>
      <c r="R29" s="108">
        <f t="shared" si="26"/>
        <v>39.150000000000006</v>
      </c>
      <c r="S29" s="110"/>
      <c r="T29" s="108" t="s">
        <v>18</v>
      </c>
      <c r="U29" s="163">
        <f t="shared" si="41"/>
        <v>14.5</v>
      </c>
      <c r="V29" s="90"/>
      <c r="W29" s="162" t="s">
        <v>18</v>
      </c>
      <c r="X29" s="108" t="str">
        <f t="shared" si="27"/>
        <v>cad</v>
      </c>
      <c r="Y29" s="108" t="str">
        <f t="shared" si="28"/>
        <v>cad</v>
      </c>
      <c r="Z29" s="108">
        <f t="shared" si="29"/>
        <v>12.61</v>
      </c>
      <c r="AA29" s="108">
        <f t="shared" si="30"/>
        <v>0</v>
      </c>
      <c r="AB29" s="108">
        <f t="shared" si="31"/>
        <v>12.61</v>
      </c>
      <c r="AC29" s="108">
        <f t="shared" si="32"/>
        <v>12.61</v>
      </c>
      <c r="AD29" s="90"/>
      <c r="AE29" s="92" t="s">
        <v>357</v>
      </c>
      <c r="AF29" s="194">
        <f t="shared" si="23"/>
        <v>14.5</v>
      </c>
      <c r="AG29" s="90"/>
      <c r="AH29" s="90"/>
      <c r="AI29" s="90"/>
      <c r="AJ29" s="90"/>
      <c r="AK29" s="90"/>
    </row>
    <row r="30" spans="1:37" s="11" customFormat="1" ht="14.4">
      <c r="A30" s="18"/>
      <c r="B30" s="138" t="s">
        <v>79</v>
      </c>
      <c r="C30" s="162" t="s">
        <v>28</v>
      </c>
      <c r="D30" s="108">
        <v>1</v>
      </c>
      <c r="E30" s="108" t="s">
        <v>57</v>
      </c>
      <c r="F30" s="108" t="s">
        <v>57</v>
      </c>
      <c r="G30" s="145">
        <v>16.78</v>
      </c>
      <c r="H30" s="92"/>
      <c r="I30" s="108">
        <f t="shared" si="24"/>
        <v>16.78</v>
      </c>
      <c r="J30" s="108">
        <f t="shared" si="25"/>
        <v>16.78</v>
      </c>
      <c r="K30" s="90"/>
      <c r="L30" s="162" t="s">
        <v>21</v>
      </c>
      <c r="M30" s="108">
        <v>1</v>
      </c>
      <c r="N30" s="145">
        <v>16.899999999999999</v>
      </c>
      <c r="O30" s="123">
        <v>2.7</v>
      </c>
      <c r="P30" s="92"/>
      <c r="Q30" s="92"/>
      <c r="R30" s="108">
        <f t="shared" si="26"/>
        <v>45.63</v>
      </c>
      <c r="S30" s="110"/>
      <c r="T30" s="108" t="s">
        <v>22</v>
      </c>
      <c r="U30" s="163">
        <f>N30*M30</f>
        <v>16.899999999999999</v>
      </c>
      <c r="V30" s="90"/>
      <c r="W30" s="162" t="s">
        <v>17</v>
      </c>
      <c r="X30" s="108" t="str">
        <f t="shared" si="27"/>
        <v>cad</v>
      </c>
      <c r="Y30" s="108" t="str">
        <f t="shared" si="28"/>
        <v>cad</v>
      </c>
      <c r="Z30" s="108">
        <f t="shared" si="29"/>
        <v>16.78</v>
      </c>
      <c r="AA30" s="108">
        <f t="shared" si="30"/>
        <v>0</v>
      </c>
      <c r="AB30" s="108">
        <f t="shared" si="31"/>
        <v>16.78</v>
      </c>
      <c r="AC30" s="108">
        <f t="shared" si="32"/>
        <v>16.78</v>
      </c>
      <c r="AD30" s="90"/>
      <c r="AE30" s="92" t="s">
        <v>357</v>
      </c>
      <c r="AF30" s="194">
        <f t="shared" si="23"/>
        <v>16.899999999999999</v>
      </c>
      <c r="AG30" s="90"/>
      <c r="AH30" s="90"/>
      <c r="AI30" s="90"/>
      <c r="AJ30" s="90"/>
      <c r="AK30" s="90"/>
    </row>
    <row r="31" spans="1:37" s="11" customFormat="1" ht="14.4">
      <c r="A31" s="18"/>
      <c r="B31" s="138" t="s">
        <v>144</v>
      </c>
      <c r="C31" s="162" t="s">
        <v>28</v>
      </c>
      <c r="D31" s="108">
        <v>1</v>
      </c>
      <c r="E31" s="108" t="s">
        <v>57</v>
      </c>
      <c r="F31" s="108" t="s">
        <v>57</v>
      </c>
      <c r="G31" s="145">
        <v>5.51</v>
      </c>
      <c r="H31" s="92"/>
      <c r="I31" s="108">
        <f t="shared" si="24"/>
        <v>5.51</v>
      </c>
      <c r="J31" s="108">
        <f t="shared" si="25"/>
        <v>5.51</v>
      </c>
      <c r="K31" s="90"/>
      <c r="L31" s="162" t="s">
        <v>21</v>
      </c>
      <c r="M31" s="108">
        <v>1</v>
      </c>
      <c r="N31" s="145">
        <v>9.56</v>
      </c>
      <c r="O31" s="123">
        <v>2.7</v>
      </c>
      <c r="P31" s="92"/>
      <c r="Q31" s="92"/>
      <c r="R31" s="108">
        <f t="shared" si="26"/>
        <v>25.812000000000005</v>
      </c>
      <c r="S31" s="110"/>
      <c r="T31" s="108" t="s">
        <v>22</v>
      </c>
      <c r="U31" s="92">
        <f>N31*M31</f>
        <v>9.56</v>
      </c>
      <c r="V31" s="90"/>
      <c r="W31" s="162" t="s">
        <v>17</v>
      </c>
      <c r="X31" s="108" t="str">
        <f t="shared" si="27"/>
        <v>cad</v>
      </c>
      <c r="Y31" s="108" t="str">
        <f t="shared" si="28"/>
        <v>cad</v>
      </c>
      <c r="Z31" s="108">
        <f t="shared" si="29"/>
        <v>5.51</v>
      </c>
      <c r="AA31" s="108">
        <f t="shared" si="30"/>
        <v>0</v>
      </c>
      <c r="AB31" s="108">
        <f t="shared" si="31"/>
        <v>5.51</v>
      </c>
      <c r="AC31" s="108">
        <f t="shared" si="32"/>
        <v>5.51</v>
      </c>
      <c r="AD31" s="90"/>
      <c r="AE31" s="92" t="s">
        <v>357</v>
      </c>
      <c r="AF31" s="194">
        <f t="shared" si="23"/>
        <v>9.56</v>
      </c>
      <c r="AG31" s="90"/>
      <c r="AH31" s="90"/>
      <c r="AI31" s="90"/>
      <c r="AJ31" s="90"/>
      <c r="AK31" s="90"/>
    </row>
    <row r="32" spans="1:37" s="11" customFormat="1" ht="14.4">
      <c r="A32" s="18"/>
      <c r="B32" s="138" t="s">
        <v>145</v>
      </c>
      <c r="C32" s="162" t="s">
        <v>28</v>
      </c>
      <c r="D32" s="108">
        <v>1</v>
      </c>
      <c r="E32" s="108" t="s">
        <v>57</v>
      </c>
      <c r="F32" s="108" t="s">
        <v>57</v>
      </c>
      <c r="G32" s="145">
        <v>3.96</v>
      </c>
      <c r="H32" s="92"/>
      <c r="I32" s="108">
        <f t="shared" si="24"/>
        <v>3.96</v>
      </c>
      <c r="J32" s="108">
        <f t="shared" si="25"/>
        <v>3.96</v>
      </c>
      <c r="K32" s="90"/>
      <c r="L32" s="162" t="s">
        <v>21</v>
      </c>
      <c r="M32" s="108">
        <v>1</v>
      </c>
      <c r="N32" s="145">
        <v>8.4600000000000009</v>
      </c>
      <c r="O32" s="123">
        <v>2.7</v>
      </c>
      <c r="P32" s="92"/>
      <c r="Q32" s="92"/>
      <c r="R32" s="108">
        <f t="shared" si="26"/>
        <v>22.842000000000002</v>
      </c>
      <c r="S32" s="110"/>
      <c r="T32" s="108" t="s">
        <v>22</v>
      </c>
      <c r="U32" s="92">
        <f>N32*M32</f>
        <v>8.4600000000000009</v>
      </c>
      <c r="V32" s="90"/>
      <c r="W32" s="162" t="s">
        <v>17</v>
      </c>
      <c r="X32" s="108" t="str">
        <f t="shared" si="27"/>
        <v>cad</v>
      </c>
      <c r="Y32" s="108" t="str">
        <f t="shared" si="28"/>
        <v>cad</v>
      </c>
      <c r="Z32" s="108">
        <f t="shared" si="29"/>
        <v>3.96</v>
      </c>
      <c r="AA32" s="108">
        <f t="shared" si="30"/>
        <v>0</v>
      </c>
      <c r="AB32" s="108">
        <f t="shared" si="31"/>
        <v>3.96</v>
      </c>
      <c r="AC32" s="108">
        <f t="shared" si="32"/>
        <v>3.96</v>
      </c>
      <c r="AD32" s="90"/>
      <c r="AE32" s="92" t="s">
        <v>357</v>
      </c>
      <c r="AF32" s="194">
        <f t="shared" si="23"/>
        <v>8.4600000000000009</v>
      </c>
      <c r="AG32" s="90"/>
      <c r="AH32" s="90"/>
      <c r="AI32" s="90"/>
      <c r="AJ32" s="90"/>
      <c r="AK32" s="90"/>
    </row>
    <row r="33" spans="1:37" s="11" customFormat="1" ht="14.4">
      <c r="A33" s="18"/>
      <c r="B33" s="201" t="s">
        <v>157</v>
      </c>
      <c r="C33" s="162" t="s">
        <v>28</v>
      </c>
      <c r="D33" s="108">
        <v>1</v>
      </c>
      <c r="E33" s="108" t="s">
        <v>57</v>
      </c>
      <c r="F33" s="108" t="s">
        <v>57</v>
      </c>
      <c r="G33" s="169">
        <v>41.69</v>
      </c>
      <c r="H33" s="92"/>
      <c r="I33" s="108">
        <f t="shared" ref="I33" si="42">(G33-H33)</f>
        <v>41.69</v>
      </c>
      <c r="J33" s="108">
        <f t="shared" ref="J33" si="43">I33*D33</f>
        <v>41.69</v>
      </c>
      <c r="K33" s="90"/>
      <c r="L33" s="162" t="s">
        <v>21</v>
      </c>
      <c r="M33" s="108">
        <v>1</v>
      </c>
      <c r="N33" s="162">
        <f>49.19-1.8</f>
        <v>47.39</v>
      </c>
      <c r="O33" s="108">
        <v>2.8</v>
      </c>
      <c r="P33" s="92"/>
      <c r="Q33" s="92"/>
      <c r="R33" s="108">
        <f t="shared" si="26"/>
        <v>132.69200000000001</v>
      </c>
      <c r="S33" s="110"/>
      <c r="T33" s="108" t="s">
        <v>22</v>
      </c>
      <c r="U33" s="92">
        <f>N33*M33</f>
        <v>47.39</v>
      </c>
      <c r="V33" s="90"/>
      <c r="W33" s="162" t="s">
        <v>17</v>
      </c>
      <c r="X33" s="108" t="str">
        <f t="shared" ref="X33" si="44">E33</f>
        <v>cad</v>
      </c>
      <c r="Y33" s="108" t="str">
        <f t="shared" ref="Y33" si="45">F33</f>
        <v>cad</v>
      </c>
      <c r="Z33" s="108">
        <f t="shared" ref="Z33" si="46">G33</f>
        <v>41.69</v>
      </c>
      <c r="AA33" s="108">
        <f t="shared" ref="AA33" si="47">H33</f>
        <v>0</v>
      </c>
      <c r="AB33" s="108">
        <f t="shared" ref="AB33" si="48">I33</f>
        <v>41.69</v>
      </c>
      <c r="AC33" s="108">
        <f t="shared" ref="AC33" si="49">J33</f>
        <v>41.69</v>
      </c>
      <c r="AD33" s="90"/>
      <c r="AE33" s="92" t="s">
        <v>357</v>
      </c>
      <c r="AF33" s="194">
        <f>N33*M33</f>
        <v>47.39</v>
      </c>
      <c r="AG33" s="90"/>
      <c r="AH33" s="90"/>
      <c r="AI33" s="90"/>
      <c r="AJ33" s="90"/>
      <c r="AK33" s="90"/>
    </row>
    <row r="34" spans="1:37" s="11" customFormat="1" ht="14.4">
      <c r="A34" s="18"/>
      <c r="B34" s="201"/>
      <c r="C34" s="162"/>
      <c r="D34" s="108"/>
      <c r="E34" s="108"/>
      <c r="F34" s="108"/>
      <c r="G34" s="166"/>
      <c r="H34" s="92"/>
      <c r="I34" s="108"/>
      <c r="J34" s="108"/>
      <c r="K34" s="90"/>
      <c r="L34" s="162"/>
      <c r="M34" s="108"/>
      <c r="N34" s="162"/>
      <c r="O34" s="108"/>
      <c r="P34" s="92"/>
      <c r="Q34" s="92"/>
      <c r="R34" s="108"/>
      <c r="S34" s="110"/>
      <c r="T34" s="108"/>
      <c r="U34" s="92"/>
      <c r="V34" s="90"/>
      <c r="W34" s="162" t="s">
        <v>19</v>
      </c>
      <c r="X34" s="141">
        <f t="shared" ref="X34:X35" si="50">E34</f>
        <v>0</v>
      </c>
      <c r="Y34" s="141">
        <f t="shared" ref="Y34:Y35" si="51">F34</f>
        <v>0</v>
      </c>
      <c r="Z34" s="141">
        <v>12.48</v>
      </c>
      <c r="AA34" s="95">
        <f t="shared" ref="AA34:AA35" si="52">H34</f>
        <v>0</v>
      </c>
      <c r="AB34" s="141">
        <f>Z34</f>
        <v>12.48</v>
      </c>
      <c r="AC34" s="141">
        <f>Z34</f>
        <v>12.48</v>
      </c>
      <c r="AD34" s="90"/>
      <c r="AE34" s="92"/>
      <c r="AF34" s="194"/>
      <c r="AG34" s="90"/>
      <c r="AH34" s="90"/>
      <c r="AI34" s="90"/>
      <c r="AJ34" s="90"/>
      <c r="AK34" s="90"/>
    </row>
    <row r="35" spans="1:37" s="11" customFormat="1" ht="14.4">
      <c r="A35" s="18"/>
      <c r="B35" s="201" t="s">
        <v>157</v>
      </c>
      <c r="C35" s="162" t="s">
        <v>28</v>
      </c>
      <c r="D35" s="108">
        <v>1</v>
      </c>
      <c r="E35" s="108" t="s">
        <v>57</v>
      </c>
      <c r="F35" s="108" t="s">
        <v>57</v>
      </c>
      <c r="G35" s="169">
        <v>8.89</v>
      </c>
      <c r="H35" s="92"/>
      <c r="I35" s="108">
        <f t="shared" ref="I35" si="53">(G35-H35)</f>
        <v>8.89</v>
      </c>
      <c r="J35" s="108">
        <f t="shared" ref="J35" si="54">I35*D35</f>
        <v>8.89</v>
      </c>
      <c r="K35" s="90"/>
      <c r="L35" s="162" t="s">
        <v>21</v>
      </c>
      <c r="M35" s="108">
        <v>1</v>
      </c>
      <c r="N35" s="169">
        <f>17.23-1.2</f>
        <v>16.03</v>
      </c>
      <c r="O35" s="168">
        <v>2.8</v>
      </c>
      <c r="P35" s="92"/>
      <c r="Q35" s="92"/>
      <c r="R35" s="108">
        <f t="shared" ref="R35" si="55">(N35*O35-P35)*M35</f>
        <v>44.884</v>
      </c>
      <c r="S35" s="110"/>
      <c r="T35" s="108" t="s">
        <v>22</v>
      </c>
      <c r="U35" s="92">
        <f>N35*M35</f>
        <v>16.03</v>
      </c>
      <c r="V35" s="90"/>
      <c r="W35" s="162" t="s">
        <v>17</v>
      </c>
      <c r="X35" s="108" t="str">
        <f t="shared" si="50"/>
        <v>cad</v>
      </c>
      <c r="Y35" s="108" t="str">
        <f t="shared" si="51"/>
        <v>cad</v>
      </c>
      <c r="Z35" s="108">
        <f t="shared" ref="Z35" si="56">G35</f>
        <v>8.89</v>
      </c>
      <c r="AA35" s="108">
        <f t="shared" si="52"/>
        <v>0</v>
      </c>
      <c r="AB35" s="108">
        <f t="shared" ref="AB35" si="57">I35</f>
        <v>8.89</v>
      </c>
      <c r="AC35" s="108">
        <f t="shared" ref="AC35" si="58">J35</f>
        <v>8.89</v>
      </c>
      <c r="AD35" s="90"/>
      <c r="AE35" s="92" t="s">
        <v>357</v>
      </c>
      <c r="AF35" s="194">
        <f>N35*M35</f>
        <v>16.03</v>
      </c>
      <c r="AG35" s="90"/>
      <c r="AH35" s="90"/>
      <c r="AI35" s="90"/>
      <c r="AJ35" s="90"/>
      <c r="AK35" s="90"/>
    </row>
    <row r="36" spans="1:37" s="11" customFormat="1" ht="14.4">
      <c r="A36" s="18"/>
      <c r="B36" s="201"/>
      <c r="C36" s="162"/>
      <c r="D36" s="108"/>
      <c r="E36" s="108"/>
      <c r="F36" s="108"/>
      <c r="G36" s="166"/>
      <c r="H36" s="92"/>
      <c r="I36" s="108"/>
      <c r="J36" s="108"/>
      <c r="K36" s="90"/>
      <c r="L36" s="162"/>
      <c r="M36" s="108"/>
      <c r="N36" s="162"/>
      <c r="O36" s="108"/>
      <c r="P36" s="92"/>
      <c r="Q36" s="92"/>
      <c r="R36" s="108"/>
      <c r="S36" s="110"/>
      <c r="T36" s="108"/>
      <c r="U36" s="92"/>
      <c r="V36" s="90"/>
      <c r="W36" s="162" t="s">
        <v>19</v>
      </c>
      <c r="X36" s="141">
        <f t="shared" ref="X36:X37" si="59">E36</f>
        <v>0</v>
      </c>
      <c r="Y36" s="141">
        <f t="shared" ref="Y36:Y37" si="60">F36</f>
        <v>0</v>
      </c>
      <c r="Z36" s="141">
        <v>3.16</v>
      </c>
      <c r="AA36" s="95">
        <f t="shared" ref="AA36:AA37" si="61">H36</f>
        <v>0</v>
      </c>
      <c r="AB36" s="141">
        <f>Z36</f>
        <v>3.16</v>
      </c>
      <c r="AC36" s="141">
        <f>Z36</f>
        <v>3.16</v>
      </c>
      <c r="AD36" s="90"/>
      <c r="AE36" s="92"/>
      <c r="AF36" s="194"/>
      <c r="AG36" s="90"/>
      <c r="AH36" s="90"/>
      <c r="AI36" s="90"/>
      <c r="AJ36" s="90"/>
      <c r="AK36" s="90"/>
    </row>
    <row r="37" spans="1:37" s="11" customFormat="1" ht="14.4">
      <c r="A37" s="18"/>
      <c r="B37" s="201" t="s">
        <v>157</v>
      </c>
      <c r="C37" s="162" t="s">
        <v>28</v>
      </c>
      <c r="D37" s="108">
        <v>1</v>
      </c>
      <c r="E37" s="108" t="s">
        <v>57</v>
      </c>
      <c r="F37" s="108" t="s">
        <v>57</v>
      </c>
      <c r="G37" s="169">
        <v>20.6</v>
      </c>
      <c r="H37" s="92"/>
      <c r="I37" s="108">
        <f t="shared" ref="I37" si="62">(G37-H37)</f>
        <v>20.6</v>
      </c>
      <c r="J37" s="108">
        <f t="shared" ref="J37" si="63">I37*D37</f>
        <v>20.6</v>
      </c>
      <c r="K37" s="90"/>
      <c r="L37" s="162" t="s">
        <v>21</v>
      </c>
      <c r="M37" s="108">
        <v>1</v>
      </c>
      <c r="N37" s="162">
        <f>23.3-2.5</f>
        <v>20.8</v>
      </c>
      <c r="O37" s="108">
        <v>2.8</v>
      </c>
      <c r="P37" s="92"/>
      <c r="Q37" s="92"/>
      <c r="R37" s="108">
        <f t="shared" ref="R37" si="64">(N37*O37-P37)*M37</f>
        <v>58.239999999999995</v>
      </c>
      <c r="S37" s="110"/>
      <c r="T37" s="108" t="s">
        <v>22</v>
      </c>
      <c r="U37" s="163">
        <f>N37*M37</f>
        <v>20.8</v>
      </c>
      <c r="V37" s="90"/>
      <c r="W37" s="162" t="s">
        <v>17</v>
      </c>
      <c r="X37" s="108" t="str">
        <f t="shared" si="59"/>
        <v>cad</v>
      </c>
      <c r="Y37" s="108" t="str">
        <f t="shared" si="60"/>
        <v>cad</v>
      </c>
      <c r="Z37" s="108">
        <f t="shared" ref="Z37" si="65">G37</f>
        <v>20.6</v>
      </c>
      <c r="AA37" s="108">
        <f t="shared" si="61"/>
        <v>0</v>
      </c>
      <c r="AB37" s="108">
        <f t="shared" ref="AB37" si="66">I37</f>
        <v>20.6</v>
      </c>
      <c r="AC37" s="108">
        <f t="shared" ref="AC37" si="67">J37</f>
        <v>20.6</v>
      </c>
      <c r="AD37" s="90"/>
      <c r="AE37" s="92" t="s">
        <v>357</v>
      </c>
      <c r="AF37" s="194">
        <f>N37*M37</f>
        <v>20.8</v>
      </c>
      <c r="AG37" s="90"/>
      <c r="AH37" s="90"/>
      <c r="AI37" s="90"/>
      <c r="AJ37" s="90"/>
      <c r="AK37" s="90"/>
    </row>
    <row r="38" spans="1:37" s="11" customFormat="1" ht="14.4">
      <c r="A38" s="18"/>
      <c r="B38" s="201"/>
      <c r="C38" s="162"/>
      <c r="D38" s="108"/>
      <c r="E38" s="108"/>
      <c r="F38" s="108"/>
      <c r="G38" s="166"/>
      <c r="H38" s="92"/>
      <c r="I38" s="108"/>
      <c r="J38" s="108"/>
      <c r="K38" s="90"/>
      <c r="L38" s="162"/>
      <c r="M38" s="108"/>
      <c r="N38" s="162"/>
      <c r="O38" s="108"/>
      <c r="P38" s="92"/>
      <c r="Q38" s="92"/>
      <c r="R38" s="108"/>
      <c r="S38" s="110"/>
      <c r="T38" s="108"/>
      <c r="U38" s="92"/>
      <c r="V38" s="90"/>
      <c r="W38" s="162" t="s">
        <v>19</v>
      </c>
      <c r="X38" s="141">
        <f t="shared" ref="X38:X39" si="68">E38</f>
        <v>0</v>
      </c>
      <c r="Y38" s="141">
        <f t="shared" ref="Y38:Y39" si="69">F38</f>
        <v>0</v>
      </c>
      <c r="Z38" s="141">
        <v>5.13</v>
      </c>
      <c r="AA38" s="95">
        <f t="shared" ref="AA38:AA39" si="70">H38</f>
        <v>0</v>
      </c>
      <c r="AB38" s="141">
        <f>Z38</f>
        <v>5.13</v>
      </c>
      <c r="AC38" s="141">
        <f>Z38</f>
        <v>5.13</v>
      </c>
      <c r="AD38" s="90"/>
      <c r="AE38" s="92"/>
      <c r="AF38" s="194"/>
      <c r="AG38" s="90"/>
      <c r="AH38" s="90"/>
      <c r="AI38" s="90"/>
      <c r="AJ38" s="90"/>
      <c r="AK38" s="90"/>
    </row>
    <row r="39" spans="1:37" s="11" customFormat="1" ht="14.4">
      <c r="A39" s="18"/>
      <c r="B39" s="201" t="s">
        <v>157</v>
      </c>
      <c r="C39" s="162" t="s">
        <v>28</v>
      </c>
      <c r="D39" s="108">
        <v>1</v>
      </c>
      <c r="E39" s="108" t="s">
        <v>57</v>
      </c>
      <c r="F39" s="108" t="s">
        <v>57</v>
      </c>
      <c r="G39" s="169">
        <v>23.19</v>
      </c>
      <c r="H39" s="92"/>
      <c r="I39" s="108">
        <f t="shared" ref="I39" si="71">(G39-H39)</f>
        <v>23.19</v>
      </c>
      <c r="J39" s="108">
        <f t="shared" ref="J39" si="72">I39*D39</f>
        <v>23.19</v>
      </c>
      <c r="K39" s="90"/>
      <c r="L39" s="162" t="s">
        <v>21</v>
      </c>
      <c r="M39" s="108">
        <v>1</v>
      </c>
      <c r="N39" s="169">
        <f>27.01-1.8</f>
        <v>25.21</v>
      </c>
      <c r="O39" s="168">
        <v>2.8</v>
      </c>
      <c r="P39" s="92"/>
      <c r="Q39" s="92"/>
      <c r="R39" s="108">
        <f t="shared" ref="R39" si="73">(N39*O39-P39)*M39</f>
        <v>70.587999999999994</v>
      </c>
      <c r="S39" s="110"/>
      <c r="T39" s="108" t="s">
        <v>22</v>
      </c>
      <c r="U39" s="163">
        <f>N39*M39</f>
        <v>25.21</v>
      </c>
      <c r="V39" s="90"/>
      <c r="W39" s="162" t="s">
        <v>17</v>
      </c>
      <c r="X39" s="108" t="str">
        <f t="shared" si="68"/>
        <v>cad</v>
      </c>
      <c r="Y39" s="108" t="str">
        <f t="shared" si="69"/>
        <v>cad</v>
      </c>
      <c r="Z39" s="108">
        <f t="shared" ref="Z39" si="74">G39</f>
        <v>23.19</v>
      </c>
      <c r="AA39" s="108">
        <f t="shared" si="70"/>
        <v>0</v>
      </c>
      <c r="AB39" s="108">
        <f t="shared" ref="AB39" si="75">I39</f>
        <v>23.19</v>
      </c>
      <c r="AC39" s="108">
        <f t="shared" ref="AC39" si="76">J39</f>
        <v>23.19</v>
      </c>
      <c r="AD39" s="90"/>
      <c r="AE39" s="92" t="s">
        <v>357</v>
      </c>
      <c r="AF39" s="194">
        <f>N39*M39</f>
        <v>25.21</v>
      </c>
      <c r="AG39" s="90"/>
      <c r="AH39" s="90"/>
      <c r="AI39" s="90"/>
      <c r="AJ39" s="90"/>
      <c r="AK39" s="90"/>
    </row>
    <row r="40" spans="1:37" s="11" customFormat="1" ht="14.4">
      <c r="A40" s="18"/>
      <c r="B40" s="201"/>
      <c r="C40" s="162"/>
      <c r="D40" s="108"/>
      <c r="E40" s="108"/>
      <c r="F40" s="108"/>
      <c r="G40" s="166"/>
      <c r="H40" s="92"/>
      <c r="I40" s="108"/>
      <c r="J40" s="108"/>
      <c r="K40" s="90"/>
      <c r="L40" s="162"/>
      <c r="M40" s="108"/>
      <c r="N40" s="162"/>
      <c r="O40" s="108"/>
      <c r="P40" s="92"/>
      <c r="Q40" s="92"/>
      <c r="R40" s="108"/>
      <c r="S40" s="110"/>
      <c r="T40" s="108"/>
      <c r="U40" s="92"/>
      <c r="V40" s="90"/>
      <c r="W40" s="162" t="s">
        <v>19</v>
      </c>
      <c r="X40" s="141">
        <f t="shared" ref="X40:X41" si="77">E40</f>
        <v>0</v>
      </c>
      <c r="Y40" s="141">
        <f t="shared" ref="Y40:Y41" si="78">F40</f>
        <v>0</v>
      </c>
      <c r="Z40" s="141">
        <v>5.5</v>
      </c>
      <c r="AA40" s="95">
        <f t="shared" ref="AA40:AA41" si="79">H40</f>
        <v>0</v>
      </c>
      <c r="AB40" s="141">
        <f>Z40</f>
        <v>5.5</v>
      </c>
      <c r="AC40" s="141">
        <f>Z40</f>
        <v>5.5</v>
      </c>
      <c r="AD40" s="90"/>
      <c r="AE40" s="92"/>
      <c r="AF40" s="194"/>
      <c r="AG40" s="90"/>
      <c r="AH40" s="90"/>
      <c r="AI40" s="90"/>
      <c r="AJ40" s="90"/>
      <c r="AK40" s="90"/>
    </row>
    <row r="41" spans="1:37" s="11" customFormat="1" ht="14.4">
      <c r="A41" s="18"/>
      <c r="B41" s="201" t="s">
        <v>157</v>
      </c>
      <c r="C41" s="162" t="s">
        <v>28</v>
      </c>
      <c r="D41" s="108">
        <v>1</v>
      </c>
      <c r="E41" s="108" t="s">
        <v>57</v>
      </c>
      <c r="F41" s="108" t="s">
        <v>57</v>
      </c>
      <c r="G41" s="169">
        <v>47.17</v>
      </c>
      <c r="H41" s="92"/>
      <c r="I41" s="108">
        <f t="shared" ref="I41" si="80">(G41-H41)</f>
        <v>47.17</v>
      </c>
      <c r="J41" s="108">
        <f t="shared" ref="J41" si="81">I41*D41</f>
        <v>47.17</v>
      </c>
      <c r="K41" s="90"/>
      <c r="L41" s="162" t="s">
        <v>21</v>
      </c>
      <c r="M41" s="108">
        <v>1</v>
      </c>
      <c r="N41" s="169">
        <f>-50.89-4.18</f>
        <v>-55.07</v>
      </c>
      <c r="O41" s="168">
        <v>2.8</v>
      </c>
      <c r="P41" s="92"/>
      <c r="Q41" s="92"/>
      <c r="R41" s="108">
        <f t="shared" ref="R41" si="82">(N41*O41-P41)*M41</f>
        <v>-154.196</v>
      </c>
      <c r="S41" s="110"/>
      <c r="T41" s="108" t="s">
        <v>22</v>
      </c>
      <c r="U41" s="163">
        <f>N41*M41</f>
        <v>-55.07</v>
      </c>
      <c r="V41" s="90"/>
      <c r="W41" s="162" t="s">
        <v>17</v>
      </c>
      <c r="X41" s="108" t="str">
        <f t="shared" si="77"/>
        <v>cad</v>
      </c>
      <c r="Y41" s="108" t="str">
        <f t="shared" si="78"/>
        <v>cad</v>
      </c>
      <c r="Z41" s="108">
        <f t="shared" ref="Z41" si="83">G41</f>
        <v>47.17</v>
      </c>
      <c r="AA41" s="108">
        <f t="shared" si="79"/>
        <v>0</v>
      </c>
      <c r="AB41" s="108">
        <f t="shared" ref="AB41" si="84">I41</f>
        <v>47.17</v>
      </c>
      <c r="AC41" s="108">
        <f t="shared" ref="AC41" si="85">J41</f>
        <v>47.17</v>
      </c>
      <c r="AD41" s="90"/>
      <c r="AE41" s="92" t="s">
        <v>357</v>
      </c>
      <c r="AF41" s="194">
        <f>N41*M41</f>
        <v>-55.07</v>
      </c>
      <c r="AG41" s="90"/>
      <c r="AH41" s="90"/>
      <c r="AI41" s="90"/>
      <c r="AJ41" s="90"/>
      <c r="AK41" s="90"/>
    </row>
    <row r="42" spans="1:37" s="11" customFormat="1" ht="14.4">
      <c r="A42" s="18"/>
      <c r="B42" s="201"/>
      <c r="C42" s="162"/>
      <c r="D42" s="108"/>
      <c r="E42" s="108"/>
      <c r="F42" s="108"/>
      <c r="G42" s="166"/>
      <c r="H42" s="92"/>
      <c r="I42" s="108"/>
      <c r="J42" s="108"/>
      <c r="K42" s="90"/>
      <c r="L42" s="162"/>
      <c r="M42" s="108"/>
      <c r="N42" s="162"/>
      <c r="O42" s="108"/>
      <c r="P42" s="92"/>
      <c r="Q42" s="92"/>
      <c r="R42" s="108"/>
      <c r="S42" s="110"/>
      <c r="T42" s="108"/>
      <c r="U42" s="92"/>
      <c r="V42" s="90"/>
      <c r="W42" s="162" t="s">
        <v>19</v>
      </c>
      <c r="X42" s="141">
        <f t="shared" ref="X42" si="86">E42</f>
        <v>0</v>
      </c>
      <c r="Y42" s="141">
        <f t="shared" ref="Y42" si="87">F42</f>
        <v>0</v>
      </c>
      <c r="Z42" s="141">
        <v>10.66</v>
      </c>
      <c r="AA42" s="95">
        <f t="shared" ref="AA42" si="88">H42</f>
        <v>0</v>
      </c>
      <c r="AB42" s="141">
        <f t="shared" ref="AB42:AB45" si="89">Z42</f>
        <v>10.66</v>
      </c>
      <c r="AC42" s="141">
        <f t="shared" ref="AC42:AC45" si="90">Z42</f>
        <v>10.66</v>
      </c>
      <c r="AD42" s="90"/>
      <c r="AE42" s="92"/>
      <c r="AF42" s="194"/>
      <c r="AG42" s="90"/>
      <c r="AH42" s="90"/>
      <c r="AI42" s="90"/>
      <c r="AJ42" s="90"/>
      <c r="AK42" s="90"/>
    </row>
    <row r="43" spans="1:37" s="11" customFormat="1" ht="14.4">
      <c r="A43" s="18"/>
      <c r="B43" s="201" t="s">
        <v>157</v>
      </c>
      <c r="C43" s="162" t="s">
        <v>28</v>
      </c>
      <c r="D43" s="108">
        <v>1</v>
      </c>
      <c r="E43" s="108" t="s">
        <v>57</v>
      </c>
      <c r="F43" s="108" t="s">
        <v>57</v>
      </c>
      <c r="G43" s="169">
        <v>30.27</v>
      </c>
      <c r="H43" s="92"/>
      <c r="I43" s="108">
        <f t="shared" ref="I43" si="91">(G43-H43)</f>
        <v>30.27</v>
      </c>
      <c r="J43" s="108">
        <f t="shared" ref="J43" si="92">I43*D43</f>
        <v>30.27</v>
      </c>
      <c r="K43" s="90"/>
      <c r="L43" s="162" t="s">
        <v>21</v>
      </c>
      <c r="M43" s="108">
        <v>1</v>
      </c>
      <c r="N43" s="169">
        <f>26.82-1.78</f>
        <v>25.04</v>
      </c>
      <c r="O43" s="168">
        <v>2.8</v>
      </c>
      <c r="P43" s="92"/>
      <c r="Q43" s="92"/>
      <c r="R43" s="108">
        <f t="shared" ref="R43" si="93">(N43*O43-P43)*M43</f>
        <v>70.111999999999995</v>
      </c>
      <c r="S43" s="110"/>
      <c r="T43" s="108" t="s">
        <v>22</v>
      </c>
      <c r="U43" s="163">
        <f>N43*M43</f>
        <v>25.04</v>
      </c>
      <c r="V43" s="90"/>
      <c r="W43" s="162" t="s">
        <v>17</v>
      </c>
      <c r="X43" s="141" t="str">
        <f t="shared" ref="X43:X44" si="94">E43</f>
        <v>cad</v>
      </c>
      <c r="Y43" s="141" t="str">
        <f t="shared" ref="Y43:Y44" si="95">F43</f>
        <v>cad</v>
      </c>
      <c r="Z43" s="141">
        <v>30.27</v>
      </c>
      <c r="AA43" s="95">
        <f t="shared" ref="AA43:AA44" si="96">H43</f>
        <v>0</v>
      </c>
      <c r="AB43" s="141">
        <f t="shared" si="89"/>
        <v>30.27</v>
      </c>
      <c r="AC43" s="141">
        <f t="shared" si="90"/>
        <v>30.27</v>
      </c>
      <c r="AD43" s="90"/>
      <c r="AE43" s="92" t="s">
        <v>357</v>
      </c>
      <c r="AF43" s="194">
        <f>N43*M43</f>
        <v>25.04</v>
      </c>
      <c r="AG43" s="90"/>
      <c r="AH43" s="90"/>
      <c r="AI43" s="90"/>
      <c r="AJ43" s="90"/>
      <c r="AK43" s="90"/>
    </row>
    <row r="44" spans="1:37" s="11" customFormat="1" ht="14.4">
      <c r="A44" s="18"/>
      <c r="B44" s="201"/>
      <c r="C44" s="162"/>
      <c r="D44" s="108"/>
      <c r="E44" s="108"/>
      <c r="F44" s="108"/>
      <c r="G44" s="166"/>
      <c r="H44" s="92"/>
      <c r="I44" s="108"/>
      <c r="J44" s="108"/>
      <c r="K44" s="90"/>
      <c r="L44" s="162"/>
      <c r="M44" s="108"/>
      <c r="N44" s="162"/>
      <c r="O44" s="108"/>
      <c r="P44" s="92"/>
      <c r="Q44" s="92"/>
      <c r="R44" s="108"/>
      <c r="S44" s="110"/>
      <c r="T44" s="108"/>
      <c r="U44" s="92"/>
      <c r="V44" s="90"/>
      <c r="W44" s="162" t="s">
        <v>24</v>
      </c>
      <c r="X44" s="141">
        <f t="shared" si="94"/>
        <v>0</v>
      </c>
      <c r="Y44" s="141">
        <f t="shared" si="95"/>
        <v>0</v>
      </c>
      <c r="Z44" s="141">
        <v>7.81</v>
      </c>
      <c r="AA44" s="95">
        <f t="shared" si="96"/>
        <v>0</v>
      </c>
      <c r="AB44" s="141">
        <f t="shared" si="89"/>
        <v>7.81</v>
      </c>
      <c r="AC44" s="141">
        <f t="shared" si="90"/>
        <v>7.81</v>
      </c>
      <c r="AD44" s="90"/>
      <c r="AE44" s="92"/>
      <c r="AF44" s="194"/>
      <c r="AG44" s="90"/>
      <c r="AH44" s="90"/>
      <c r="AI44" s="90"/>
      <c r="AJ44" s="90"/>
      <c r="AK44" s="90"/>
    </row>
    <row r="45" spans="1:37" s="11" customFormat="1" ht="14.4">
      <c r="A45" s="18"/>
      <c r="B45" s="201"/>
      <c r="C45" s="162"/>
      <c r="D45" s="108"/>
      <c r="E45" s="108"/>
      <c r="F45" s="108"/>
      <c r="G45" s="166"/>
      <c r="H45" s="92"/>
      <c r="I45" s="108"/>
      <c r="J45" s="108"/>
      <c r="K45" s="90"/>
      <c r="L45" s="162"/>
      <c r="M45" s="108"/>
      <c r="N45" s="162"/>
      <c r="O45" s="108"/>
      <c r="P45" s="92"/>
      <c r="Q45" s="92"/>
      <c r="R45" s="108"/>
      <c r="S45" s="110"/>
      <c r="T45" s="108"/>
      <c r="U45" s="92"/>
      <c r="V45" s="90"/>
      <c r="W45" s="162" t="s">
        <v>19</v>
      </c>
      <c r="X45" s="141">
        <f t="shared" ref="X45:X46" si="97">E45</f>
        <v>0</v>
      </c>
      <c r="Y45" s="141">
        <f t="shared" ref="Y45:Y46" si="98">F45</f>
        <v>0</v>
      </c>
      <c r="Z45" s="141">
        <v>1.56</v>
      </c>
      <c r="AA45" s="95">
        <f t="shared" ref="AA45:AA46" si="99">H45</f>
        <v>0</v>
      </c>
      <c r="AB45" s="141">
        <f t="shared" si="89"/>
        <v>1.56</v>
      </c>
      <c r="AC45" s="141">
        <f t="shared" si="90"/>
        <v>1.56</v>
      </c>
      <c r="AD45" s="90"/>
      <c r="AE45" s="92"/>
      <c r="AF45" s="194"/>
      <c r="AG45" s="90"/>
      <c r="AH45" s="90"/>
      <c r="AI45" s="90"/>
      <c r="AJ45" s="90"/>
      <c r="AK45" s="90"/>
    </row>
    <row r="46" spans="1:37" s="11" customFormat="1" ht="14.4">
      <c r="A46" s="18"/>
      <c r="B46" s="201" t="s">
        <v>602</v>
      </c>
      <c r="C46" s="162" t="s">
        <v>28</v>
      </c>
      <c r="D46" s="108">
        <v>1</v>
      </c>
      <c r="E46" s="108" t="s">
        <v>57</v>
      </c>
      <c r="F46" s="108" t="s">
        <v>57</v>
      </c>
      <c r="G46" s="169">
        <v>51.18</v>
      </c>
      <c r="H46" s="92"/>
      <c r="I46" s="108">
        <f t="shared" ref="I46" si="100">(G46-H46)</f>
        <v>51.18</v>
      </c>
      <c r="J46" s="108">
        <f t="shared" ref="J46" si="101">I46*D46</f>
        <v>51.18</v>
      </c>
      <c r="K46" s="90"/>
      <c r="L46" s="162" t="s">
        <v>21</v>
      </c>
      <c r="M46" s="108">
        <v>1</v>
      </c>
      <c r="N46" s="262">
        <v>37.79</v>
      </c>
      <c r="O46" s="169">
        <v>2.8</v>
      </c>
      <c r="P46" s="92"/>
      <c r="Q46" s="92"/>
      <c r="R46" s="108">
        <f t="shared" ref="R46" si="102">(N46*O46-P46)*M46</f>
        <v>105.812</v>
      </c>
      <c r="S46" s="110"/>
      <c r="T46" s="108" t="s">
        <v>22</v>
      </c>
      <c r="U46" s="163">
        <f>N46*M46</f>
        <v>37.79</v>
      </c>
      <c r="V46" s="90"/>
      <c r="W46" s="162" t="s">
        <v>17</v>
      </c>
      <c r="X46" s="108" t="str">
        <f t="shared" si="97"/>
        <v>cad</v>
      </c>
      <c r="Y46" s="108" t="str">
        <f t="shared" si="98"/>
        <v>cad</v>
      </c>
      <c r="Z46" s="108">
        <f t="shared" ref="Z46:Z48" si="103">G46</f>
        <v>51.18</v>
      </c>
      <c r="AA46" s="108">
        <f t="shared" si="99"/>
        <v>0</v>
      </c>
      <c r="AB46" s="108">
        <f t="shared" ref="AB46" si="104">I46</f>
        <v>51.18</v>
      </c>
      <c r="AC46" s="108">
        <f t="shared" ref="AC46" si="105">J46</f>
        <v>51.18</v>
      </c>
      <c r="AD46" s="90"/>
      <c r="AE46" s="92" t="s">
        <v>17</v>
      </c>
      <c r="AF46" s="194">
        <f>N46*M46</f>
        <v>37.79</v>
      </c>
      <c r="AG46" s="90"/>
      <c r="AH46" s="90"/>
      <c r="AI46" s="90"/>
      <c r="AJ46" s="90"/>
      <c r="AK46" s="90"/>
    </row>
    <row r="47" spans="1:37" s="11" customFormat="1" ht="14.4">
      <c r="A47" s="18"/>
      <c r="B47" s="201"/>
      <c r="C47" s="162"/>
      <c r="D47" s="108"/>
      <c r="E47" s="108"/>
      <c r="F47" s="108"/>
      <c r="G47" s="166"/>
      <c r="H47" s="92"/>
      <c r="I47" s="108"/>
      <c r="J47" s="108"/>
      <c r="K47" s="90"/>
      <c r="L47" s="162"/>
      <c r="M47" s="108"/>
      <c r="N47" s="162"/>
      <c r="O47" s="108"/>
      <c r="P47" s="92"/>
      <c r="Q47" s="92"/>
      <c r="R47" s="108"/>
      <c r="S47" s="110"/>
      <c r="T47" s="108"/>
      <c r="U47" s="92"/>
      <c r="V47" s="90"/>
      <c r="W47" s="162" t="s">
        <v>24</v>
      </c>
      <c r="X47" s="141">
        <f t="shared" ref="X47:X49" si="106">E47</f>
        <v>0</v>
      </c>
      <c r="Y47" s="141">
        <f t="shared" ref="Y47:Y49" si="107">F47</f>
        <v>0</v>
      </c>
      <c r="Z47" s="141">
        <f t="shared" si="103"/>
        <v>0</v>
      </c>
      <c r="AA47" s="95">
        <f t="shared" ref="AA47:AA49" si="108">H47</f>
        <v>0</v>
      </c>
      <c r="AB47" s="141">
        <f t="shared" ref="AB47:AB48" si="109">Z47</f>
        <v>0</v>
      </c>
      <c r="AC47" s="141">
        <f t="shared" ref="AC47:AC48" si="110">Z47</f>
        <v>0</v>
      </c>
      <c r="AD47" s="90"/>
      <c r="AE47" s="92"/>
      <c r="AF47" s="194"/>
      <c r="AG47" s="90"/>
      <c r="AH47" s="90"/>
      <c r="AI47" s="90"/>
      <c r="AJ47" s="90"/>
      <c r="AK47" s="90"/>
    </row>
    <row r="48" spans="1:37" s="11" customFormat="1" ht="14.4">
      <c r="A48" s="18"/>
      <c r="B48" s="201"/>
      <c r="C48" s="162"/>
      <c r="D48" s="108"/>
      <c r="E48" s="108"/>
      <c r="F48" s="108"/>
      <c r="G48" s="166"/>
      <c r="H48" s="92"/>
      <c r="I48" s="108"/>
      <c r="J48" s="108"/>
      <c r="K48" s="90"/>
      <c r="L48" s="162"/>
      <c r="M48" s="108"/>
      <c r="N48" s="162"/>
      <c r="O48" s="108"/>
      <c r="P48" s="92"/>
      <c r="Q48" s="92"/>
      <c r="R48" s="108"/>
      <c r="S48" s="110"/>
      <c r="T48" s="108"/>
      <c r="U48" s="92"/>
      <c r="V48" s="90"/>
      <c r="W48" s="162" t="s">
        <v>19</v>
      </c>
      <c r="X48" s="141">
        <f t="shared" si="106"/>
        <v>0</v>
      </c>
      <c r="Y48" s="141">
        <f t="shared" si="107"/>
        <v>0</v>
      </c>
      <c r="Z48" s="141">
        <f t="shared" si="103"/>
        <v>0</v>
      </c>
      <c r="AA48" s="95">
        <f t="shared" si="108"/>
        <v>0</v>
      </c>
      <c r="AB48" s="141">
        <f t="shared" si="109"/>
        <v>0</v>
      </c>
      <c r="AC48" s="141">
        <f t="shared" si="110"/>
        <v>0</v>
      </c>
      <c r="AD48" s="90"/>
      <c r="AE48" s="92"/>
      <c r="AF48" s="194"/>
      <c r="AG48" s="90"/>
      <c r="AH48" s="90"/>
      <c r="AI48" s="90"/>
      <c r="AJ48" s="90"/>
      <c r="AK48" s="90"/>
    </row>
    <row r="49" spans="1:37" s="11" customFormat="1" ht="14.4">
      <c r="A49" s="18"/>
      <c r="B49" s="201" t="s">
        <v>603</v>
      </c>
      <c r="C49" s="162" t="s">
        <v>28</v>
      </c>
      <c r="D49" s="108">
        <v>1</v>
      </c>
      <c r="E49" s="108" t="s">
        <v>57</v>
      </c>
      <c r="F49" s="108" t="s">
        <v>57</v>
      </c>
      <c r="G49" s="168">
        <v>3.75</v>
      </c>
      <c r="H49" s="92"/>
      <c r="I49" s="108">
        <f t="shared" ref="I49" si="111">(G49-H49)</f>
        <v>3.75</v>
      </c>
      <c r="J49" s="108">
        <f t="shared" ref="J49" si="112">I49*D49</f>
        <v>3.75</v>
      </c>
      <c r="K49" s="90"/>
      <c r="L49" s="162" t="s">
        <v>21</v>
      </c>
      <c r="M49" s="108">
        <v>1</v>
      </c>
      <c r="N49" s="263">
        <v>8.3000000000000007</v>
      </c>
      <c r="O49" s="169">
        <v>2.7</v>
      </c>
      <c r="P49" s="92"/>
      <c r="Q49" s="92"/>
      <c r="R49" s="108">
        <f t="shared" ref="R49" si="113">(N49*O49-P49)*M49</f>
        <v>22.410000000000004</v>
      </c>
      <c r="S49" s="110"/>
      <c r="T49" s="108" t="s">
        <v>22</v>
      </c>
      <c r="U49" s="163">
        <f>N49*M49</f>
        <v>8.3000000000000007</v>
      </c>
      <c r="V49" s="90"/>
      <c r="W49" s="162" t="s">
        <v>17</v>
      </c>
      <c r="X49" s="108" t="str">
        <f t="shared" si="106"/>
        <v>cad</v>
      </c>
      <c r="Y49" s="108" t="str">
        <f t="shared" si="107"/>
        <v>cad</v>
      </c>
      <c r="Z49" s="108">
        <f t="shared" ref="Z49" si="114">G49</f>
        <v>3.75</v>
      </c>
      <c r="AA49" s="108">
        <f t="shared" si="108"/>
        <v>0</v>
      </c>
      <c r="AB49" s="108">
        <f t="shared" ref="AB49" si="115">I49</f>
        <v>3.75</v>
      </c>
      <c r="AC49" s="108">
        <f t="shared" ref="AC49" si="116">J49</f>
        <v>3.75</v>
      </c>
      <c r="AD49" s="90"/>
      <c r="AE49" s="92" t="s">
        <v>17</v>
      </c>
      <c r="AF49" s="194">
        <f t="shared" ref="AF49:AF55" si="117">N49*M49</f>
        <v>8.3000000000000007</v>
      </c>
      <c r="AG49" s="90"/>
      <c r="AH49" s="90"/>
      <c r="AI49" s="90"/>
      <c r="AJ49" s="90"/>
      <c r="AK49" s="90"/>
    </row>
    <row r="50" spans="1:37" s="11" customFormat="1" ht="14.4">
      <c r="A50" s="18"/>
      <c r="B50" s="201" t="s">
        <v>604</v>
      </c>
      <c r="C50" s="162" t="s">
        <v>28</v>
      </c>
      <c r="D50" s="108">
        <v>1</v>
      </c>
      <c r="E50" s="108" t="s">
        <v>57</v>
      </c>
      <c r="F50" s="108" t="s">
        <v>57</v>
      </c>
      <c r="G50" s="168">
        <v>9.59</v>
      </c>
      <c r="H50" s="92"/>
      <c r="I50" s="108">
        <f t="shared" ref="I50:I51" si="118">(G50-H50)</f>
        <v>9.59</v>
      </c>
      <c r="J50" s="108">
        <f t="shared" ref="J50:J51" si="119">I50*D50</f>
        <v>9.59</v>
      </c>
      <c r="K50" s="90"/>
      <c r="L50" s="162" t="s">
        <v>21</v>
      </c>
      <c r="M50" s="108">
        <v>1</v>
      </c>
      <c r="N50" s="201">
        <v>12.92</v>
      </c>
      <c r="O50" s="169">
        <v>2.7</v>
      </c>
      <c r="P50" s="92"/>
      <c r="Q50" s="92"/>
      <c r="R50" s="108">
        <f t="shared" ref="R50:R51" si="120">(N50*O50-P50)*M50</f>
        <v>34.884</v>
      </c>
      <c r="S50" s="110"/>
      <c r="T50" s="108" t="s">
        <v>22</v>
      </c>
      <c r="U50" s="163">
        <f t="shared" ref="U50:U51" si="121">N50*M50</f>
        <v>12.92</v>
      </c>
      <c r="V50" s="90"/>
      <c r="W50" s="162" t="s">
        <v>17</v>
      </c>
      <c r="X50" s="108" t="str">
        <f t="shared" ref="X50:X51" si="122">E50</f>
        <v>cad</v>
      </c>
      <c r="Y50" s="108" t="str">
        <f t="shared" ref="Y50:Y51" si="123">F50</f>
        <v>cad</v>
      </c>
      <c r="Z50" s="108">
        <f t="shared" ref="Z50:Z51" si="124">G50</f>
        <v>9.59</v>
      </c>
      <c r="AA50" s="108">
        <f t="shared" ref="AA50:AA51" si="125">H50</f>
        <v>0</v>
      </c>
      <c r="AB50" s="108">
        <f t="shared" ref="AB50:AB51" si="126">I50</f>
        <v>9.59</v>
      </c>
      <c r="AC50" s="108">
        <f t="shared" ref="AC50:AC51" si="127">J50</f>
        <v>9.59</v>
      </c>
      <c r="AD50" s="90"/>
      <c r="AE50" s="92" t="s">
        <v>17</v>
      </c>
      <c r="AF50" s="194">
        <f t="shared" si="117"/>
        <v>12.92</v>
      </c>
      <c r="AG50" s="90"/>
      <c r="AH50" s="90"/>
      <c r="AI50" s="90"/>
      <c r="AJ50" s="90"/>
      <c r="AK50" s="90"/>
    </row>
    <row r="51" spans="1:37" s="11" customFormat="1" ht="14.4">
      <c r="A51" s="18"/>
      <c r="B51" s="201" t="s">
        <v>394</v>
      </c>
      <c r="C51" s="162" t="s">
        <v>28</v>
      </c>
      <c r="D51" s="108">
        <v>1</v>
      </c>
      <c r="E51" s="108" t="s">
        <v>57</v>
      </c>
      <c r="F51" s="108" t="s">
        <v>57</v>
      </c>
      <c r="G51" s="168">
        <v>5.91</v>
      </c>
      <c r="H51" s="92"/>
      <c r="I51" s="108">
        <f t="shared" si="118"/>
        <v>5.91</v>
      </c>
      <c r="J51" s="108">
        <f t="shared" si="119"/>
        <v>5.91</v>
      </c>
      <c r="K51" s="90"/>
      <c r="L51" s="162" t="s">
        <v>21</v>
      </c>
      <c r="M51" s="108">
        <v>1</v>
      </c>
      <c r="N51" s="201">
        <v>10.19</v>
      </c>
      <c r="O51" s="169">
        <v>2.7</v>
      </c>
      <c r="P51" s="92"/>
      <c r="Q51" s="92"/>
      <c r="R51" s="108">
        <f t="shared" si="120"/>
        <v>27.513000000000002</v>
      </c>
      <c r="S51" s="110"/>
      <c r="T51" s="108" t="s">
        <v>22</v>
      </c>
      <c r="U51" s="163">
        <f t="shared" si="121"/>
        <v>10.19</v>
      </c>
      <c r="V51" s="90"/>
      <c r="W51" s="162" t="s">
        <v>17</v>
      </c>
      <c r="X51" s="108" t="str">
        <f t="shared" si="122"/>
        <v>cad</v>
      </c>
      <c r="Y51" s="108" t="str">
        <f t="shared" si="123"/>
        <v>cad</v>
      </c>
      <c r="Z51" s="108">
        <f t="shared" si="124"/>
        <v>5.91</v>
      </c>
      <c r="AA51" s="108">
        <f t="shared" si="125"/>
        <v>0</v>
      </c>
      <c r="AB51" s="108">
        <f t="shared" si="126"/>
        <v>5.91</v>
      </c>
      <c r="AC51" s="108">
        <f t="shared" si="127"/>
        <v>5.91</v>
      </c>
      <c r="AD51" s="90"/>
      <c r="AE51" s="92" t="s">
        <v>17</v>
      </c>
      <c r="AF51" s="194">
        <f t="shared" si="117"/>
        <v>10.19</v>
      </c>
      <c r="AG51" s="90"/>
      <c r="AH51" s="90"/>
      <c r="AI51" s="90"/>
      <c r="AJ51" s="90"/>
      <c r="AK51" s="90"/>
    </row>
    <row r="52" spans="1:37" s="11" customFormat="1" ht="14.4">
      <c r="A52" s="18"/>
      <c r="B52" s="201" t="s">
        <v>605</v>
      </c>
      <c r="C52" s="162" t="s">
        <v>28</v>
      </c>
      <c r="D52" s="108">
        <v>1</v>
      </c>
      <c r="E52" s="108" t="s">
        <v>57</v>
      </c>
      <c r="F52" s="108" t="s">
        <v>57</v>
      </c>
      <c r="G52" s="168">
        <v>6.24</v>
      </c>
      <c r="H52" s="92"/>
      <c r="I52" s="108">
        <f t="shared" ref="I52" si="128">(G52-H52)</f>
        <v>6.24</v>
      </c>
      <c r="J52" s="108">
        <f t="shared" ref="J52" si="129">I52*D52</f>
        <v>6.24</v>
      </c>
      <c r="K52" s="90"/>
      <c r="L52" s="162" t="s">
        <v>21</v>
      </c>
      <c r="M52" s="108">
        <v>1</v>
      </c>
      <c r="N52" s="264">
        <v>10</v>
      </c>
      <c r="O52" s="169">
        <v>2.7</v>
      </c>
      <c r="P52" s="92"/>
      <c r="Q52" s="92"/>
      <c r="R52" s="108">
        <f t="shared" ref="R52" si="130">(N52*O52-P52)*M52</f>
        <v>27</v>
      </c>
      <c r="S52" s="110"/>
      <c r="T52" s="108" t="s">
        <v>22</v>
      </c>
      <c r="U52" s="163">
        <f t="shared" ref="U52" si="131">N52*M52</f>
        <v>10</v>
      </c>
      <c r="V52" s="90"/>
      <c r="W52" s="162" t="s">
        <v>17</v>
      </c>
      <c r="X52" s="108" t="str">
        <f t="shared" ref="X52" si="132">E52</f>
        <v>cad</v>
      </c>
      <c r="Y52" s="108" t="str">
        <f t="shared" ref="Y52" si="133">F52</f>
        <v>cad</v>
      </c>
      <c r="Z52" s="108">
        <f t="shared" ref="Z52" si="134">G52</f>
        <v>6.24</v>
      </c>
      <c r="AA52" s="108">
        <f t="shared" ref="AA52" si="135">H52</f>
        <v>0</v>
      </c>
      <c r="AB52" s="108">
        <f t="shared" ref="AB52" si="136">I52</f>
        <v>6.24</v>
      </c>
      <c r="AC52" s="108">
        <f t="shared" ref="AC52" si="137">J52</f>
        <v>6.24</v>
      </c>
      <c r="AD52" s="90"/>
      <c r="AE52" s="92" t="s">
        <v>17</v>
      </c>
      <c r="AF52" s="194">
        <f t="shared" si="117"/>
        <v>10</v>
      </c>
      <c r="AG52" s="90"/>
      <c r="AH52" s="90"/>
      <c r="AI52" s="90"/>
      <c r="AJ52" s="90"/>
      <c r="AK52" s="90"/>
    </row>
    <row r="53" spans="1:37" s="11" customFormat="1" ht="14.4">
      <c r="A53" s="18"/>
      <c r="B53" s="201" t="s">
        <v>606</v>
      </c>
      <c r="C53" s="162" t="s">
        <v>28</v>
      </c>
      <c r="D53" s="108">
        <v>1</v>
      </c>
      <c r="E53" s="108" t="s">
        <v>57</v>
      </c>
      <c r="F53" s="108" t="s">
        <v>57</v>
      </c>
      <c r="G53" s="168">
        <v>7.07</v>
      </c>
      <c r="H53" s="92"/>
      <c r="I53" s="108">
        <f t="shared" ref="I53" si="138">(G53-H53)</f>
        <v>7.07</v>
      </c>
      <c r="J53" s="108">
        <f t="shared" ref="J53" si="139">I53*D53</f>
        <v>7.07</v>
      </c>
      <c r="K53" s="90"/>
      <c r="L53" s="162" t="s">
        <v>21</v>
      </c>
      <c r="M53" s="108">
        <v>1</v>
      </c>
      <c r="N53" s="264">
        <v>11.12</v>
      </c>
      <c r="O53" s="169">
        <v>2.7</v>
      </c>
      <c r="P53" s="92"/>
      <c r="Q53" s="92"/>
      <c r="R53" s="108">
        <f t="shared" ref="R53" si="140">(N53*O53-P53)*M53</f>
        <v>30.024000000000001</v>
      </c>
      <c r="S53" s="110"/>
      <c r="T53" s="108" t="s">
        <v>22</v>
      </c>
      <c r="U53" s="163">
        <f t="shared" ref="U53" si="141">N53*M53</f>
        <v>11.12</v>
      </c>
      <c r="V53" s="90"/>
      <c r="W53" s="162" t="s">
        <v>17</v>
      </c>
      <c r="X53" s="108" t="str">
        <f t="shared" ref="X53" si="142">E53</f>
        <v>cad</v>
      </c>
      <c r="Y53" s="108" t="str">
        <f t="shared" ref="Y53" si="143">F53</f>
        <v>cad</v>
      </c>
      <c r="Z53" s="108">
        <f t="shared" ref="Z53" si="144">G53</f>
        <v>7.07</v>
      </c>
      <c r="AA53" s="108">
        <f t="shared" ref="AA53" si="145">H53</f>
        <v>0</v>
      </c>
      <c r="AB53" s="108">
        <f t="shared" ref="AB53" si="146">I53</f>
        <v>7.07</v>
      </c>
      <c r="AC53" s="108">
        <f t="shared" ref="AC53" si="147">J53</f>
        <v>7.07</v>
      </c>
      <c r="AD53" s="90"/>
      <c r="AE53" s="92" t="s">
        <v>17</v>
      </c>
      <c r="AF53" s="194">
        <f t="shared" si="117"/>
        <v>11.12</v>
      </c>
      <c r="AG53" s="90"/>
      <c r="AH53" s="90"/>
      <c r="AI53" s="90"/>
      <c r="AJ53" s="90"/>
      <c r="AK53" s="90"/>
    </row>
    <row r="54" spans="1:37" s="11" customFormat="1" ht="14.4">
      <c r="A54" s="18"/>
      <c r="B54" s="201" t="s">
        <v>607</v>
      </c>
      <c r="C54" s="162" t="s">
        <v>28</v>
      </c>
      <c r="D54" s="108">
        <v>1</v>
      </c>
      <c r="E54" s="108" t="s">
        <v>57</v>
      </c>
      <c r="F54" s="108" t="s">
        <v>57</v>
      </c>
      <c r="G54" s="168">
        <v>4.75</v>
      </c>
      <c r="H54" s="92"/>
      <c r="I54" s="108">
        <f t="shared" ref="I54" si="148">(G54-H54)</f>
        <v>4.75</v>
      </c>
      <c r="J54" s="108">
        <f t="shared" ref="J54" si="149">I54*D54</f>
        <v>4.75</v>
      </c>
      <c r="K54" s="90"/>
      <c r="L54" s="162" t="s">
        <v>21</v>
      </c>
      <c r="M54" s="108">
        <v>1</v>
      </c>
      <c r="N54" s="264">
        <f>8.8-2.5</f>
        <v>6.3000000000000007</v>
      </c>
      <c r="O54" s="169">
        <v>2.7</v>
      </c>
      <c r="P54" s="92"/>
      <c r="Q54" s="92"/>
      <c r="R54" s="108">
        <f t="shared" ref="R54" si="150">(N54*O54-P54)*M54</f>
        <v>17.010000000000002</v>
      </c>
      <c r="S54" s="110"/>
      <c r="T54" s="108" t="s">
        <v>22</v>
      </c>
      <c r="U54" s="163">
        <f t="shared" ref="U54" si="151">N54*M54</f>
        <v>6.3000000000000007</v>
      </c>
      <c r="V54" s="90"/>
      <c r="W54" s="162" t="s">
        <v>17</v>
      </c>
      <c r="X54" s="108" t="str">
        <f t="shared" ref="X54:X55" si="152">E54</f>
        <v>cad</v>
      </c>
      <c r="Y54" s="108" t="str">
        <f t="shared" ref="Y54:Y55" si="153">F54</f>
        <v>cad</v>
      </c>
      <c r="Z54" s="108">
        <f t="shared" ref="Z54:Z55" si="154">G54</f>
        <v>4.75</v>
      </c>
      <c r="AA54" s="108">
        <f t="shared" ref="AA54:AA55" si="155">H54</f>
        <v>0</v>
      </c>
      <c r="AB54" s="108">
        <f t="shared" ref="AB54:AB55" si="156">I54</f>
        <v>4.75</v>
      </c>
      <c r="AC54" s="108">
        <f t="shared" ref="AC54:AC55" si="157">J54</f>
        <v>4.75</v>
      </c>
      <c r="AD54" s="90"/>
      <c r="AE54" s="92" t="s">
        <v>17</v>
      </c>
      <c r="AF54" s="194">
        <f t="shared" si="117"/>
        <v>6.3000000000000007</v>
      </c>
      <c r="AG54" s="90"/>
      <c r="AH54" s="90"/>
      <c r="AI54" s="90"/>
      <c r="AJ54" s="90"/>
      <c r="AK54" s="90"/>
    </row>
    <row r="55" spans="1:37" s="11" customFormat="1" ht="14.4">
      <c r="A55" s="18"/>
      <c r="B55" s="201" t="s">
        <v>607</v>
      </c>
      <c r="C55" s="162" t="s">
        <v>28</v>
      </c>
      <c r="D55" s="108">
        <v>1</v>
      </c>
      <c r="E55" s="108" t="s">
        <v>57</v>
      </c>
      <c r="F55" s="108" t="s">
        <v>57</v>
      </c>
      <c r="G55" s="168">
        <v>4.5599999999999996</v>
      </c>
      <c r="H55" s="92"/>
      <c r="I55" s="108">
        <f t="shared" ref="I55" si="158">(G55-H55)</f>
        <v>4.5599999999999996</v>
      </c>
      <c r="J55" s="108">
        <f t="shared" ref="J55" si="159">I55*D55</f>
        <v>4.5599999999999996</v>
      </c>
      <c r="K55" s="90"/>
      <c r="L55" s="162" t="s">
        <v>21</v>
      </c>
      <c r="M55" s="108">
        <v>1</v>
      </c>
      <c r="N55" s="264">
        <f>8.6-2.4</f>
        <v>6.1999999999999993</v>
      </c>
      <c r="O55" s="169">
        <v>2.7</v>
      </c>
      <c r="P55" s="92"/>
      <c r="Q55" s="92"/>
      <c r="R55" s="108">
        <f t="shared" ref="R55" si="160">(N55*O55-P55)*M55</f>
        <v>16.739999999999998</v>
      </c>
      <c r="S55" s="110"/>
      <c r="T55" s="108" t="s">
        <v>22</v>
      </c>
      <c r="U55" s="163">
        <f t="shared" ref="U55" si="161">N55*M55</f>
        <v>6.1999999999999993</v>
      </c>
      <c r="V55" s="90"/>
      <c r="W55" s="162" t="s">
        <v>17</v>
      </c>
      <c r="X55" s="108" t="str">
        <f t="shared" si="152"/>
        <v>cad</v>
      </c>
      <c r="Y55" s="108" t="str">
        <f t="shared" si="153"/>
        <v>cad</v>
      </c>
      <c r="Z55" s="108">
        <f t="shared" si="154"/>
        <v>4.5599999999999996</v>
      </c>
      <c r="AA55" s="108">
        <f t="shared" si="155"/>
        <v>0</v>
      </c>
      <c r="AB55" s="108">
        <f t="shared" si="156"/>
        <v>4.5599999999999996</v>
      </c>
      <c r="AC55" s="108">
        <f t="shared" si="157"/>
        <v>4.5599999999999996</v>
      </c>
      <c r="AD55" s="90"/>
      <c r="AE55" s="92" t="s">
        <v>17</v>
      </c>
      <c r="AF55" s="194">
        <f t="shared" si="117"/>
        <v>6.1999999999999993</v>
      </c>
      <c r="AG55" s="90"/>
      <c r="AH55" s="90"/>
      <c r="AI55" s="90"/>
      <c r="AJ55" s="90"/>
      <c r="AK55" s="90"/>
    </row>
    <row r="56" spans="1:37" s="11" customFormat="1" ht="14.4">
      <c r="A56" s="18"/>
      <c r="B56" s="201" t="s">
        <v>380</v>
      </c>
      <c r="C56" s="162" t="s">
        <v>28</v>
      </c>
      <c r="D56" s="108">
        <v>2</v>
      </c>
      <c r="E56" s="108" t="s">
        <v>57</v>
      </c>
      <c r="F56" s="108" t="s">
        <v>57</v>
      </c>
      <c r="G56" s="168">
        <v>4.5199999999999996</v>
      </c>
      <c r="H56" s="92"/>
      <c r="I56" s="108">
        <f t="shared" ref="I56:I61" si="162">(G56-H56)</f>
        <v>4.5199999999999996</v>
      </c>
      <c r="J56" s="108">
        <f t="shared" ref="J56:J61" si="163">I56*D56</f>
        <v>9.0399999999999991</v>
      </c>
      <c r="K56" s="90"/>
      <c r="L56" s="162" t="s">
        <v>21</v>
      </c>
      <c r="M56" s="108">
        <v>2</v>
      </c>
      <c r="N56" s="264">
        <v>8.51</v>
      </c>
      <c r="O56" s="169">
        <v>2.7</v>
      </c>
      <c r="P56" s="92"/>
      <c r="Q56" s="92"/>
      <c r="R56" s="108">
        <f t="shared" ref="R56:R61" si="164">(N56*O56-P56)*M56</f>
        <v>45.954000000000001</v>
      </c>
      <c r="S56" s="110"/>
      <c r="T56" s="108" t="s">
        <v>22</v>
      </c>
      <c r="U56" s="163">
        <f t="shared" ref="U56:U61" si="165">N56*M56</f>
        <v>17.02</v>
      </c>
      <c r="V56" s="90"/>
      <c r="W56" s="162" t="s">
        <v>27</v>
      </c>
      <c r="X56" s="108" t="str">
        <f t="shared" ref="X56" si="166">E56</f>
        <v>cad</v>
      </c>
      <c r="Y56" s="108" t="str">
        <f t="shared" ref="Y56" si="167">F56</f>
        <v>cad</v>
      </c>
      <c r="Z56" s="108">
        <f t="shared" ref="Z56:Z61" si="168">G56</f>
        <v>4.5199999999999996</v>
      </c>
      <c r="AA56" s="108">
        <f t="shared" ref="AA56" si="169">H56</f>
        <v>0</v>
      </c>
      <c r="AB56" s="108">
        <f t="shared" ref="AB56:AB61" si="170">I56</f>
        <v>4.5199999999999996</v>
      </c>
      <c r="AC56" s="108">
        <f t="shared" ref="AC56:AC61" si="171">J56</f>
        <v>9.0399999999999991</v>
      </c>
      <c r="AD56" s="90"/>
      <c r="AE56" s="92"/>
      <c r="AF56" s="194"/>
      <c r="AG56" s="90"/>
      <c r="AH56" s="90"/>
      <c r="AI56" s="90"/>
      <c r="AJ56" s="90"/>
      <c r="AK56" s="90"/>
    </row>
    <row r="57" spans="1:37" s="11" customFormat="1" ht="14.4">
      <c r="A57" s="18"/>
      <c r="B57" s="201" t="s">
        <v>380</v>
      </c>
      <c r="C57" s="162" t="s">
        <v>28</v>
      </c>
      <c r="D57" s="108">
        <v>2</v>
      </c>
      <c r="E57" s="108" t="s">
        <v>57</v>
      </c>
      <c r="F57" s="108" t="s">
        <v>57</v>
      </c>
      <c r="G57" s="168">
        <v>4.32</v>
      </c>
      <c r="H57" s="92"/>
      <c r="I57" s="108">
        <f t="shared" ref="I57" si="172">(G57-H57)</f>
        <v>4.32</v>
      </c>
      <c r="J57" s="108">
        <f t="shared" ref="J57" si="173">I57*D57</f>
        <v>8.64</v>
      </c>
      <c r="K57" s="90"/>
      <c r="L57" s="162" t="s">
        <v>21</v>
      </c>
      <c r="M57" s="108">
        <v>2</v>
      </c>
      <c r="N57" s="264">
        <v>8.33</v>
      </c>
      <c r="O57" s="169">
        <v>2.7</v>
      </c>
      <c r="P57" s="92"/>
      <c r="Q57" s="92"/>
      <c r="R57" s="108">
        <f t="shared" ref="R57" si="174">(N57*O57-P57)*M57</f>
        <v>44.982000000000006</v>
      </c>
      <c r="S57" s="110"/>
      <c r="T57" s="108" t="s">
        <v>22</v>
      </c>
      <c r="U57" s="163">
        <f t="shared" ref="U57" si="175">N57*M57</f>
        <v>16.66</v>
      </c>
      <c r="V57" s="90"/>
      <c r="W57" s="162" t="s">
        <v>27</v>
      </c>
      <c r="X57" s="108" t="str">
        <f t="shared" ref="X57" si="176">E57</f>
        <v>cad</v>
      </c>
      <c r="Y57" s="108" t="str">
        <f t="shared" ref="Y57" si="177">F57</f>
        <v>cad</v>
      </c>
      <c r="Z57" s="108">
        <f t="shared" ref="Z57" si="178">G57</f>
        <v>4.32</v>
      </c>
      <c r="AA57" s="108">
        <f t="shared" ref="AA57" si="179">H57</f>
        <v>0</v>
      </c>
      <c r="AB57" s="108">
        <f t="shared" ref="AB57" si="180">I57</f>
        <v>4.32</v>
      </c>
      <c r="AC57" s="108">
        <f t="shared" ref="AC57" si="181">J57</f>
        <v>8.64</v>
      </c>
      <c r="AD57" s="90"/>
      <c r="AE57" s="92"/>
      <c r="AF57" s="194"/>
      <c r="AG57" s="90"/>
      <c r="AH57" s="90"/>
      <c r="AI57" s="90"/>
      <c r="AJ57" s="90"/>
      <c r="AK57" s="90"/>
    </row>
    <row r="58" spans="1:37" s="11" customFormat="1" ht="14.4">
      <c r="A58" s="18"/>
      <c r="B58" s="201" t="s">
        <v>380</v>
      </c>
      <c r="C58" s="162" t="s">
        <v>28</v>
      </c>
      <c r="D58" s="108">
        <v>1</v>
      </c>
      <c r="E58" s="108" t="s">
        <v>57</v>
      </c>
      <c r="F58" s="108" t="s">
        <v>57</v>
      </c>
      <c r="G58" s="168">
        <v>11.2</v>
      </c>
      <c r="H58" s="92"/>
      <c r="I58" s="108">
        <f t="shared" ref="I58" si="182">(G58-H58)</f>
        <v>11.2</v>
      </c>
      <c r="J58" s="108">
        <f t="shared" ref="J58" si="183">I58*D58</f>
        <v>11.2</v>
      </c>
      <c r="K58" s="90"/>
      <c r="L58" s="162" t="s">
        <v>21</v>
      </c>
      <c r="M58" s="108">
        <v>1</v>
      </c>
      <c r="N58" s="264">
        <v>15.34</v>
      </c>
      <c r="O58" s="169">
        <v>2.7</v>
      </c>
      <c r="P58" s="92"/>
      <c r="Q58" s="92"/>
      <c r="R58" s="108">
        <f t="shared" ref="R58" si="184">(N58*O58-P58)*M58</f>
        <v>41.417999999999999</v>
      </c>
      <c r="S58" s="110"/>
      <c r="T58" s="108" t="s">
        <v>22</v>
      </c>
      <c r="U58" s="163">
        <f t="shared" ref="U58" si="185">N58*M58</f>
        <v>15.34</v>
      </c>
      <c r="V58" s="90"/>
      <c r="W58" s="162" t="s">
        <v>17</v>
      </c>
      <c r="X58" s="108" t="str">
        <f t="shared" ref="X58" si="186">E58</f>
        <v>cad</v>
      </c>
      <c r="Y58" s="108" t="str">
        <f t="shared" ref="Y58" si="187">F58</f>
        <v>cad</v>
      </c>
      <c r="Z58" s="108">
        <f t="shared" ref="Z58" si="188">G58</f>
        <v>11.2</v>
      </c>
      <c r="AA58" s="108">
        <f t="shared" ref="AA58" si="189">H58</f>
        <v>0</v>
      </c>
      <c r="AB58" s="108">
        <f t="shared" ref="AB58" si="190">I58</f>
        <v>11.2</v>
      </c>
      <c r="AC58" s="108">
        <f t="shared" ref="AC58" si="191">J58</f>
        <v>11.2</v>
      </c>
      <c r="AD58" s="90"/>
      <c r="AE58" s="92" t="s">
        <v>17</v>
      </c>
      <c r="AF58" s="194">
        <f t="shared" ref="AF58:AF61" si="192">N58*M58</f>
        <v>15.34</v>
      </c>
      <c r="AG58" s="90"/>
      <c r="AH58" s="90"/>
      <c r="AI58" s="90"/>
      <c r="AJ58" s="90"/>
      <c r="AK58" s="90"/>
    </row>
    <row r="59" spans="1:37" s="11" customFormat="1" ht="14.4">
      <c r="A59" s="18"/>
      <c r="B59" s="201" t="s">
        <v>608</v>
      </c>
      <c r="C59" s="162" t="s">
        <v>28</v>
      </c>
      <c r="D59" s="108">
        <v>1</v>
      </c>
      <c r="E59" s="108" t="s">
        <v>57</v>
      </c>
      <c r="F59" s="108" t="s">
        <v>57</v>
      </c>
      <c r="G59" s="169">
        <v>11.97</v>
      </c>
      <c r="H59" s="92"/>
      <c r="I59" s="108">
        <f t="shared" si="162"/>
        <v>11.97</v>
      </c>
      <c r="J59" s="108">
        <f t="shared" si="163"/>
        <v>11.97</v>
      </c>
      <c r="K59" s="90"/>
      <c r="L59" s="162" t="s">
        <v>21</v>
      </c>
      <c r="M59" s="108">
        <v>1</v>
      </c>
      <c r="N59" s="264">
        <v>14.65</v>
      </c>
      <c r="O59" s="169">
        <v>2.7</v>
      </c>
      <c r="P59" s="92"/>
      <c r="Q59" s="92"/>
      <c r="R59" s="108">
        <f t="shared" si="164"/>
        <v>39.555000000000007</v>
      </c>
      <c r="S59" s="110"/>
      <c r="T59" s="108" t="s">
        <v>22</v>
      </c>
      <c r="U59" s="92">
        <f t="shared" si="165"/>
        <v>14.65</v>
      </c>
      <c r="V59" s="90"/>
      <c r="W59" s="162" t="s">
        <v>17</v>
      </c>
      <c r="X59" s="108" t="str">
        <f t="shared" ref="X59:X61" si="193">E59</f>
        <v>cad</v>
      </c>
      <c r="Y59" s="108" t="str">
        <f t="shared" ref="Y59:Y61" si="194">F59</f>
        <v>cad</v>
      </c>
      <c r="Z59" s="108">
        <f t="shared" si="168"/>
        <v>11.97</v>
      </c>
      <c r="AA59" s="108"/>
      <c r="AB59" s="108">
        <f t="shared" si="170"/>
        <v>11.97</v>
      </c>
      <c r="AC59" s="108">
        <f t="shared" si="171"/>
        <v>11.97</v>
      </c>
      <c r="AD59" s="90"/>
      <c r="AE59" s="92" t="s">
        <v>17</v>
      </c>
      <c r="AF59" s="194">
        <f t="shared" si="192"/>
        <v>14.65</v>
      </c>
      <c r="AG59" s="90"/>
      <c r="AH59" s="90"/>
      <c r="AI59" s="90"/>
      <c r="AJ59" s="90"/>
      <c r="AK59" s="90"/>
    </row>
    <row r="60" spans="1:37" s="11" customFormat="1" ht="14.4">
      <c r="A60" s="18"/>
      <c r="B60" s="201" t="s">
        <v>609</v>
      </c>
      <c r="C60" s="162" t="s">
        <v>28</v>
      </c>
      <c r="D60" s="108">
        <v>1</v>
      </c>
      <c r="E60" s="108" t="s">
        <v>57</v>
      </c>
      <c r="F60" s="108" t="s">
        <v>57</v>
      </c>
      <c r="G60" s="169">
        <v>7.7</v>
      </c>
      <c r="H60" s="92"/>
      <c r="I60" s="108">
        <f t="shared" si="162"/>
        <v>7.7</v>
      </c>
      <c r="J60" s="108">
        <f t="shared" si="163"/>
        <v>7.7</v>
      </c>
      <c r="K60" s="90"/>
      <c r="L60" s="162" t="s">
        <v>21</v>
      </c>
      <c r="M60" s="108">
        <v>1</v>
      </c>
      <c r="N60" s="264">
        <v>11.4</v>
      </c>
      <c r="O60" s="169">
        <v>2.7</v>
      </c>
      <c r="P60" s="92"/>
      <c r="Q60" s="92"/>
      <c r="R60" s="108">
        <f t="shared" si="164"/>
        <v>30.780000000000005</v>
      </c>
      <c r="S60" s="110"/>
      <c r="T60" s="108" t="s">
        <v>22</v>
      </c>
      <c r="U60" s="163">
        <f t="shared" si="165"/>
        <v>11.4</v>
      </c>
      <c r="V60" s="90"/>
      <c r="W60" s="162" t="s">
        <v>17</v>
      </c>
      <c r="X60" s="108" t="str">
        <f t="shared" si="193"/>
        <v>cad</v>
      </c>
      <c r="Y60" s="108" t="str">
        <f t="shared" si="194"/>
        <v>cad</v>
      </c>
      <c r="Z60" s="108">
        <f t="shared" si="168"/>
        <v>7.7</v>
      </c>
      <c r="AA60" s="108"/>
      <c r="AB60" s="108">
        <f t="shared" si="170"/>
        <v>7.7</v>
      </c>
      <c r="AC60" s="108">
        <f t="shared" si="171"/>
        <v>7.7</v>
      </c>
      <c r="AD60" s="90"/>
      <c r="AE60" s="92" t="s">
        <v>17</v>
      </c>
      <c r="AF60" s="194">
        <f t="shared" si="192"/>
        <v>11.4</v>
      </c>
      <c r="AG60" s="90"/>
      <c r="AH60" s="90"/>
      <c r="AI60" s="90"/>
      <c r="AJ60" s="90"/>
      <c r="AK60" s="90"/>
    </row>
    <row r="61" spans="1:37" s="11" customFormat="1" ht="14.4">
      <c r="A61" s="18"/>
      <c r="B61" s="201" t="s">
        <v>609</v>
      </c>
      <c r="C61" s="162" t="s">
        <v>28</v>
      </c>
      <c r="D61" s="108">
        <v>1</v>
      </c>
      <c r="E61" s="108" t="s">
        <v>57</v>
      </c>
      <c r="F61" s="108" t="s">
        <v>57</v>
      </c>
      <c r="G61" s="169">
        <v>10.28</v>
      </c>
      <c r="H61" s="92"/>
      <c r="I61" s="108">
        <f t="shared" si="162"/>
        <v>10.28</v>
      </c>
      <c r="J61" s="108">
        <f t="shared" si="163"/>
        <v>10.28</v>
      </c>
      <c r="K61" s="90"/>
      <c r="L61" s="162" t="s">
        <v>21</v>
      </c>
      <c r="M61" s="108">
        <v>1</v>
      </c>
      <c r="N61" s="264">
        <v>14.1</v>
      </c>
      <c r="O61" s="169">
        <v>2.7</v>
      </c>
      <c r="P61" s="92"/>
      <c r="Q61" s="92"/>
      <c r="R61" s="108">
        <f t="shared" si="164"/>
        <v>38.07</v>
      </c>
      <c r="S61" s="110"/>
      <c r="T61" s="108" t="s">
        <v>22</v>
      </c>
      <c r="U61" s="163">
        <f t="shared" si="165"/>
        <v>14.1</v>
      </c>
      <c r="V61" s="90"/>
      <c r="W61" s="162" t="s">
        <v>17</v>
      </c>
      <c r="X61" s="108" t="str">
        <f t="shared" si="193"/>
        <v>cad</v>
      </c>
      <c r="Y61" s="108" t="str">
        <f t="shared" si="194"/>
        <v>cad</v>
      </c>
      <c r="Z61" s="108">
        <f t="shared" si="168"/>
        <v>10.28</v>
      </c>
      <c r="AA61" s="108"/>
      <c r="AB61" s="108">
        <f t="shared" si="170"/>
        <v>10.28</v>
      </c>
      <c r="AC61" s="108">
        <f t="shared" si="171"/>
        <v>10.28</v>
      </c>
      <c r="AD61" s="90"/>
      <c r="AE61" s="92" t="s">
        <v>17</v>
      </c>
      <c r="AF61" s="194">
        <f t="shared" si="192"/>
        <v>14.1</v>
      </c>
      <c r="AG61" s="90"/>
      <c r="AH61" s="90"/>
      <c r="AI61" s="90"/>
      <c r="AJ61" s="90"/>
      <c r="AK61" s="90"/>
    </row>
    <row r="62" spans="1:37" s="11" customFormat="1" ht="14.4">
      <c r="A62" s="18"/>
      <c r="B62" s="201" t="s">
        <v>567</v>
      </c>
      <c r="C62" s="162" t="s">
        <v>28</v>
      </c>
      <c r="D62" s="108">
        <v>1</v>
      </c>
      <c r="E62" s="108" t="s">
        <v>57</v>
      </c>
      <c r="F62" s="108" t="s">
        <v>57</v>
      </c>
      <c r="G62" s="169">
        <v>9.23</v>
      </c>
      <c r="H62" s="92"/>
      <c r="I62" s="108">
        <f t="shared" ref="I62:I63" si="195">(G62-H62)</f>
        <v>9.23</v>
      </c>
      <c r="J62" s="108">
        <f t="shared" ref="J62:J63" si="196">I62*D62</f>
        <v>9.23</v>
      </c>
      <c r="K62" s="90"/>
      <c r="L62" s="162" t="s">
        <v>21</v>
      </c>
      <c r="M62" s="108">
        <v>1</v>
      </c>
      <c r="N62" s="264">
        <f>12.77-1.2</f>
        <v>11.57</v>
      </c>
      <c r="O62" s="169">
        <v>2.7</v>
      </c>
      <c r="P62" s="92"/>
      <c r="Q62" s="92"/>
      <c r="R62" s="108">
        <f t="shared" ref="R62:R63" si="197">(N62*O62-P62)*M62</f>
        <v>31.239000000000004</v>
      </c>
      <c r="S62" s="110"/>
      <c r="T62" s="108" t="s">
        <v>22</v>
      </c>
      <c r="U62" s="163">
        <f t="shared" ref="U62:U93" si="198">N62*M62</f>
        <v>11.57</v>
      </c>
      <c r="V62" s="90"/>
      <c r="W62" s="162" t="s">
        <v>27</v>
      </c>
      <c r="X62" s="108" t="str">
        <f t="shared" ref="X62:X63" si="199">E62</f>
        <v>cad</v>
      </c>
      <c r="Y62" s="108" t="str">
        <f t="shared" ref="Y62:Y63" si="200">F62</f>
        <v>cad</v>
      </c>
      <c r="Z62" s="108">
        <f t="shared" ref="Z62:Z63" si="201">G62</f>
        <v>9.23</v>
      </c>
      <c r="AA62" s="108"/>
      <c r="AB62" s="108">
        <f t="shared" ref="AB62:AB63" si="202">I62</f>
        <v>9.23</v>
      </c>
      <c r="AC62" s="108">
        <f t="shared" ref="AC62:AC63" si="203">J62</f>
        <v>9.23</v>
      </c>
      <c r="AD62" s="90"/>
      <c r="AE62" s="92"/>
      <c r="AF62" s="194"/>
      <c r="AG62" s="90"/>
      <c r="AH62" s="90"/>
      <c r="AI62" s="90"/>
      <c r="AJ62" s="90"/>
      <c r="AK62" s="90"/>
    </row>
    <row r="63" spans="1:37" s="11" customFormat="1" ht="14.4">
      <c r="A63" s="18"/>
      <c r="B63" s="201" t="s">
        <v>567</v>
      </c>
      <c r="C63" s="162" t="s">
        <v>28</v>
      </c>
      <c r="D63" s="108">
        <v>1</v>
      </c>
      <c r="E63" s="108" t="s">
        <v>57</v>
      </c>
      <c r="F63" s="108" t="s">
        <v>57</v>
      </c>
      <c r="G63" s="169">
        <v>9.41</v>
      </c>
      <c r="H63" s="92"/>
      <c r="I63" s="108">
        <f t="shared" si="195"/>
        <v>9.41</v>
      </c>
      <c r="J63" s="108">
        <f t="shared" si="196"/>
        <v>9.41</v>
      </c>
      <c r="K63" s="90"/>
      <c r="L63" s="162" t="s">
        <v>21</v>
      </c>
      <c r="M63" s="108">
        <v>1</v>
      </c>
      <c r="N63" s="264">
        <f>13.07-1.2</f>
        <v>11.870000000000001</v>
      </c>
      <c r="O63" s="169">
        <v>2.7</v>
      </c>
      <c r="P63" s="92"/>
      <c r="Q63" s="92"/>
      <c r="R63" s="108">
        <f t="shared" si="197"/>
        <v>32.049000000000007</v>
      </c>
      <c r="S63" s="110"/>
      <c r="T63" s="108" t="s">
        <v>22</v>
      </c>
      <c r="U63" s="163">
        <f t="shared" si="198"/>
        <v>11.870000000000001</v>
      </c>
      <c r="V63" s="90"/>
      <c r="W63" s="162" t="s">
        <v>27</v>
      </c>
      <c r="X63" s="108" t="str">
        <f t="shared" si="199"/>
        <v>cad</v>
      </c>
      <c r="Y63" s="108" t="str">
        <f t="shared" si="200"/>
        <v>cad</v>
      </c>
      <c r="Z63" s="108">
        <f t="shared" si="201"/>
        <v>9.41</v>
      </c>
      <c r="AA63" s="108"/>
      <c r="AB63" s="108">
        <f t="shared" si="202"/>
        <v>9.41</v>
      </c>
      <c r="AC63" s="108">
        <f t="shared" si="203"/>
        <v>9.41</v>
      </c>
      <c r="AD63" s="90"/>
      <c r="AE63" s="92"/>
      <c r="AF63" s="194"/>
      <c r="AG63" s="90"/>
      <c r="AH63" s="90"/>
      <c r="AI63" s="90"/>
      <c r="AJ63" s="90"/>
      <c r="AK63" s="90"/>
    </row>
    <row r="64" spans="1:37" s="11" customFormat="1" ht="14.4">
      <c r="A64" s="18"/>
      <c r="B64" s="201" t="s">
        <v>610</v>
      </c>
      <c r="C64" s="162" t="s">
        <v>21</v>
      </c>
      <c r="D64" s="108">
        <v>2</v>
      </c>
      <c r="E64" s="108" t="s">
        <v>57</v>
      </c>
      <c r="F64" s="108" t="s">
        <v>57</v>
      </c>
      <c r="G64" s="169">
        <v>14.47</v>
      </c>
      <c r="H64" s="92"/>
      <c r="I64" s="108">
        <f t="shared" ref="I64:I66" si="204">(G64-H64)</f>
        <v>14.47</v>
      </c>
      <c r="J64" s="108">
        <f t="shared" ref="J64:J66" si="205">I64*D64</f>
        <v>28.94</v>
      </c>
      <c r="K64" s="90"/>
      <c r="L64" s="162" t="s">
        <v>19</v>
      </c>
      <c r="M64" s="108">
        <v>2</v>
      </c>
      <c r="N64" s="264">
        <v>16.329999999999998</v>
      </c>
      <c r="O64" s="169">
        <v>2.7</v>
      </c>
      <c r="P64" s="92"/>
      <c r="Q64" s="92"/>
      <c r="R64" s="108">
        <f t="shared" ref="R64:R93" si="206">(N64*O64-P64)*M64</f>
        <v>88.182000000000002</v>
      </c>
      <c r="S64" s="110"/>
      <c r="T64" s="108" t="s">
        <v>19</v>
      </c>
      <c r="U64" s="163">
        <f t="shared" si="198"/>
        <v>32.659999999999997</v>
      </c>
      <c r="V64" s="90"/>
      <c r="W64" s="162" t="s">
        <v>27</v>
      </c>
      <c r="X64" s="108" t="str">
        <f t="shared" ref="X64:X66" si="207">E64</f>
        <v>cad</v>
      </c>
      <c r="Y64" s="108" t="str">
        <f t="shared" ref="Y64:Y66" si="208">F64</f>
        <v>cad</v>
      </c>
      <c r="Z64" s="108">
        <f t="shared" ref="Z64:Z66" si="209">G64</f>
        <v>14.47</v>
      </c>
      <c r="AA64" s="108"/>
      <c r="AB64" s="108">
        <f t="shared" ref="AB64:AB66" si="210">I64</f>
        <v>14.47</v>
      </c>
      <c r="AC64" s="108">
        <f t="shared" ref="AC64:AC66" si="211">J64</f>
        <v>28.94</v>
      </c>
      <c r="AD64" s="90"/>
      <c r="AE64" s="92"/>
      <c r="AF64" s="194"/>
      <c r="AG64" s="90"/>
      <c r="AH64" s="90"/>
      <c r="AI64" s="90"/>
      <c r="AJ64" s="90"/>
      <c r="AK64" s="90"/>
    </row>
    <row r="65" spans="1:37" s="11" customFormat="1" ht="14.4">
      <c r="A65" s="18"/>
      <c r="B65" s="201"/>
      <c r="C65" s="162"/>
      <c r="D65" s="108"/>
      <c r="E65" s="108"/>
      <c r="F65" s="108"/>
      <c r="G65" s="95"/>
      <c r="H65" s="92"/>
      <c r="I65" s="108"/>
      <c r="J65" s="108"/>
      <c r="K65" s="90"/>
      <c r="L65" s="162" t="s">
        <v>571</v>
      </c>
      <c r="M65" s="108">
        <v>2</v>
      </c>
      <c r="N65" s="264">
        <v>3.82</v>
      </c>
      <c r="O65" s="169">
        <v>2.7</v>
      </c>
      <c r="P65" s="92"/>
      <c r="Q65" s="92"/>
      <c r="R65" s="108">
        <f t="shared" si="206"/>
        <v>20.628</v>
      </c>
      <c r="S65" s="110"/>
      <c r="T65" s="108"/>
      <c r="U65" s="163"/>
      <c r="V65" s="90"/>
      <c r="W65" s="162"/>
      <c r="X65" s="108"/>
      <c r="Y65" s="108"/>
      <c r="Z65" s="108"/>
      <c r="AA65" s="108"/>
      <c r="AB65" s="108"/>
      <c r="AC65" s="108"/>
      <c r="AD65" s="90"/>
      <c r="AE65" s="92"/>
      <c r="AF65" s="194"/>
      <c r="AG65" s="90"/>
      <c r="AH65" s="90"/>
      <c r="AI65" s="90"/>
      <c r="AJ65" s="90"/>
      <c r="AK65" s="90"/>
    </row>
    <row r="66" spans="1:37" s="11" customFormat="1" ht="14.4">
      <c r="A66" s="18"/>
      <c r="B66" s="201" t="s">
        <v>611</v>
      </c>
      <c r="C66" s="162" t="s">
        <v>21</v>
      </c>
      <c r="D66" s="108">
        <v>2</v>
      </c>
      <c r="E66" s="108" t="s">
        <v>57</v>
      </c>
      <c r="F66" s="108" t="s">
        <v>57</v>
      </c>
      <c r="G66" s="169">
        <v>13.16</v>
      </c>
      <c r="H66" s="92"/>
      <c r="I66" s="108">
        <f t="shared" si="204"/>
        <v>13.16</v>
      </c>
      <c r="J66" s="108">
        <f t="shared" si="205"/>
        <v>26.32</v>
      </c>
      <c r="K66" s="90"/>
      <c r="L66" s="162" t="s">
        <v>19</v>
      </c>
      <c r="M66" s="108">
        <v>2</v>
      </c>
      <c r="N66" s="264">
        <v>14.53</v>
      </c>
      <c r="O66" s="169">
        <v>2.7</v>
      </c>
      <c r="P66" s="92"/>
      <c r="Q66" s="92"/>
      <c r="R66" s="108">
        <f t="shared" si="206"/>
        <v>78.462000000000003</v>
      </c>
      <c r="S66" s="110"/>
      <c r="T66" s="108" t="s">
        <v>19</v>
      </c>
      <c r="U66" s="163">
        <f t="shared" si="198"/>
        <v>29.06</v>
      </c>
      <c r="V66" s="90"/>
      <c r="W66" s="162" t="s">
        <v>27</v>
      </c>
      <c r="X66" s="108" t="str">
        <f t="shared" si="207"/>
        <v>cad</v>
      </c>
      <c r="Y66" s="108" t="str">
        <f t="shared" si="208"/>
        <v>cad</v>
      </c>
      <c r="Z66" s="108">
        <f t="shared" si="209"/>
        <v>13.16</v>
      </c>
      <c r="AA66" s="108"/>
      <c r="AB66" s="108">
        <f t="shared" si="210"/>
        <v>13.16</v>
      </c>
      <c r="AC66" s="108">
        <f t="shared" si="211"/>
        <v>26.32</v>
      </c>
      <c r="AD66" s="90"/>
      <c r="AE66" s="92"/>
      <c r="AF66" s="194"/>
      <c r="AG66" s="90"/>
      <c r="AH66" s="90"/>
      <c r="AI66" s="90"/>
      <c r="AJ66" s="90"/>
      <c r="AK66" s="90"/>
    </row>
    <row r="67" spans="1:37" s="11" customFormat="1" ht="14.4">
      <c r="A67" s="18"/>
      <c r="B67" s="201"/>
      <c r="C67" s="162"/>
      <c r="D67" s="108"/>
      <c r="E67" s="108"/>
      <c r="F67" s="108"/>
      <c r="G67" s="95"/>
      <c r="H67" s="92"/>
      <c r="I67" s="108"/>
      <c r="J67" s="108"/>
      <c r="K67" s="90"/>
      <c r="L67" s="162" t="s">
        <v>571</v>
      </c>
      <c r="M67" s="108">
        <v>2</v>
      </c>
      <c r="N67" s="264">
        <v>3.82</v>
      </c>
      <c r="O67" s="169">
        <v>2.7</v>
      </c>
      <c r="P67" s="92"/>
      <c r="Q67" s="92"/>
      <c r="R67" s="108">
        <f t="shared" si="206"/>
        <v>20.628</v>
      </c>
      <c r="S67" s="110"/>
      <c r="T67" s="108"/>
      <c r="U67" s="163"/>
      <c r="V67" s="90"/>
      <c r="W67" s="162"/>
      <c r="X67" s="108"/>
      <c r="Y67" s="108"/>
      <c r="Z67" s="108"/>
      <c r="AA67" s="108"/>
      <c r="AB67" s="108"/>
      <c r="AC67" s="108"/>
      <c r="AD67" s="90"/>
      <c r="AE67" s="92"/>
      <c r="AF67" s="194"/>
      <c r="AG67" s="90"/>
      <c r="AH67" s="90"/>
      <c r="AI67" s="90"/>
      <c r="AJ67" s="90"/>
      <c r="AK67" s="90"/>
    </row>
    <row r="68" spans="1:37" s="11" customFormat="1" ht="14.4">
      <c r="A68" s="18"/>
      <c r="B68" s="201" t="s">
        <v>112</v>
      </c>
      <c r="C68" s="162" t="s">
        <v>21</v>
      </c>
      <c r="D68" s="108">
        <v>2</v>
      </c>
      <c r="E68" s="108" t="s">
        <v>57</v>
      </c>
      <c r="F68" s="108" t="s">
        <v>57</v>
      </c>
      <c r="G68" s="169">
        <v>13.68</v>
      </c>
      <c r="H68" s="92"/>
      <c r="I68" s="108">
        <f t="shared" ref="I68:I82" si="212">(G68-H68)</f>
        <v>13.68</v>
      </c>
      <c r="J68" s="108">
        <f t="shared" ref="J68:J82" si="213">I68*D68</f>
        <v>27.36</v>
      </c>
      <c r="K68" s="90"/>
      <c r="L68" s="162" t="s">
        <v>19</v>
      </c>
      <c r="M68" s="108">
        <v>2</v>
      </c>
      <c r="N68" s="169">
        <v>16.36</v>
      </c>
      <c r="O68" s="169">
        <v>2.7</v>
      </c>
      <c r="P68" s="92"/>
      <c r="Q68" s="92"/>
      <c r="R68" s="108">
        <f t="shared" si="206"/>
        <v>88.344000000000008</v>
      </c>
      <c r="S68" s="110"/>
      <c r="T68" s="108" t="s">
        <v>19</v>
      </c>
      <c r="U68" s="163">
        <f t="shared" si="198"/>
        <v>32.72</v>
      </c>
      <c r="V68" s="90"/>
      <c r="W68" s="162" t="s">
        <v>27</v>
      </c>
      <c r="X68" s="108" t="str">
        <f t="shared" ref="X68:X80" si="214">E68</f>
        <v>cad</v>
      </c>
      <c r="Y68" s="108" t="str">
        <f t="shared" ref="Y68:Y80" si="215">F68</f>
        <v>cad</v>
      </c>
      <c r="Z68" s="108">
        <f t="shared" ref="Z68:Z80" si="216">G68</f>
        <v>13.68</v>
      </c>
      <c r="AA68" s="108"/>
      <c r="AB68" s="108">
        <f t="shared" ref="AB68:AB80" si="217">I68</f>
        <v>13.68</v>
      </c>
      <c r="AC68" s="108">
        <f t="shared" ref="AC68:AC80" si="218">J68</f>
        <v>27.36</v>
      </c>
      <c r="AD68" s="90"/>
      <c r="AE68" s="92"/>
      <c r="AF68" s="194"/>
      <c r="AG68" s="90"/>
      <c r="AH68" s="90"/>
      <c r="AI68" s="90"/>
      <c r="AJ68" s="90"/>
      <c r="AK68" s="90"/>
    </row>
    <row r="69" spans="1:37" s="11" customFormat="1" ht="14.4">
      <c r="A69" s="18"/>
      <c r="B69" s="201"/>
      <c r="C69" s="162"/>
      <c r="D69" s="108"/>
      <c r="E69" s="108"/>
      <c r="F69" s="108"/>
      <c r="G69" s="95"/>
      <c r="H69" s="92"/>
      <c r="I69" s="108"/>
      <c r="J69" s="108"/>
      <c r="K69" s="90"/>
      <c r="L69" s="162" t="s">
        <v>571</v>
      </c>
      <c r="M69" s="108">
        <v>2</v>
      </c>
      <c r="N69" s="169">
        <v>3.14</v>
      </c>
      <c r="O69" s="169">
        <v>2.7</v>
      </c>
      <c r="P69" s="92"/>
      <c r="Q69" s="92"/>
      <c r="R69" s="108">
        <f t="shared" si="206"/>
        <v>16.956000000000003</v>
      </c>
      <c r="S69" s="110"/>
      <c r="T69" s="108"/>
      <c r="U69" s="163"/>
      <c r="V69" s="90"/>
      <c r="W69" s="162"/>
      <c r="X69" s="108"/>
      <c r="Y69" s="108"/>
      <c r="Z69" s="108"/>
      <c r="AA69" s="108"/>
      <c r="AB69" s="108"/>
      <c r="AC69" s="108"/>
      <c r="AD69" s="90"/>
      <c r="AE69" s="92"/>
      <c r="AF69" s="194"/>
      <c r="AG69" s="90"/>
      <c r="AH69" s="90"/>
      <c r="AI69" s="90"/>
      <c r="AJ69" s="90"/>
      <c r="AK69" s="90"/>
    </row>
    <row r="70" spans="1:37" s="11" customFormat="1" ht="14.4">
      <c r="A70" s="18"/>
      <c r="B70" s="201" t="s">
        <v>612</v>
      </c>
      <c r="C70" s="162" t="s">
        <v>21</v>
      </c>
      <c r="D70" s="108">
        <v>4</v>
      </c>
      <c r="E70" s="108" t="s">
        <v>57</v>
      </c>
      <c r="F70" s="108" t="s">
        <v>57</v>
      </c>
      <c r="G70" s="169">
        <v>13.63</v>
      </c>
      <c r="H70" s="92"/>
      <c r="I70" s="108">
        <f t="shared" si="212"/>
        <v>13.63</v>
      </c>
      <c r="J70" s="108">
        <f t="shared" si="213"/>
        <v>54.52</v>
      </c>
      <c r="K70" s="90"/>
      <c r="L70" s="162" t="s">
        <v>19</v>
      </c>
      <c r="M70" s="108">
        <v>4</v>
      </c>
      <c r="N70" s="169">
        <v>15.19</v>
      </c>
      <c r="O70" s="169">
        <v>2.7</v>
      </c>
      <c r="P70" s="92"/>
      <c r="Q70" s="92"/>
      <c r="R70" s="108">
        <f t="shared" si="206"/>
        <v>164.05199999999999</v>
      </c>
      <c r="S70" s="110"/>
      <c r="T70" s="108" t="s">
        <v>19</v>
      </c>
      <c r="U70" s="163">
        <f t="shared" si="198"/>
        <v>60.76</v>
      </c>
      <c r="V70" s="90"/>
      <c r="W70" s="162" t="s">
        <v>27</v>
      </c>
      <c r="X70" s="108" t="str">
        <f t="shared" si="214"/>
        <v>cad</v>
      </c>
      <c r="Y70" s="108" t="str">
        <f t="shared" si="215"/>
        <v>cad</v>
      </c>
      <c r="Z70" s="108">
        <f t="shared" si="216"/>
        <v>13.63</v>
      </c>
      <c r="AA70" s="108"/>
      <c r="AB70" s="108">
        <f t="shared" si="217"/>
        <v>13.63</v>
      </c>
      <c r="AC70" s="108">
        <f t="shared" si="218"/>
        <v>54.52</v>
      </c>
      <c r="AD70" s="90"/>
      <c r="AE70" s="92"/>
      <c r="AF70" s="194"/>
      <c r="AG70" s="90"/>
      <c r="AH70" s="90"/>
      <c r="AI70" s="90"/>
      <c r="AJ70" s="90"/>
      <c r="AK70" s="90"/>
    </row>
    <row r="71" spans="1:37" s="11" customFormat="1" ht="14.4">
      <c r="A71" s="18"/>
      <c r="B71" s="201"/>
      <c r="C71" s="162"/>
      <c r="D71" s="108"/>
      <c r="E71" s="108"/>
      <c r="F71" s="108"/>
      <c r="G71" s="95"/>
      <c r="H71" s="92"/>
      <c r="I71" s="108"/>
      <c r="J71" s="108"/>
      <c r="K71" s="90"/>
      <c r="L71" s="162" t="s">
        <v>571</v>
      </c>
      <c r="M71" s="108">
        <v>4</v>
      </c>
      <c r="N71" s="169">
        <v>3.45</v>
      </c>
      <c r="O71" s="169">
        <v>2.7</v>
      </c>
      <c r="P71" s="92"/>
      <c r="Q71" s="92"/>
      <c r="R71" s="108">
        <f t="shared" si="206"/>
        <v>37.260000000000005</v>
      </c>
      <c r="S71" s="110"/>
      <c r="T71" s="108"/>
      <c r="U71" s="163"/>
      <c r="V71" s="90"/>
      <c r="W71" s="162"/>
      <c r="X71" s="108"/>
      <c r="Y71" s="108"/>
      <c r="Z71" s="108"/>
      <c r="AA71" s="108"/>
      <c r="AB71" s="108"/>
      <c r="AC71" s="108"/>
      <c r="AD71" s="90"/>
      <c r="AE71" s="92"/>
      <c r="AF71" s="194"/>
      <c r="AG71" s="90"/>
      <c r="AH71" s="90"/>
      <c r="AI71" s="90"/>
      <c r="AJ71" s="90"/>
      <c r="AK71" s="90"/>
    </row>
    <row r="72" spans="1:37" s="11" customFormat="1" ht="14.4">
      <c r="A72" s="18"/>
      <c r="B72" s="201" t="s">
        <v>130</v>
      </c>
      <c r="C72" s="162" t="s">
        <v>21</v>
      </c>
      <c r="D72" s="108">
        <v>2</v>
      </c>
      <c r="E72" s="108" t="s">
        <v>57</v>
      </c>
      <c r="F72" s="108" t="s">
        <v>57</v>
      </c>
      <c r="G72" s="169">
        <v>13.44</v>
      </c>
      <c r="H72" s="92"/>
      <c r="I72" s="108">
        <f t="shared" si="212"/>
        <v>13.44</v>
      </c>
      <c r="J72" s="108">
        <f t="shared" si="213"/>
        <v>26.88</v>
      </c>
      <c r="K72" s="90"/>
      <c r="L72" s="162" t="s">
        <v>19</v>
      </c>
      <c r="M72" s="108">
        <v>2</v>
      </c>
      <c r="N72" s="169">
        <v>15.09</v>
      </c>
      <c r="O72" s="169">
        <v>2.7</v>
      </c>
      <c r="P72" s="92"/>
      <c r="Q72" s="92"/>
      <c r="R72" s="108">
        <f t="shared" si="206"/>
        <v>81.486000000000004</v>
      </c>
      <c r="S72" s="110"/>
      <c r="T72" s="108" t="s">
        <v>19</v>
      </c>
      <c r="U72" s="163">
        <f t="shared" si="198"/>
        <v>30.18</v>
      </c>
      <c r="V72" s="90"/>
      <c r="W72" s="162" t="s">
        <v>27</v>
      </c>
      <c r="X72" s="108" t="str">
        <f t="shared" si="214"/>
        <v>cad</v>
      </c>
      <c r="Y72" s="108" t="str">
        <f t="shared" si="215"/>
        <v>cad</v>
      </c>
      <c r="Z72" s="108">
        <f t="shared" si="216"/>
        <v>13.44</v>
      </c>
      <c r="AA72" s="108"/>
      <c r="AB72" s="108">
        <f t="shared" si="217"/>
        <v>13.44</v>
      </c>
      <c r="AC72" s="108">
        <f t="shared" si="218"/>
        <v>26.88</v>
      </c>
      <c r="AD72" s="90"/>
      <c r="AE72" s="92"/>
      <c r="AF72" s="194"/>
      <c r="AG72" s="90"/>
      <c r="AH72" s="90"/>
      <c r="AI72" s="90"/>
      <c r="AJ72" s="90"/>
      <c r="AK72" s="90"/>
    </row>
    <row r="73" spans="1:37" s="11" customFormat="1" ht="14.4">
      <c r="A73" s="18"/>
      <c r="B73" s="201"/>
      <c r="C73" s="162"/>
      <c r="D73" s="108"/>
      <c r="E73" s="108"/>
      <c r="F73" s="108"/>
      <c r="G73" s="95"/>
      <c r="H73" s="92"/>
      <c r="I73" s="108"/>
      <c r="J73" s="108"/>
      <c r="K73" s="90"/>
      <c r="L73" s="162" t="s">
        <v>571</v>
      </c>
      <c r="M73" s="108">
        <v>2</v>
      </c>
      <c r="N73" s="169">
        <v>3.4</v>
      </c>
      <c r="O73" s="169">
        <v>2.7</v>
      </c>
      <c r="P73" s="92"/>
      <c r="Q73" s="92"/>
      <c r="R73" s="108">
        <f t="shared" si="206"/>
        <v>18.36</v>
      </c>
      <c r="S73" s="110"/>
      <c r="T73" s="108"/>
      <c r="U73" s="163"/>
      <c r="V73" s="90"/>
      <c r="W73" s="162"/>
      <c r="X73" s="108"/>
      <c r="Y73" s="108"/>
      <c r="Z73" s="108"/>
      <c r="AA73" s="108"/>
      <c r="AB73" s="108"/>
      <c r="AC73" s="108"/>
      <c r="AD73" s="90"/>
      <c r="AE73" s="92"/>
      <c r="AF73" s="194"/>
      <c r="AG73" s="90"/>
      <c r="AH73" s="90"/>
      <c r="AI73" s="90"/>
      <c r="AJ73" s="90"/>
      <c r="AK73" s="90"/>
    </row>
    <row r="74" spans="1:37" s="11" customFormat="1" ht="14.4">
      <c r="A74" s="18"/>
      <c r="B74" s="201" t="s">
        <v>110</v>
      </c>
      <c r="C74" s="162" t="s">
        <v>21</v>
      </c>
      <c r="D74" s="108">
        <v>2</v>
      </c>
      <c r="E74" s="108" t="s">
        <v>57</v>
      </c>
      <c r="F74" s="108" t="s">
        <v>57</v>
      </c>
      <c r="G74" s="169">
        <v>13.17</v>
      </c>
      <c r="H74" s="92"/>
      <c r="I74" s="108">
        <f t="shared" si="212"/>
        <v>13.17</v>
      </c>
      <c r="J74" s="108">
        <f t="shared" si="213"/>
        <v>26.34</v>
      </c>
      <c r="K74" s="90"/>
      <c r="L74" s="162" t="s">
        <v>19</v>
      </c>
      <c r="M74" s="108">
        <v>2</v>
      </c>
      <c r="N74" s="169">
        <v>14.54</v>
      </c>
      <c r="O74" s="169">
        <v>2.7</v>
      </c>
      <c r="P74" s="92"/>
      <c r="Q74" s="92"/>
      <c r="R74" s="108">
        <f t="shared" si="206"/>
        <v>78.516000000000005</v>
      </c>
      <c r="S74" s="110"/>
      <c r="T74" s="108" t="s">
        <v>19</v>
      </c>
      <c r="U74" s="163">
        <f t="shared" si="198"/>
        <v>29.08</v>
      </c>
      <c r="V74" s="90"/>
      <c r="W74" s="162" t="s">
        <v>27</v>
      </c>
      <c r="X74" s="108" t="str">
        <f t="shared" si="214"/>
        <v>cad</v>
      </c>
      <c r="Y74" s="108" t="str">
        <f t="shared" si="215"/>
        <v>cad</v>
      </c>
      <c r="Z74" s="108">
        <f t="shared" si="216"/>
        <v>13.17</v>
      </c>
      <c r="AA74" s="108"/>
      <c r="AB74" s="108">
        <f t="shared" si="217"/>
        <v>13.17</v>
      </c>
      <c r="AC74" s="108">
        <f t="shared" si="218"/>
        <v>26.34</v>
      </c>
      <c r="AD74" s="90"/>
      <c r="AE74" s="92"/>
      <c r="AF74" s="194"/>
      <c r="AG74" s="90"/>
      <c r="AH74" s="90"/>
      <c r="AI74" s="90"/>
      <c r="AJ74" s="90"/>
      <c r="AK74" s="90"/>
    </row>
    <row r="75" spans="1:37" s="11" customFormat="1" ht="14.4">
      <c r="A75" s="18"/>
      <c r="B75" s="201"/>
      <c r="C75" s="162"/>
      <c r="D75" s="108"/>
      <c r="E75" s="108"/>
      <c r="F75" s="108"/>
      <c r="G75" s="95"/>
      <c r="H75" s="92"/>
      <c r="I75" s="108"/>
      <c r="J75" s="108"/>
      <c r="K75" s="90"/>
      <c r="L75" s="162" t="s">
        <v>571</v>
      </c>
      <c r="M75" s="108">
        <v>2</v>
      </c>
      <c r="N75" s="169">
        <v>3.82</v>
      </c>
      <c r="O75" s="169">
        <v>2.7</v>
      </c>
      <c r="P75" s="92"/>
      <c r="Q75" s="92"/>
      <c r="R75" s="108">
        <f t="shared" si="206"/>
        <v>20.628</v>
      </c>
      <c r="S75" s="110"/>
      <c r="T75" s="108"/>
      <c r="U75" s="163"/>
      <c r="V75" s="90"/>
      <c r="W75" s="162"/>
      <c r="X75" s="108"/>
      <c r="Y75" s="108"/>
      <c r="Z75" s="108"/>
      <c r="AA75" s="108"/>
      <c r="AB75" s="108"/>
      <c r="AC75" s="108"/>
      <c r="AD75" s="90"/>
      <c r="AE75" s="92"/>
      <c r="AF75" s="194"/>
      <c r="AG75" s="90"/>
      <c r="AH75" s="90"/>
      <c r="AI75" s="90"/>
      <c r="AJ75" s="90"/>
      <c r="AK75" s="90"/>
    </row>
    <row r="76" spans="1:37" s="11" customFormat="1" ht="14.4">
      <c r="A76" s="18"/>
      <c r="B76" s="201" t="s">
        <v>111</v>
      </c>
      <c r="C76" s="162" t="s">
        <v>21</v>
      </c>
      <c r="D76" s="108">
        <v>2</v>
      </c>
      <c r="E76" s="108" t="s">
        <v>57</v>
      </c>
      <c r="F76" s="108" t="s">
        <v>57</v>
      </c>
      <c r="G76" s="168">
        <v>12.3</v>
      </c>
      <c r="H76" s="92"/>
      <c r="I76" s="108">
        <f t="shared" ref="I76" si="219">(G76-H76)</f>
        <v>12.3</v>
      </c>
      <c r="J76" s="108">
        <f t="shared" ref="J76" si="220">I76*D76</f>
        <v>24.6</v>
      </c>
      <c r="K76" s="90"/>
      <c r="L76" s="162" t="s">
        <v>19</v>
      </c>
      <c r="M76" s="108">
        <v>2</v>
      </c>
      <c r="N76" s="169">
        <v>14.03</v>
      </c>
      <c r="O76" s="169">
        <v>2.7</v>
      </c>
      <c r="P76" s="92"/>
      <c r="Q76" s="92"/>
      <c r="R76" s="108">
        <f t="shared" si="206"/>
        <v>75.762</v>
      </c>
      <c r="S76" s="110"/>
      <c r="T76" s="108" t="s">
        <v>19</v>
      </c>
      <c r="U76" s="163">
        <f t="shared" si="198"/>
        <v>28.06</v>
      </c>
      <c r="V76" s="90"/>
      <c r="W76" s="162" t="s">
        <v>27</v>
      </c>
      <c r="X76" s="108" t="str">
        <f t="shared" ref="X76" si="221">E76</f>
        <v>cad</v>
      </c>
      <c r="Y76" s="108" t="str">
        <f t="shared" ref="Y76" si="222">F76</f>
        <v>cad</v>
      </c>
      <c r="Z76" s="108">
        <f t="shared" ref="Z76" si="223">G76</f>
        <v>12.3</v>
      </c>
      <c r="AA76" s="108"/>
      <c r="AB76" s="108">
        <f t="shared" ref="AB76" si="224">I76</f>
        <v>12.3</v>
      </c>
      <c r="AC76" s="108">
        <f t="shared" ref="AC76" si="225">J76</f>
        <v>24.6</v>
      </c>
      <c r="AD76" s="90"/>
      <c r="AE76" s="92"/>
      <c r="AF76" s="194"/>
      <c r="AG76" s="90"/>
      <c r="AH76" s="90"/>
      <c r="AI76" s="90"/>
      <c r="AJ76" s="90"/>
      <c r="AK76" s="90"/>
    </row>
    <row r="77" spans="1:37" s="11" customFormat="1" ht="14.4">
      <c r="A77" s="18"/>
      <c r="B77" s="201"/>
      <c r="C77" s="162"/>
      <c r="D77" s="108"/>
      <c r="E77" s="108"/>
      <c r="F77" s="108"/>
      <c r="G77" s="95"/>
      <c r="H77" s="92"/>
      <c r="I77" s="108"/>
      <c r="J77" s="108"/>
      <c r="K77" s="90"/>
      <c r="L77" s="162" t="s">
        <v>571</v>
      </c>
      <c r="M77" s="108">
        <v>2</v>
      </c>
      <c r="N77" s="169">
        <v>3.57</v>
      </c>
      <c r="O77" s="169">
        <v>2.7</v>
      </c>
      <c r="P77" s="92"/>
      <c r="Q77" s="92"/>
      <c r="R77" s="108">
        <f t="shared" si="206"/>
        <v>19.277999999999999</v>
      </c>
      <c r="S77" s="110"/>
      <c r="T77" s="108"/>
      <c r="U77" s="163"/>
      <c r="V77" s="90"/>
      <c r="W77" s="162"/>
      <c r="X77" s="108"/>
      <c r="Y77" s="108"/>
      <c r="Z77" s="108"/>
      <c r="AA77" s="108"/>
      <c r="AB77" s="108"/>
      <c r="AC77" s="108"/>
      <c r="AD77" s="90"/>
      <c r="AE77" s="92"/>
      <c r="AF77" s="194"/>
      <c r="AG77" s="90"/>
      <c r="AH77" s="90"/>
      <c r="AI77" s="90"/>
      <c r="AJ77" s="90"/>
      <c r="AK77" s="90"/>
    </row>
    <row r="78" spans="1:37" s="11" customFormat="1" ht="14.4">
      <c r="A78" s="18"/>
      <c r="B78" s="201" t="s">
        <v>131</v>
      </c>
      <c r="C78" s="162" t="s">
        <v>21</v>
      </c>
      <c r="D78" s="108">
        <v>2</v>
      </c>
      <c r="E78" s="108" t="s">
        <v>57</v>
      </c>
      <c r="F78" s="108" t="s">
        <v>57</v>
      </c>
      <c r="G78" s="169">
        <v>13.35</v>
      </c>
      <c r="H78" s="92"/>
      <c r="I78" s="108">
        <f t="shared" si="212"/>
        <v>13.35</v>
      </c>
      <c r="J78" s="108">
        <f t="shared" si="213"/>
        <v>26.7</v>
      </c>
      <c r="K78" s="90"/>
      <c r="L78" s="162" t="s">
        <v>19</v>
      </c>
      <c r="M78" s="108">
        <v>2</v>
      </c>
      <c r="N78" s="169">
        <v>15.4</v>
      </c>
      <c r="O78" s="169">
        <v>2.7</v>
      </c>
      <c r="P78" s="92"/>
      <c r="Q78" s="92"/>
      <c r="R78" s="108">
        <f t="shared" si="206"/>
        <v>83.160000000000011</v>
      </c>
      <c r="S78" s="110"/>
      <c r="T78" s="108" t="s">
        <v>19</v>
      </c>
      <c r="U78" s="163">
        <f t="shared" si="198"/>
        <v>30.8</v>
      </c>
      <c r="V78" s="90"/>
      <c r="W78" s="162" t="s">
        <v>27</v>
      </c>
      <c r="X78" s="108" t="str">
        <f t="shared" si="214"/>
        <v>cad</v>
      </c>
      <c r="Y78" s="108" t="str">
        <f t="shared" si="215"/>
        <v>cad</v>
      </c>
      <c r="Z78" s="108">
        <f t="shared" si="216"/>
        <v>13.35</v>
      </c>
      <c r="AA78" s="108"/>
      <c r="AB78" s="108">
        <f t="shared" si="217"/>
        <v>13.35</v>
      </c>
      <c r="AC78" s="108">
        <f t="shared" si="218"/>
        <v>26.7</v>
      </c>
      <c r="AD78" s="90"/>
      <c r="AE78" s="92"/>
      <c r="AF78" s="194"/>
      <c r="AG78" s="90"/>
      <c r="AH78" s="90"/>
      <c r="AI78" s="90"/>
      <c r="AJ78" s="90"/>
      <c r="AK78" s="90"/>
    </row>
    <row r="79" spans="1:37" s="11" customFormat="1" ht="14.4">
      <c r="A79" s="18"/>
      <c r="B79" s="201"/>
      <c r="C79" s="162"/>
      <c r="D79" s="108"/>
      <c r="E79" s="108"/>
      <c r="F79" s="108"/>
      <c r="G79" s="95"/>
      <c r="H79" s="92"/>
      <c r="I79" s="108"/>
      <c r="J79" s="108"/>
      <c r="K79" s="90"/>
      <c r="L79" s="162" t="s">
        <v>571</v>
      </c>
      <c r="M79" s="108">
        <v>2</v>
      </c>
      <c r="N79" s="169">
        <v>4</v>
      </c>
      <c r="O79" s="169">
        <v>2.7</v>
      </c>
      <c r="P79" s="92"/>
      <c r="Q79" s="92"/>
      <c r="R79" s="108">
        <f t="shared" si="206"/>
        <v>21.6</v>
      </c>
      <c r="S79" s="110"/>
      <c r="T79" s="108"/>
      <c r="U79" s="163"/>
      <c r="V79" s="90"/>
      <c r="W79" s="162"/>
      <c r="X79" s="108"/>
      <c r="Y79" s="108"/>
      <c r="Z79" s="108"/>
      <c r="AA79" s="108"/>
      <c r="AB79" s="108"/>
      <c r="AC79" s="108"/>
      <c r="AD79" s="90"/>
      <c r="AE79" s="92"/>
      <c r="AF79" s="194"/>
      <c r="AG79" s="90"/>
      <c r="AH79" s="90"/>
      <c r="AI79" s="90"/>
      <c r="AJ79" s="90"/>
      <c r="AK79" s="90"/>
    </row>
    <row r="80" spans="1:37" s="11" customFormat="1" ht="14.4">
      <c r="A80" s="18"/>
      <c r="B80" s="201" t="s">
        <v>115</v>
      </c>
      <c r="C80" s="162" t="s">
        <v>21</v>
      </c>
      <c r="D80" s="108">
        <v>2</v>
      </c>
      <c r="E80" s="108" t="s">
        <v>57</v>
      </c>
      <c r="F80" s="108" t="s">
        <v>57</v>
      </c>
      <c r="G80" s="169">
        <v>13.6</v>
      </c>
      <c r="H80" s="92"/>
      <c r="I80" s="108">
        <f t="shared" si="212"/>
        <v>13.6</v>
      </c>
      <c r="J80" s="108">
        <f t="shared" si="213"/>
        <v>27.2</v>
      </c>
      <c r="K80" s="90"/>
      <c r="L80" s="162" t="s">
        <v>19</v>
      </c>
      <c r="M80" s="108">
        <v>2</v>
      </c>
      <c r="N80" s="169">
        <v>14.8</v>
      </c>
      <c r="O80" s="169">
        <v>2.7</v>
      </c>
      <c r="P80" s="92"/>
      <c r="Q80" s="92"/>
      <c r="R80" s="108">
        <f t="shared" si="206"/>
        <v>79.920000000000016</v>
      </c>
      <c r="S80" s="110"/>
      <c r="T80" s="108" t="s">
        <v>19</v>
      </c>
      <c r="U80" s="163">
        <f t="shared" si="198"/>
        <v>29.6</v>
      </c>
      <c r="V80" s="90"/>
      <c r="W80" s="162" t="s">
        <v>27</v>
      </c>
      <c r="X80" s="108" t="str">
        <f t="shared" si="214"/>
        <v>cad</v>
      </c>
      <c r="Y80" s="108" t="str">
        <f t="shared" si="215"/>
        <v>cad</v>
      </c>
      <c r="Z80" s="108">
        <f t="shared" si="216"/>
        <v>13.6</v>
      </c>
      <c r="AA80" s="108"/>
      <c r="AB80" s="108">
        <f t="shared" si="217"/>
        <v>13.6</v>
      </c>
      <c r="AC80" s="108">
        <f t="shared" si="218"/>
        <v>27.2</v>
      </c>
      <c r="AD80" s="90"/>
      <c r="AE80" s="92"/>
      <c r="AF80" s="194"/>
      <c r="AG80" s="90"/>
      <c r="AH80" s="90"/>
      <c r="AI80" s="90"/>
      <c r="AJ80" s="90"/>
      <c r="AK80" s="90"/>
    </row>
    <row r="81" spans="1:37" s="11" customFormat="1" ht="14.4">
      <c r="A81" s="18"/>
      <c r="B81" s="201"/>
      <c r="C81" s="162"/>
      <c r="D81" s="108"/>
      <c r="E81" s="108"/>
      <c r="F81" s="108"/>
      <c r="G81" s="95"/>
      <c r="H81" s="92"/>
      <c r="I81" s="108"/>
      <c r="J81" s="108"/>
      <c r="K81" s="90"/>
      <c r="L81" s="162" t="s">
        <v>571</v>
      </c>
      <c r="M81" s="108">
        <v>2</v>
      </c>
      <c r="N81" s="169">
        <v>3.4</v>
      </c>
      <c r="O81" s="169">
        <v>2.7</v>
      </c>
      <c r="P81" s="92"/>
      <c r="Q81" s="92"/>
      <c r="R81" s="108">
        <f t="shared" si="206"/>
        <v>18.36</v>
      </c>
      <c r="S81" s="110"/>
      <c r="T81" s="108"/>
      <c r="U81" s="163"/>
      <c r="V81" s="90"/>
      <c r="W81" s="162"/>
      <c r="X81" s="108"/>
      <c r="Y81" s="108"/>
      <c r="Z81" s="108"/>
      <c r="AA81" s="108"/>
      <c r="AB81" s="108"/>
      <c r="AC81" s="108"/>
      <c r="AD81" s="90"/>
      <c r="AE81" s="92"/>
      <c r="AF81" s="194"/>
      <c r="AG81" s="90"/>
      <c r="AH81" s="90"/>
      <c r="AI81" s="90"/>
      <c r="AJ81" s="90"/>
      <c r="AK81" s="90"/>
    </row>
    <row r="82" spans="1:37" s="11" customFormat="1" ht="14.4">
      <c r="A82" s="18"/>
      <c r="B82" s="201" t="s">
        <v>613</v>
      </c>
      <c r="C82" s="162" t="s">
        <v>20</v>
      </c>
      <c r="D82" s="108">
        <v>4</v>
      </c>
      <c r="E82" s="108" t="s">
        <v>57</v>
      </c>
      <c r="F82" s="108" t="s">
        <v>57</v>
      </c>
      <c r="G82" s="169">
        <v>3.96</v>
      </c>
      <c r="H82" s="92"/>
      <c r="I82" s="108">
        <f t="shared" si="212"/>
        <v>3.96</v>
      </c>
      <c r="J82" s="108">
        <f t="shared" si="213"/>
        <v>15.84</v>
      </c>
      <c r="K82" s="90"/>
      <c r="L82" s="162" t="s">
        <v>18</v>
      </c>
      <c r="M82" s="108">
        <v>3</v>
      </c>
      <c r="N82" s="169">
        <v>8.1</v>
      </c>
      <c r="O82" s="168">
        <v>2.7</v>
      </c>
      <c r="P82" s="92"/>
      <c r="Q82" s="92"/>
      <c r="R82" s="108">
        <f t="shared" si="206"/>
        <v>65.61</v>
      </c>
      <c r="S82" s="110"/>
      <c r="T82" s="108" t="s">
        <v>18</v>
      </c>
      <c r="U82" s="163">
        <f t="shared" si="198"/>
        <v>24.299999999999997</v>
      </c>
      <c r="V82" s="90"/>
      <c r="W82" s="162" t="s">
        <v>18</v>
      </c>
      <c r="X82" s="108" t="str">
        <f t="shared" ref="X82:X93" si="226">E82</f>
        <v>cad</v>
      </c>
      <c r="Y82" s="108" t="str">
        <f t="shared" ref="Y82:Y93" si="227">F82</f>
        <v>cad</v>
      </c>
      <c r="Z82" s="108">
        <f t="shared" ref="Z82:Z93" si="228">G82</f>
        <v>3.96</v>
      </c>
      <c r="AA82" s="108"/>
      <c r="AB82" s="108">
        <f t="shared" ref="AB82:AB93" si="229">I82</f>
        <v>3.96</v>
      </c>
      <c r="AC82" s="108">
        <f t="shared" ref="AC82:AC93" si="230">J82</f>
        <v>15.84</v>
      </c>
      <c r="AD82" s="90"/>
      <c r="AE82" s="92" t="s">
        <v>17</v>
      </c>
      <c r="AF82" s="194">
        <f t="shared" ref="AF82:AF93" si="231">N82*M82</f>
        <v>24.299999999999997</v>
      </c>
      <c r="AG82" s="90"/>
      <c r="AH82" s="90"/>
      <c r="AI82" s="90"/>
      <c r="AJ82" s="90"/>
      <c r="AK82" s="90"/>
    </row>
    <row r="83" spans="1:37" s="11" customFormat="1" ht="14.4">
      <c r="A83" s="18"/>
      <c r="B83" s="201" t="s">
        <v>613</v>
      </c>
      <c r="C83" s="162" t="s">
        <v>20</v>
      </c>
      <c r="D83" s="108">
        <v>1</v>
      </c>
      <c r="E83" s="108" t="s">
        <v>57</v>
      </c>
      <c r="F83" s="108" t="s">
        <v>57</v>
      </c>
      <c r="G83" s="169">
        <v>3.79</v>
      </c>
      <c r="H83" s="92"/>
      <c r="I83" s="108">
        <f t="shared" ref="I83:I93" si="232">(G83-H83)</f>
        <v>3.79</v>
      </c>
      <c r="J83" s="108">
        <f t="shared" ref="J83:J93" si="233">I83*D83</f>
        <v>3.79</v>
      </c>
      <c r="K83" s="90"/>
      <c r="L83" s="162" t="s">
        <v>18</v>
      </c>
      <c r="M83" s="108">
        <v>1</v>
      </c>
      <c r="N83" s="169">
        <v>8.09</v>
      </c>
      <c r="O83" s="168">
        <v>2.7</v>
      </c>
      <c r="P83" s="92"/>
      <c r="Q83" s="92"/>
      <c r="R83" s="108">
        <f t="shared" si="206"/>
        <v>21.843</v>
      </c>
      <c r="S83" s="110"/>
      <c r="T83" s="108" t="s">
        <v>18</v>
      </c>
      <c r="U83" s="163">
        <f t="shared" si="198"/>
        <v>8.09</v>
      </c>
      <c r="V83" s="90"/>
      <c r="W83" s="162" t="s">
        <v>18</v>
      </c>
      <c r="X83" s="108" t="str">
        <f t="shared" si="226"/>
        <v>cad</v>
      </c>
      <c r="Y83" s="108" t="str">
        <f t="shared" si="227"/>
        <v>cad</v>
      </c>
      <c r="Z83" s="108">
        <f t="shared" si="228"/>
        <v>3.79</v>
      </c>
      <c r="AA83" s="108"/>
      <c r="AB83" s="108">
        <f t="shared" si="229"/>
        <v>3.79</v>
      </c>
      <c r="AC83" s="108">
        <f t="shared" si="230"/>
        <v>3.79</v>
      </c>
      <c r="AD83" s="90"/>
      <c r="AE83" s="92" t="s">
        <v>17</v>
      </c>
      <c r="AF83" s="194">
        <f t="shared" si="231"/>
        <v>8.09</v>
      </c>
      <c r="AG83" s="90"/>
      <c r="AH83" s="90"/>
      <c r="AI83" s="90"/>
      <c r="AJ83" s="90"/>
      <c r="AK83" s="90"/>
    </row>
    <row r="84" spans="1:37" s="11" customFormat="1" ht="14.4">
      <c r="A84" s="18"/>
      <c r="B84" s="201" t="s">
        <v>613</v>
      </c>
      <c r="C84" s="162" t="s">
        <v>20</v>
      </c>
      <c r="D84" s="108">
        <v>1</v>
      </c>
      <c r="E84" s="108" t="s">
        <v>57</v>
      </c>
      <c r="F84" s="108" t="s">
        <v>57</v>
      </c>
      <c r="G84" s="169">
        <v>4.12</v>
      </c>
      <c r="H84" s="92"/>
      <c r="I84" s="108">
        <f t="shared" si="232"/>
        <v>4.12</v>
      </c>
      <c r="J84" s="108">
        <f t="shared" si="233"/>
        <v>4.12</v>
      </c>
      <c r="K84" s="90"/>
      <c r="L84" s="162" t="s">
        <v>18</v>
      </c>
      <c r="M84" s="108">
        <v>1</v>
      </c>
      <c r="N84" s="169">
        <v>8.3000000000000007</v>
      </c>
      <c r="O84" s="168">
        <v>2.7</v>
      </c>
      <c r="P84" s="92"/>
      <c r="Q84" s="92"/>
      <c r="R84" s="108">
        <f t="shared" si="206"/>
        <v>22.410000000000004</v>
      </c>
      <c r="S84" s="110"/>
      <c r="T84" s="108" t="s">
        <v>18</v>
      </c>
      <c r="U84" s="163">
        <f t="shared" si="198"/>
        <v>8.3000000000000007</v>
      </c>
      <c r="V84" s="90"/>
      <c r="W84" s="162" t="s">
        <v>18</v>
      </c>
      <c r="X84" s="108" t="str">
        <f t="shared" ref="X84" si="234">E84</f>
        <v>cad</v>
      </c>
      <c r="Y84" s="108" t="str">
        <f t="shared" ref="Y84" si="235">F84</f>
        <v>cad</v>
      </c>
      <c r="Z84" s="108">
        <f t="shared" si="228"/>
        <v>4.12</v>
      </c>
      <c r="AA84" s="108"/>
      <c r="AB84" s="108">
        <f t="shared" si="229"/>
        <v>4.12</v>
      </c>
      <c r="AC84" s="108">
        <f t="shared" si="230"/>
        <v>4.12</v>
      </c>
      <c r="AD84" s="90"/>
      <c r="AE84" s="92" t="s">
        <v>17</v>
      </c>
      <c r="AF84" s="194">
        <f t="shared" si="231"/>
        <v>8.3000000000000007</v>
      </c>
      <c r="AG84" s="90"/>
      <c r="AH84" s="90"/>
      <c r="AI84" s="90"/>
      <c r="AJ84" s="90"/>
      <c r="AK84" s="90"/>
    </row>
    <row r="85" spans="1:37" s="11" customFormat="1" ht="14.4">
      <c r="A85" s="18"/>
      <c r="B85" s="201" t="s">
        <v>614</v>
      </c>
      <c r="C85" s="162" t="s">
        <v>20</v>
      </c>
      <c r="D85" s="108">
        <v>1</v>
      </c>
      <c r="E85" s="108" t="s">
        <v>57</v>
      </c>
      <c r="F85" s="108" t="s">
        <v>57</v>
      </c>
      <c r="G85" s="169">
        <v>4.12</v>
      </c>
      <c r="H85" s="92"/>
      <c r="I85" s="108">
        <f t="shared" si="232"/>
        <v>4.12</v>
      </c>
      <c r="J85" s="108">
        <f t="shared" si="233"/>
        <v>4.12</v>
      </c>
      <c r="K85" s="90"/>
      <c r="L85" s="162" t="s">
        <v>18</v>
      </c>
      <c r="M85" s="108">
        <v>2</v>
      </c>
      <c r="N85" s="169">
        <v>8.3000000000000007</v>
      </c>
      <c r="O85" s="168">
        <v>2.7</v>
      </c>
      <c r="P85" s="92"/>
      <c r="Q85" s="92"/>
      <c r="R85" s="108">
        <f t="shared" si="206"/>
        <v>44.820000000000007</v>
      </c>
      <c r="S85" s="110"/>
      <c r="T85" s="108" t="s">
        <v>18</v>
      </c>
      <c r="U85" s="163">
        <f t="shared" si="198"/>
        <v>16.600000000000001</v>
      </c>
      <c r="V85" s="90"/>
      <c r="W85" s="162" t="s">
        <v>18</v>
      </c>
      <c r="X85" s="108" t="str">
        <f t="shared" si="226"/>
        <v>cad</v>
      </c>
      <c r="Y85" s="108" t="str">
        <f t="shared" si="227"/>
        <v>cad</v>
      </c>
      <c r="Z85" s="108">
        <f t="shared" si="228"/>
        <v>4.12</v>
      </c>
      <c r="AA85" s="108"/>
      <c r="AB85" s="108">
        <f t="shared" si="229"/>
        <v>4.12</v>
      </c>
      <c r="AC85" s="108">
        <f t="shared" si="230"/>
        <v>4.12</v>
      </c>
      <c r="AD85" s="90"/>
      <c r="AE85" s="92" t="s">
        <v>17</v>
      </c>
      <c r="AF85" s="194">
        <f t="shared" si="231"/>
        <v>16.600000000000001</v>
      </c>
      <c r="AG85" s="90"/>
      <c r="AH85" s="90"/>
      <c r="AI85" s="90"/>
      <c r="AJ85" s="90"/>
      <c r="AK85" s="90"/>
    </row>
    <row r="86" spans="1:37" s="11" customFormat="1" ht="14.4">
      <c r="A86" s="18"/>
      <c r="B86" s="201" t="s">
        <v>614</v>
      </c>
      <c r="C86" s="162" t="s">
        <v>20</v>
      </c>
      <c r="D86" s="108">
        <v>2</v>
      </c>
      <c r="E86" s="108" t="s">
        <v>57</v>
      </c>
      <c r="F86" s="108" t="s">
        <v>57</v>
      </c>
      <c r="G86" s="169">
        <v>3.76</v>
      </c>
      <c r="H86" s="92"/>
      <c r="I86" s="108">
        <f t="shared" si="232"/>
        <v>3.76</v>
      </c>
      <c r="J86" s="108">
        <f t="shared" si="233"/>
        <v>7.52</v>
      </c>
      <c r="K86" s="90"/>
      <c r="L86" s="162" t="s">
        <v>18</v>
      </c>
      <c r="M86" s="108">
        <v>2</v>
      </c>
      <c r="N86" s="169">
        <v>8.1</v>
      </c>
      <c r="O86" s="168">
        <v>2.7</v>
      </c>
      <c r="P86" s="92"/>
      <c r="Q86" s="92"/>
      <c r="R86" s="108">
        <f t="shared" si="206"/>
        <v>43.74</v>
      </c>
      <c r="S86" s="110"/>
      <c r="T86" s="108" t="s">
        <v>18</v>
      </c>
      <c r="U86" s="163">
        <f t="shared" si="198"/>
        <v>16.2</v>
      </c>
      <c r="V86" s="90"/>
      <c r="W86" s="162" t="s">
        <v>18</v>
      </c>
      <c r="X86" s="108" t="str">
        <f t="shared" si="226"/>
        <v>cad</v>
      </c>
      <c r="Y86" s="108" t="str">
        <f t="shared" si="227"/>
        <v>cad</v>
      </c>
      <c r="Z86" s="108">
        <f t="shared" si="228"/>
        <v>3.76</v>
      </c>
      <c r="AA86" s="108"/>
      <c r="AB86" s="108">
        <f t="shared" si="229"/>
        <v>3.76</v>
      </c>
      <c r="AC86" s="108">
        <f t="shared" si="230"/>
        <v>7.52</v>
      </c>
      <c r="AD86" s="90"/>
      <c r="AE86" s="92" t="s">
        <v>17</v>
      </c>
      <c r="AF86" s="194">
        <f t="shared" si="231"/>
        <v>16.2</v>
      </c>
      <c r="AG86" s="90"/>
      <c r="AH86" s="90"/>
      <c r="AI86" s="90"/>
      <c r="AJ86" s="90"/>
      <c r="AK86" s="90"/>
    </row>
    <row r="87" spans="1:37" s="11" customFormat="1" ht="14.4">
      <c r="A87" s="18"/>
      <c r="B87" s="201" t="s">
        <v>614</v>
      </c>
      <c r="C87" s="162" t="s">
        <v>20</v>
      </c>
      <c r="D87" s="108">
        <v>1</v>
      </c>
      <c r="E87" s="108" t="s">
        <v>57</v>
      </c>
      <c r="F87" s="108" t="s">
        <v>57</v>
      </c>
      <c r="G87" s="169">
        <v>4.51</v>
      </c>
      <c r="H87" s="92"/>
      <c r="I87" s="108">
        <f t="shared" ref="I87" si="236">(G87-H87)</f>
        <v>4.51</v>
      </c>
      <c r="J87" s="108">
        <f t="shared" ref="J87" si="237">I87*D87</f>
        <v>4.51</v>
      </c>
      <c r="K87" s="90"/>
      <c r="L87" s="162" t="s">
        <v>18</v>
      </c>
      <c r="M87" s="108">
        <v>1</v>
      </c>
      <c r="N87" s="169">
        <v>8.73</v>
      </c>
      <c r="O87" s="168">
        <v>2.7</v>
      </c>
      <c r="P87" s="92"/>
      <c r="Q87" s="92"/>
      <c r="R87" s="108">
        <f t="shared" si="206"/>
        <v>23.571000000000002</v>
      </c>
      <c r="S87" s="110"/>
      <c r="T87" s="108" t="s">
        <v>18</v>
      </c>
      <c r="U87" s="163">
        <f t="shared" si="198"/>
        <v>8.73</v>
      </c>
      <c r="V87" s="90"/>
      <c r="W87" s="162" t="s">
        <v>18</v>
      </c>
      <c r="X87" s="108" t="str">
        <f t="shared" ref="X87" si="238">E87</f>
        <v>cad</v>
      </c>
      <c r="Y87" s="108" t="str">
        <f t="shared" ref="Y87" si="239">F87</f>
        <v>cad</v>
      </c>
      <c r="Z87" s="108">
        <f t="shared" ref="Z87" si="240">G87</f>
        <v>4.51</v>
      </c>
      <c r="AA87" s="108"/>
      <c r="AB87" s="108">
        <f t="shared" ref="AB87" si="241">I87</f>
        <v>4.51</v>
      </c>
      <c r="AC87" s="108">
        <f t="shared" ref="AC87" si="242">J87</f>
        <v>4.51</v>
      </c>
      <c r="AD87" s="90"/>
      <c r="AE87" s="92" t="s">
        <v>17</v>
      </c>
      <c r="AF87" s="194">
        <f t="shared" si="231"/>
        <v>8.73</v>
      </c>
      <c r="AG87" s="90"/>
      <c r="AH87" s="90"/>
      <c r="AI87" s="90"/>
      <c r="AJ87" s="90"/>
      <c r="AK87" s="90"/>
    </row>
    <row r="88" spans="1:37" s="11" customFormat="1" ht="14.4">
      <c r="A88" s="18"/>
      <c r="B88" s="201" t="s">
        <v>615</v>
      </c>
      <c r="C88" s="162" t="s">
        <v>20</v>
      </c>
      <c r="D88" s="108">
        <v>1</v>
      </c>
      <c r="E88" s="108" t="s">
        <v>57</v>
      </c>
      <c r="F88" s="108" t="s">
        <v>57</v>
      </c>
      <c r="G88" s="169">
        <v>4.5</v>
      </c>
      <c r="H88" s="92"/>
      <c r="I88" s="108">
        <f t="shared" si="232"/>
        <v>4.5</v>
      </c>
      <c r="J88" s="108">
        <f t="shared" si="233"/>
        <v>4.5</v>
      </c>
      <c r="K88" s="90"/>
      <c r="L88" s="162" t="s">
        <v>18</v>
      </c>
      <c r="M88" s="108">
        <v>1</v>
      </c>
      <c r="N88" s="169">
        <v>8.6999999999999993</v>
      </c>
      <c r="O88" s="168">
        <v>2.7</v>
      </c>
      <c r="P88" s="92"/>
      <c r="Q88" s="92"/>
      <c r="R88" s="108">
        <f t="shared" si="206"/>
        <v>23.49</v>
      </c>
      <c r="S88" s="110"/>
      <c r="T88" s="108" t="s">
        <v>18</v>
      </c>
      <c r="U88" s="163">
        <f t="shared" si="198"/>
        <v>8.6999999999999993</v>
      </c>
      <c r="V88" s="90"/>
      <c r="W88" s="162" t="s">
        <v>18</v>
      </c>
      <c r="X88" s="108" t="str">
        <f t="shared" ref="X88:X89" si="243">E88</f>
        <v>cad</v>
      </c>
      <c r="Y88" s="108" t="str">
        <f t="shared" ref="Y88:Y89" si="244">F88</f>
        <v>cad</v>
      </c>
      <c r="Z88" s="108">
        <f t="shared" si="228"/>
        <v>4.5</v>
      </c>
      <c r="AA88" s="108"/>
      <c r="AB88" s="108">
        <f t="shared" si="229"/>
        <v>4.5</v>
      </c>
      <c r="AC88" s="108">
        <f t="shared" si="230"/>
        <v>4.5</v>
      </c>
      <c r="AD88" s="90"/>
      <c r="AE88" s="92" t="s">
        <v>17</v>
      </c>
      <c r="AF88" s="194">
        <f t="shared" si="231"/>
        <v>8.6999999999999993</v>
      </c>
      <c r="AG88" s="90"/>
      <c r="AH88" s="90"/>
      <c r="AI88" s="90"/>
      <c r="AJ88" s="90"/>
      <c r="AK88" s="90"/>
    </row>
    <row r="89" spans="1:37" s="11" customFormat="1" ht="14.4">
      <c r="A89" s="18"/>
      <c r="B89" s="201" t="s">
        <v>615</v>
      </c>
      <c r="C89" s="162" t="s">
        <v>20</v>
      </c>
      <c r="D89" s="108">
        <v>1</v>
      </c>
      <c r="E89" s="108" t="s">
        <v>57</v>
      </c>
      <c r="F89" s="108" t="s">
        <v>57</v>
      </c>
      <c r="G89" s="169">
        <v>5.0999999999999996</v>
      </c>
      <c r="H89" s="92"/>
      <c r="I89" s="108">
        <f t="shared" si="232"/>
        <v>5.0999999999999996</v>
      </c>
      <c r="J89" s="108">
        <f t="shared" si="233"/>
        <v>5.0999999999999996</v>
      </c>
      <c r="K89" s="90"/>
      <c r="L89" s="162" t="s">
        <v>18</v>
      </c>
      <c r="M89" s="108">
        <v>1</v>
      </c>
      <c r="N89" s="169">
        <v>9.4</v>
      </c>
      <c r="O89" s="168">
        <v>2.7</v>
      </c>
      <c r="P89" s="92"/>
      <c r="Q89" s="92"/>
      <c r="R89" s="108">
        <f t="shared" si="206"/>
        <v>25.380000000000003</v>
      </c>
      <c r="S89" s="110"/>
      <c r="T89" s="108" t="s">
        <v>18</v>
      </c>
      <c r="U89" s="163">
        <f t="shared" si="198"/>
        <v>9.4</v>
      </c>
      <c r="V89" s="90"/>
      <c r="W89" s="162" t="s">
        <v>18</v>
      </c>
      <c r="X89" s="108" t="str">
        <f t="shared" si="243"/>
        <v>cad</v>
      </c>
      <c r="Y89" s="108" t="str">
        <f t="shared" si="244"/>
        <v>cad</v>
      </c>
      <c r="Z89" s="108">
        <f t="shared" si="228"/>
        <v>5.0999999999999996</v>
      </c>
      <c r="AA89" s="108"/>
      <c r="AB89" s="108">
        <f t="shared" si="229"/>
        <v>5.0999999999999996</v>
      </c>
      <c r="AC89" s="108">
        <f t="shared" si="230"/>
        <v>5.0999999999999996</v>
      </c>
      <c r="AD89" s="90"/>
      <c r="AE89" s="92" t="s">
        <v>17</v>
      </c>
      <c r="AF89" s="194">
        <f t="shared" si="231"/>
        <v>9.4</v>
      </c>
      <c r="AG89" s="90"/>
      <c r="AH89" s="90"/>
      <c r="AI89" s="90"/>
      <c r="AJ89" s="90"/>
      <c r="AK89" s="90"/>
    </row>
    <row r="90" spans="1:37" s="11" customFormat="1" ht="14.4">
      <c r="A90" s="18"/>
      <c r="B90" s="201" t="s">
        <v>616</v>
      </c>
      <c r="C90" s="162" t="s">
        <v>20</v>
      </c>
      <c r="D90" s="108">
        <v>2</v>
      </c>
      <c r="E90" s="108" t="s">
        <v>57</v>
      </c>
      <c r="F90" s="108" t="s">
        <v>57</v>
      </c>
      <c r="G90" s="169">
        <v>2.15</v>
      </c>
      <c r="H90" s="92"/>
      <c r="I90" s="108">
        <f t="shared" si="232"/>
        <v>2.15</v>
      </c>
      <c r="J90" s="108">
        <f t="shared" si="233"/>
        <v>4.3</v>
      </c>
      <c r="K90" s="90"/>
      <c r="L90" s="162" t="s">
        <v>18</v>
      </c>
      <c r="M90" s="108">
        <v>2</v>
      </c>
      <c r="N90" s="169">
        <v>5.9</v>
      </c>
      <c r="O90" s="168">
        <v>2.7</v>
      </c>
      <c r="P90" s="92"/>
      <c r="Q90" s="92"/>
      <c r="R90" s="108">
        <f t="shared" si="206"/>
        <v>31.860000000000003</v>
      </c>
      <c r="S90" s="110"/>
      <c r="T90" s="108" t="s">
        <v>18</v>
      </c>
      <c r="U90" s="163">
        <f t="shared" si="198"/>
        <v>11.8</v>
      </c>
      <c r="V90" s="90"/>
      <c r="W90" s="162" t="s">
        <v>18</v>
      </c>
      <c r="X90" s="108" t="str">
        <f t="shared" ref="X90" si="245">E90</f>
        <v>cad</v>
      </c>
      <c r="Y90" s="108" t="str">
        <f t="shared" ref="Y90" si="246">F90</f>
        <v>cad</v>
      </c>
      <c r="Z90" s="108">
        <f t="shared" ref="Z90:Z92" si="247">G90</f>
        <v>2.15</v>
      </c>
      <c r="AA90" s="108"/>
      <c r="AB90" s="108">
        <f t="shared" ref="AB90:AB92" si="248">I90</f>
        <v>2.15</v>
      </c>
      <c r="AC90" s="108">
        <f t="shared" ref="AC90:AC92" si="249">J90</f>
        <v>4.3</v>
      </c>
      <c r="AD90" s="90"/>
      <c r="AE90" s="92" t="s">
        <v>17</v>
      </c>
      <c r="AF90" s="194">
        <f t="shared" si="231"/>
        <v>11.8</v>
      </c>
      <c r="AG90" s="90"/>
      <c r="AH90" s="90"/>
      <c r="AI90" s="90"/>
      <c r="AJ90" s="90"/>
      <c r="AK90" s="90"/>
    </row>
    <row r="91" spans="1:37" s="11" customFormat="1" ht="14.4">
      <c r="A91" s="18"/>
      <c r="B91" s="201" t="s">
        <v>617</v>
      </c>
      <c r="C91" s="162" t="s">
        <v>20</v>
      </c>
      <c r="D91" s="108">
        <v>1</v>
      </c>
      <c r="E91" s="108" t="s">
        <v>57</v>
      </c>
      <c r="F91" s="108" t="s">
        <v>57</v>
      </c>
      <c r="G91" s="169">
        <v>2.4900000000000002</v>
      </c>
      <c r="H91" s="92"/>
      <c r="I91" s="108">
        <f t="shared" si="232"/>
        <v>2.4900000000000002</v>
      </c>
      <c r="J91" s="108">
        <f t="shared" si="233"/>
        <v>2.4900000000000002</v>
      </c>
      <c r="K91" s="90"/>
      <c r="L91" s="162" t="s">
        <v>18</v>
      </c>
      <c r="M91" s="108">
        <v>1</v>
      </c>
      <c r="N91" s="169">
        <v>6.49</v>
      </c>
      <c r="O91" s="168">
        <v>2.7</v>
      </c>
      <c r="P91" s="92"/>
      <c r="Q91" s="92"/>
      <c r="R91" s="108">
        <f t="shared" si="206"/>
        <v>17.523000000000003</v>
      </c>
      <c r="S91" s="110"/>
      <c r="T91" s="108" t="s">
        <v>18</v>
      </c>
      <c r="U91" s="163">
        <f t="shared" si="198"/>
        <v>6.49</v>
      </c>
      <c r="V91" s="90"/>
      <c r="W91" s="162" t="s">
        <v>18</v>
      </c>
      <c r="X91" s="108" t="str">
        <f t="shared" ref="X91:X92" si="250">E91</f>
        <v>cad</v>
      </c>
      <c r="Y91" s="108" t="str">
        <f t="shared" ref="Y91:Y92" si="251">F91</f>
        <v>cad</v>
      </c>
      <c r="Z91" s="108">
        <f t="shared" si="247"/>
        <v>2.4900000000000002</v>
      </c>
      <c r="AA91" s="108"/>
      <c r="AB91" s="108">
        <f t="shared" si="248"/>
        <v>2.4900000000000002</v>
      </c>
      <c r="AC91" s="108">
        <f t="shared" si="249"/>
        <v>2.4900000000000002</v>
      </c>
      <c r="AD91" s="90"/>
      <c r="AE91" s="92" t="s">
        <v>17</v>
      </c>
      <c r="AF91" s="194">
        <f t="shared" si="231"/>
        <v>6.49</v>
      </c>
      <c r="AG91" s="90"/>
      <c r="AH91" s="90"/>
      <c r="AI91" s="90"/>
      <c r="AJ91" s="90"/>
      <c r="AK91" s="90"/>
    </row>
    <row r="92" spans="1:37" s="11" customFormat="1" ht="14.4">
      <c r="A92" s="18"/>
      <c r="B92" s="201" t="s">
        <v>617</v>
      </c>
      <c r="C92" s="162" t="s">
        <v>20</v>
      </c>
      <c r="D92" s="108">
        <v>1</v>
      </c>
      <c r="E92" s="108" t="s">
        <v>57</v>
      </c>
      <c r="F92" s="108" t="s">
        <v>57</v>
      </c>
      <c r="G92" s="169">
        <v>2.4500000000000002</v>
      </c>
      <c r="H92" s="92"/>
      <c r="I92" s="108">
        <f t="shared" si="232"/>
        <v>2.4500000000000002</v>
      </c>
      <c r="J92" s="108">
        <f t="shared" si="233"/>
        <v>2.4500000000000002</v>
      </c>
      <c r="K92" s="90"/>
      <c r="L92" s="162" t="s">
        <v>18</v>
      </c>
      <c r="M92" s="108">
        <v>1</v>
      </c>
      <c r="N92" s="169">
        <v>6.36</v>
      </c>
      <c r="O92" s="168">
        <v>2.7</v>
      </c>
      <c r="P92" s="92"/>
      <c r="Q92" s="92"/>
      <c r="R92" s="108">
        <f t="shared" si="206"/>
        <v>17.172000000000001</v>
      </c>
      <c r="S92" s="110"/>
      <c r="T92" s="108" t="s">
        <v>18</v>
      </c>
      <c r="U92" s="163">
        <f t="shared" si="198"/>
        <v>6.36</v>
      </c>
      <c r="V92" s="90"/>
      <c r="W92" s="162" t="s">
        <v>18</v>
      </c>
      <c r="X92" s="108" t="str">
        <f t="shared" si="250"/>
        <v>cad</v>
      </c>
      <c r="Y92" s="108" t="str">
        <f t="shared" si="251"/>
        <v>cad</v>
      </c>
      <c r="Z92" s="108">
        <f t="shared" si="247"/>
        <v>2.4500000000000002</v>
      </c>
      <c r="AA92" s="108"/>
      <c r="AB92" s="108">
        <f t="shared" si="248"/>
        <v>2.4500000000000002</v>
      </c>
      <c r="AC92" s="108">
        <f t="shared" si="249"/>
        <v>2.4500000000000002</v>
      </c>
      <c r="AD92" s="90"/>
      <c r="AE92" s="92" t="s">
        <v>17</v>
      </c>
      <c r="AF92" s="194">
        <f t="shared" si="231"/>
        <v>6.36</v>
      </c>
      <c r="AG92" s="90"/>
      <c r="AH92" s="90"/>
      <c r="AI92" s="90"/>
      <c r="AJ92" s="90"/>
      <c r="AK92" s="90"/>
    </row>
    <row r="93" spans="1:37" s="11" customFormat="1" ht="14.4">
      <c r="A93" s="18"/>
      <c r="B93" s="201" t="s">
        <v>618</v>
      </c>
      <c r="C93" s="162" t="s">
        <v>20</v>
      </c>
      <c r="D93" s="108">
        <v>2</v>
      </c>
      <c r="E93" s="108" t="s">
        <v>57</v>
      </c>
      <c r="F93" s="108" t="s">
        <v>57</v>
      </c>
      <c r="G93" s="169">
        <v>2.76</v>
      </c>
      <c r="H93" s="92"/>
      <c r="I93" s="108">
        <f t="shared" si="232"/>
        <v>2.76</v>
      </c>
      <c r="J93" s="108">
        <f t="shared" si="233"/>
        <v>5.52</v>
      </c>
      <c r="K93" s="90"/>
      <c r="L93" s="162" t="s">
        <v>18</v>
      </c>
      <c r="M93" s="108">
        <v>2</v>
      </c>
      <c r="N93" s="169">
        <v>6.65</v>
      </c>
      <c r="O93" s="168">
        <v>2.7</v>
      </c>
      <c r="P93" s="92"/>
      <c r="Q93" s="92"/>
      <c r="R93" s="108">
        <f t="shared" si="206"/>
        <v>35.910000000000004</v>
      </c>
      <c r="S93" s="110"/>
      <c r="T93" s="108" t="s">
        <v>18</v>
      </c>
      <c r="U93" s="163">
        <f t="shared" si="198"/>
        <v>13.3</v>
      </c>
      <c r="V93" s="90"/>
      <c r="W93" s="162" t="s">
        <v>18</v>
      </c>
      <c r="X93" s="108" t="str">
        <f t="shared" si="226"/>
        <v>cad</v>
      </c>
      <c r="Y93" s="108" t="str">
        <f t="shared" si="227"/>
        <v>cad</v>
      </c>
      <c r="Z93" s="108">
        <f t="shared" si="228"/>
        <v>2.76</v>
      </c>
      <c r="AA93" s="108"/>
      <c r="AB93" s="108">
        <f t="shared" si="229"/>
        <v>2.76</v>
      </c>
      <c r="AC93" s="108">
        <f t="shared" si="230"/>
        <v>5.52</v>
      </c>
      <c r="AD93" s="90"/>
      <c r="AE93" s="92" t="s">
        <v>17</v>
      </c>
      <c r="AF93" s="194">
        <f t="shared" si="231"/>
        <v>13.3</v>
      </c>
      <c r="AG93" s="90"/>
      <c r="AH93" s="90"/>
      <c r="AI93" s="90"/>
      <c r="AJ93" s="90"/>
      <c r="AK93" s="90"/>
    </row>
    <row r="94" spans="1:37" s="11" customFormat="1" ht="25.05" customHeight="1">
      <c r="A94" s="18"/>
      <c r="B94" s="265" t="s">
        <v>600</v>
      </c>
      <c r="C94" s="162" t="s">
        <v>28</v>
      </c>
      <c r="D94" s="108">
        <v>1</v>
      </c>
      <c r="E94" s="108" t="s">
        <v>57</v>
      </c>
      <c r="F94" s="108" t="s">
        <v>57</v>
      </c>
      <c r="G94" s="145">
        <v>69.900000000000006</v>
      </c>
      <c r="H94" s="92"/>
      <c r="I94" s="108">
        <f t="shared" ref="I94" si="252">(G94-H94)</f>
        <v>69.900000000000006</v>
      </c>
      <c r="J94" s="108">
        <f t="shared" ref="J94" si="253">I94*D94</f>
        <v>69.900000000000006</v>
      </c>
      <c r="K94" s="90"/>
      <c r="L94" s="162" t="s">
        <v>21</v>
      </c>
      <c r="M94" s="108">
        <v>1</v>
      </c>
      <c r="N94" s="145">
        <f>45.04-1.2</f>
        <v>43.839999999999996</v>
      </c>
      <c r="O94" s="123">
        <v>3</v>
      </c>
      <c r="P94" s="92"/>
      <c r="Q94" s="92"/>
      <c r="R94" s="108">
        <f t="shared" ref="R94:R95" si="254">(N94*O94-P94)*M94</f>
        <v>131.51999999999998</v>
      </c>
      <c r="S94" s="110"/>
      <c r="T94" s="108" t="s">
        <v>22</v>
      </c>
      <c r="U94" s="92">
        <f>N94*M94</f>
        <v>43.839999999999996</v>
      </c>
      <c r="V94" s="90"/>
      <c r="W94" s="162" t="s">
        <v>27</v>
      </c>
      <c r="X94" s="108" t="str">
        <f t="shared" ref="X94" si="255">E94</f>
        <v>cad</v>
      </c>
      <c r="Y94" s="108" t="str">
        <f t="shared" ref="Y94" si="256">F94</f>
        <v>cad</v>
      </c>
      <c r="Z94" s="108">
        <f t="shared" ref="Z94" si="257">G94</f>
        <v>69.900000000000006</v>
      </c>
      <c r="AA94" s="108">
        <f t="shared" ref="AA94" si="258">H94</f>
        <v>0</v>
      </c>
      <c r="AB94" s="108">
        <f t="shared" ref="AB94" si="259">I94</f>
        <v>69.900000000000006</v>
      </c>
      <c r="AC94" s="108">
        <f t="shared" ref="AC94" si="260">J94</f>
        <v>69.900000000000006</v>
      </c>
      <c r="AD94" s="90"/>
      <c r="AE94" s="92"/>
      <c r="AF94" s="194"/>
      <c r="AG94" s="90"/>
      <c r="AH94" s="90"/>
      <c r="AI94" s="90"/>
      <c r="AJ94" s="90"/>
      <c r="AK94" s="90"/>
    </row>
    <row r="95" spans="1:37" s="11" customFormat="1" ht="15" customHeight="1">
      <c r="A95" s="18"/>
      <c r="B95" s="265"/>
      <c r="C95" s="162"/>
      <c r="D95" s="108"/>
      <c r="E95" s="108"/>
      <c r="F95" s="108"/>
      <c r="G95" s="162"/>
      <c r="H95" s="92"/>
      <c r="I95" s="108">
        <f t="shared" ref="I95" si="261">(G95-H95)</f>
        <v>0</v>
      </c>
      <c r="J95" s="108">
        <f t="shared" ref="J95" si="262">I95*D95</f>
        <v>0</v>
      </c>
      <c r="K95" s="90"/>
      <c r="L95" s="266" t="s">
        <v>21</v>
      </c>
      <c r="M95" s="108">
        <v>1</v>
      </c>
      <c r="N95" s="169">
        <v>17.47</v>
      </c>
      <c r="O95" s="168">
        <v>1</v>
      </c>
      <c r="P95" s="92"/>
      <c r="Q95" s="92"/>
      <c r="R95" s="165">
        <f t="shared" si="254"/>
        <v>17.47</v>
      </c>
      <c r="S95" s="110"/>
      <c r="T95" s="108"/>
      <c r="U95" s="92"/>
      <c r="V95" s="90"/>
      <c r="W95" s="162"/>
      <c r="X95" s="108"/>
      <c r="Y95" s="108"/>
      <c r="Z95" s="108"/>
      <c r="AA95" s="108"/>
      <c r="AB95" s="108"/>
      <c r="AC95" s="108"/>
      <c r="AD95" s="90"/>
      <c r="AE95" s="92"/>
      <c r="AF95" s="194"/>
      <c r="AG95" s="90"/>
      <c r="AH95" s="90"/>
      <c r="AI95" s="90"/>
      <c r="AJ95" s="90"/>
      <c r="AK95" s="90"/>
    </row>
    <row r="96" spans="1:37" s="11" customFormat="1" ht="27.6">
      <c r="A96" s="18"/>
      <c r="B96" s="265" t="s">
        <v>601</v>
      </c>
      <c r="C96" s="162" t="s">
        <v>28</v>
      </c>
      <c r="D96" s="108">
        <v>1</v>
      </c>
      <c r="E96" s="108" t="s">
        <v>57</v>
      </c>
      <c r="F96" s="108" t="s">
        <v>57</v>
      </c>
      <c r="G96" s="145">
        <v>71.959999999999994</v>
      </c>
      <c r="H96" s="92"/>
      <c r="I96" s="108">
        <f t="shared" si="24"/>
        <v>71.959999999999994</v>
      </c>
      <c r="J96" s="108">
        <f t="shared" si="25"/>
        <v>71.959999999999994</v>
      </c>
      <c r="K96" s="90"/>
      <c r="L96" s="162" t="s">
        <v>21</v>
      </c>
      <c r="M96" s="108">
        <v>1</v>
      </c>
      <c r="N96" s="145">
        <f>47.04-1.2</f>
        <v>45.839999999999996</v>
      </c>
      <c r="O96" s="123">
        <v>3</v>
      </c>
      <c r="P96" s="92"/>
      <c r="Q96" s="92"/>
      <c r="R96" s="108">
        <f t="shared" si="26"/>
        <v>137.51999999999998</v>
      </c>
      <c r="S96" s="110"/>
      <c r="T96" s="108" t="s">
        <v>22</v>
      </c>
      <c r="U96" s="92">
        <f>N96*M96</f>
        <v>45.839999999999996</v>
      </c>
      <c r="V96" s="90"/>
      <c r="W96" s="162" t="s">
        <v>27</v>
      </c>
      <c r="X96" s="108" t="str">
        <f t="shared" si="27"/>
        <v>cad</v>
      </c>
      <c r="Y96" s="108" t="str">
        <f t="shared" si="28"/>
        <v>cad</v>
      </c>
      <c r="Z96" s="108">
        <f t="shared" si="29"/>
        <v>71.959999999999994</v>
      </c>
      <c r="AA96" s="108">
        <f t="shared" si="30"/>
        <v>0</v>
      </c>
      <c r="AB96" s="108">
        <f t="shared" si="31"/>
        <v>71.959999999999994</v>
      </c>
      <c r="AC96" s="108">
        <f t="shared" si="32"/>
        <v>71.959999999999994</v>
      </c>
      <c r="AD96" s="90"/>
      <c r="AE96" s="92"/>
      <c r="AF96" s="194"/>
      <c r="AG96" s="90"/>
      <c r="AH96" s="90"/>
      <c r="AI96" s="90"/>
      <c r="AJ96" s="90"/>
      <c r="AK96" s="90"/>
    </row>
    <row r="97" spans="1:37" s="11" customFormat="1" ht="15" customHeight="1">
      <c r="A97" s="18"/>
      <c r="B97" s="265"/>
      <c r="C97" s="162"/>
      <c r="D97" s="108"/>
      <c r="E97" s="108"/>
      <c r="F97" s="108"/>
      <c r="G97" s="162"/>
      <c r="H97" s="92"/>
      <c r="I97" s="108"/>
      <c r="J97" s="108"/>
      <c r="K97" s="90"/>
      <c r="L97" s="266" t="s">
        <v>21</v>
      </c>
      <c r="M97" s="108">
        <v>1</v>
      </c>
      <c r="N97" s="169">
        <v>17.47</v>
      </c>
      <c r="O97" s="168">
        <v>1</v>
      </c>
      <c r="P97" s="92"/>
      <c r="Q97" s="92"/>
      <c r="R97" s="165">
        <f t="shared" si="26"/>
        <v>17.47</v>
      </c>
      <c r="S97" s="110"/>
      <c r="T97" s="108"/>
      <c r="U97" s="92"/>
      <c r="V97" s="90"/>
      <c r="W97" s="162"/>
      <c r="X97" s="108"/>
      <c r="Y97" s="108"/>
      <c r="Z97" s="108"/>
      <c r="AA97" s="108"/>
      <c r="AB97" s="108"/>
      <c r="AC97" s="108"/>
      <c r="AD97" s="90"/>
      <c r="AE97" s="92"/>
      <c r="AF97" s="194"/>
      <c r="AG97" s="90"/>
      <c r="AH97" s="90"/>
      <c r="AI97" s="90"/>
      <c r="AJ97" s="90"/>
      <c r="AK97" s="90"/>
    </row>
    <row r="98" spans="1:37" s="11" customFormat="1" ht="14.4">
      <c r="A98" s="18"/>
      <c r="B98" s="138" t="s">
        <v>58</v>
      </c>
      <c r="C98" s="162" t="s">
        <v>17</v>
      </c>
      <c r="D98" s="108">
        <v>1</v>
      </c>
      <c r="E98" s="108" t="s">
        <v>57</v>
      </c>
      <c r="F98" s="108" t="s">
        <v>57</v>
      </c>
      <c r="G98" s="145">
        <v>31.64</v>
      </c>
      <c r="H98" s="92"/>
      <c r="I98" s="108">
        <f t="shared" si="24"/>
        <v>31.64</v>
      </c>
      <c r="J98" s="108">
        <f t="shared" si="25"/>
        <v>31.64</v>
      </c>
      <c r="K98" s="90"/>
      <c r="L98" s="162" t="s">
        <v>17</v>
      </c>
      <c r="M98" s="108">
        <v>1</v>
      </c>
      <c r="N98" s="162">
        <v>29.82</v>
      </c>
      <c r="O98" s="123">
        <v>2.7</v>
      </c>
      <c r="P98" s="92"/>
      <c r="Q98" s="92"/>
      <c r="R98" s="108">
        <f t="shared" si="26"/>
        <v>80.51400000000001</v>
      </c>
      <c r="S98" s="110"/>
      <c r="T98" s="108" t="s">
        <v>17</v>
      </c>
      <c r="U98" s="92">
        <f>N98*M98</f>
        <v>29.82</v>
      </c>
      <c r="V98" s="90"/>
      <c r="W98" s="162" t="s">
        <v>17</v>
      </c>
      <c r="X98" s="108" t="str">
        <f t="shared" si="27"/>
        <v>cad</v>
      </c>
      <c r="Y98" s="108" t="str">
        <f t="shared" si="28"/>
        <v>cad</v>
      </c>
      <c r="Z98" s="108">
        <f t="shared" si="29"/>
        <v>31.64</v>
      </c>
      <c r="AA98" s="108">
        <f t="shared" si="30"/>
        <v>0</v>
      </c>
      <c r="AB98" s="108">
        <f t="shared" si="31"/>
        <v>31.64</v>
      </c>
      <c r="AC98" s="108">
        <f t="shared" si="32"/>
        <v>31.64</v>
      </c>
      <c r="AD98" s="90"/>
      <c r="AE98" s="92" t="s">
        <v>357</v>
      </c>
      <c r="AF98" s="194">
        <f>N98*M98</f>
        <v>29.82</v>
      </c>
      <c r="AG98" s="90"/>
      <c r="AH98" s="90"/>
      <c r="AI98" s="90"/>
      <c r="AJ98" s="90"/>
      <c r="AK98" s="90"/>
    </row>
    <row r="99" spans="1:37" s="11" customFormat="1" ht="14.4">
      <c r="A99" s="18"/>
      <c r="B99" s="138" t="s">
        <v>65</v>
      </c>
      <c r="C99" s="162" t="s">
        <v>17</v>
      </c>
      <c r="D99" s="108">
        <v>1</v>
      </c>
      <c r="E99" s="108" t="s">
        <v>57</v>
      </c>
      <c r="F99" s="108" t="s">
        <v>57</v>
      </c>
      <c r="G99" s="145">
        <v>31.64</v>
      </c>
      <c r="H99" s="92"/>
      <c r="I99" s="108">
        <f t="shared" ref="I99:I101" si="263">(G99-H99)</f>
        <v>31.64</v>
      </c>
      <c r="J99" s="108">
        <f t="shared" ref="J99:J101" si="264">I99*D99</f>
        <v>31.64</v>
      </c>
      <c r="K99" s="90"/>
      <c r="L99" s="162" t="s">
        <v>17</v>
      </c>
      <c r="M99" s="108">
        <v>1</v>
      </c>
      <c r="N99" s="162">
        <v>29.82</v>
      </c>
      <c r="O99" s="123">
        <v>2.7</v>
      </c>
      <c r="P99" s="92"/>
      <c r="Q99" s="92"/>
      <c r="R99" s="108">
        <f t="shared" ref="R99:R100" si="265">(N99*O99-P99)*M99</f>
        <v>80.51400000000001</v>
      </c>
      <c r="S99" s="110"/>
      <c r="T99" s="108" t="s">
        <v>17</v>
      </c>
      <c r="U99" s="92">
        <f>N99*M99</f>
        <v>29.82</v>
      </c>
      <c r="V99" s="90"/>
      <c r="W99" s="162" t="s">
        <v>17</v>
      </c>
      <c r="X99" s="108" t="str">
        <f t="shared" ref="X99:X100" si="266">E99</f>
        <v>cad</v>
      </c>
      <c r="Y99" s="108" t="str">
        <f t="shared" ref="Y99:Y100" si="267">F99</f>
        <v>cad</v>
      </c>
      <c r="Z99" s="108">
        <f t="shared" ref="Z99:Z100" si="268">G99</f>
        <v>31.64</v>
      </c>
      <c r="AA99" s="108">
        <f t="shared" ref="AA99:AA100" si="269">H99</f>
        <v>0</v>
      </c>
      <c r="AB99" s="108">
        <f t="shared" ref="AB99:AB100" si="270">I99</f>
        <v>31.64</v>
      </c>
      <c r="AC99" s="108">
        <f t="shared" ref="AC99:AC100" si="271">J99</f>
        <v>31.64</v>
      </c>
      <c r="AD99" s="90"/>
      <c r="AE99" s="92" t="s">
        <v>357</v>
      </c>
      <c r="AF99" s="194">
        <f>N99*M99</f>
        <v>29.82</v>
      </c>
      <c r="AG99" s="90"/>
      <c r="AH99" s="90"/>
      <c r="AI99" s="90"/>
      <c r="AJ99" s="90"/>
      <c r="AK99" s="90"/>
    </row>
    <row r="100" spans="1:37" s="11" customFormat="1" ht="14.4">
      <c r="A100" s="18"/>
      <c r="B100" s="138" t="s">
        <v>66</v>
      </c>
      <c r="C100" s="162" t="s">
        <v>24</v>
      </c>
      <c r="D100" s="108">
        <v>1</v>
      </c>
      <c r="E100" s="108" t="s">
        <v>57</v>
      </c>
      <c r="F100" s="108" t="s">
        <v>57</v>
      </c>
      <c r="G100" s="162">
        <v>40.909999999999997</v>
      </c>
      <c r="H100" s="92"/>
      <c r="I100" s="108">
        <f t="shared" si="263"/>
        <v>40.909999999999997</v>
      </c>
      <c r="J100" s="108">
        <f t="shared" si="264"/>
        <v>40.909999999999997</v>
      </c>
      <c r="K100" s="90"/>
      <c r="L100" s="162" t="s">
        <v>24</v>
      </c>
      <c r="M100" s="108">
        <v>1</v>
      </c>
      <c r="N100" s="162">
        <v>26.71</v>
      </c>
      <c r="O100" s="123">
        <v>3.9</v>
      </c>
      <c r="P100" s="92"/>
      <c r="Q100" s="92"/>
      <c r="R100" s="108">
        <f t="shared" si="265"/>
        <v>104.169</v>
      </c>
      <c r="S100" s="110"/>
      <c r="T100" s="108" t="s">
        <v>20</v>
      </c>
      <c r="U100" s="92">
        <f>N100*M100</f>
        <v>26.71</v>
      </c>
      <c r="V100" s="90"/>
      <c r="W100" s="162" t="s">
        <v>20</v>
      </c>
      <c r="X100" s="108" t="str">
        <f t="shared" si="266"/>
        <v>cad</v>
      </c>
      <c r="Y100" s="108" t="str">
        <f t="shared" si="267"/>
        <v>cad</v>
      </c>
      <c r="Z100" s="108">
        <f t="shared" si="268"/>
        <v>40.909999999999997</v>
      </c>
      <c r="AA100" s="108">
        <f t="shared" si="269"/>
        <v>0</v>
      </c>
      <c r="AB100" s="108">
        <f t="shared" si="270"/>
        <v>40.909999999999997</v>
      </c>
      <c r="AC100" s="108">
        <f t="shared" si="271"/>
        <v>40.909999999999997</v>
      </c>
      <c r="AD100" s="90"/>
      <c r="AE100" s="92"/>
      <c r="AF100" s="194"/>
      <c r="AG100" s="90"/>
      <c r="AH100" s="90"/>
      <c r="AI100" s="90"/>
      <c r="AJ100" s="90"/>
      <c r="AK100" s="90"/>
    </row>
    <row r="101" spans="1:37" s="11" customFormat="1" ht="14.4">
      <c r="A101" s="18"/>
      <c r="B101" s="138"/>
      <c r="C101" s="162" t="s">
        <v>24</v>
      </c>
      <c r="D101" s="108">
        <v>1</v>
      </c>
      <c r="E101" s="108" t="s">
        <v>57</v>
      </c>
      <c r="F101" s="108" t="s">
        <v>57</v>
      </c>
      <c r="G101" s="162">
        <v>9.7100000000000009</v>
      </c>
      <c r="H101" s="92"/>
      <c r="I101" s="108">
        <f t="shared" si="263"/>
        <v>9.7100000000000009</v>
      </c>
      <c r="J101" s="108">
        <f t="shared" si="264"/>
        <v>9.7100000000000009</v>
      </c>
      <c r="K101" s="90"/>
      <c r="L101" s="162"/>
      <c r="M101" s="108"/>
      <c r="N101" s="162"/>
      <c r="O101" s="95"/>
      <c r="P101" s="92"/>
      <c r="Q101" s="92"/>
      <c r="R101" s="108"/>
      <c r="S101" s="110"/>
      <c r="T101" s="108"/>
      <c r="U101" s="92"/>
      <c r="V101" s="90"/>
      <c r="W101" s="162"/>
      <c r="X101" s="108"/>
      <c r="Y101" s="108"/>
      <c r="Z101" s="108"/>
      <c r="AA101" s="108"/>
      <c r="AB101" s="108"/>
      <c r="AC101" s="108"/>
      <c r="AD101" s="90"/>
      <c r="AE101" s="92"/>
      <c r="AF101" s="194"/>
      <c r="AG101" s="90"/>
      <c r="AH101" s="90"/>
      <c r="AI101" s="90"/>
      <c r="AJ101" s="90"/>
      <c r="AK101" s="90"/>
    </row>
    <row r="102" spans="1:37" s="13" customFormat="1" ht="14.4">
      <c r="A102" s="36"/>
      <c r="B102" s="257" t="s">
        <v>134</v>
      </c>
      <c r="C102" s="258"/>
      <c r="D102" s="258"/>
      <c r="E102" s="258"/>
      <c r="F102" s="258"/>
      <c r="G102" s="258"/>
      <c r="H102" s="257"/>
      <c r="I102" s="108"/>
      <c r="J102" s="108"/>
      <c r="K102" s="259"/>
      <c r="L102" s="258"/>
      <c r="M102" s="108"/>
      <c r="N102" s="258"/>
      <c r="O102" s="108"/>
      <c r="P102" s="257"/>
      <c r="Q102" s="257"/>
      <c r="R102" s="108"/>
      <c r="S102" s="110"/>
      <c r="T102" s="108"/>
      <c r="U102" s="258"/>
      <c r="V102" s="259"/>
      <c r="W102" s="258"/>
      <c r="X102" s="108"/>
      <c r="Y102" s="108"/>
      <c r="Z102" s="108"/>
      <c r="AA102" s="108"/>
      <c r="AB102" s="108"/>
      <c r="AC102" s="108"/>
      <c r="AD102" s="259"/>
      <c r="AE102" s="92"/>
      <c r="AF102" s="194"/>
      <c r="AG102" s="259"/>
      <c r="AH102" s="259"/>
      <c r="AI102" s="259"/>
      <c r="AJ102" s="259"/>
      <c r="AK102" s="259"/>
    </row>
    <row r="103" spans="1:37" s="13" customFormat="1" ht="14.4">
      <c r="A103" s="36"/>
      <c r="B103" s="257" t="s">
        <v>135</v>
      </c>
      <c r="C103" s="258"/>
      <c r="D103" s="258"/>
      <c r="E103" s="258"/>
      <c r="F103" s="258"/>
      <c r="G103" s="258"/>
      <c r="H103" s="257"/>
      <c r="I103" s="108"/>
      <c r="J103" s="108"/>
      <c r="K103" s="259"/>
      <c r="L103" s="258"/>
      <c r="M103" s="108"/>
      <c r="N103" s="258"/>
      <c r="O103" s="108"/>
      <c r="P103" s="257"/>
      <c r="Q103" s="257"/>
      <c r="R103" s="108"/>
      <c r="S103" s="110"/>
      <c r="T103" s="108"/>
      <c r="U103" s="258"/>
      <c r="V103" s="259"/>
      <c r="W103" s="258"/>
      <c r="X103" s="108"/>
      <c r="Y103" s="108"/>
      <c r="Z103" s="108"/>
      <c r="AA103" s="108"/>
      <c r="AB103" s="108"/>
      <c r="AC103" s="108"/>
      <c r="AD103" s="259"/>
      <c r="AE103" s="92"/>
      <c r="AF103" s="194"/>
      <c r="AG103" s="259"/>
      <c r="AH103" s="259"/>
      <c r="AI103" s="259"/>
      <c r="AJ103" s="259"/>
      <c r="AK103" s="259"/>
    </row>
    <row r="104" spans="1:37" s="11" customFormat="1" ht="14.4">
      <c r="A104" s="18"/>
      <c r="B104" s="92"/>
      <c r="C104" s="162"/>
      <c r="D104" s="108"/>
      <c r="E104" s="108"/>
      <c r="F104" s="108"/>
      <c r="G104" s="162"/>
      <c r="H104" s="92"/>
      <c r="I104" s="108"/>
      <c r="J104" s="108"/>
      <c r="K104" s="90"/>
      <c r="L104" s="162"/>
      <c r="M104" s="108"/>
      <c r="N104" s="162"/>
      <c r="O104" s="108"/>
      <c r="P104" s="92"/>
      <c r="Q104" s="92"/>
      <c r="R104" s="108"/>
      <c r="S104" s="110"/>
      <c r="T104" s="108"/>
      <c r="U104" s="108"/>
      <c r="V104" s="90"/>
      <c r="W104" s="162"/>
      <c r="X104" s="108"/>
      <c r="Y104" s="108"/>
      <c r="Z104" s="108"/>
      <c r="AA104" s="108"/>
      <c r="AB104" s="108"/>
      <c r="AC104" s="108"/>
      <c r="AD104" s="90"/>
      <c r="AE104" s="253"/>
      <c r="AF104" s="253"/>
      <c r="AG104" s="90"/>
      <c r="AH104" s="90"/>
      <c r="AI104" s="90"/>
      <c r="AJ104" s="90"/>
      <c r="AK104" s="90"/>
    </row>
    <row r="105" spans="1:37" ht="15.75" customHeight="1">
      <c r="B105" s="83"/>
      <c r="C105" s="83"/>
      <c r="D105" s="83"/>
      <c r="E105" s="83"/>
      <c r="F105" s="83"/>
      <c r="G105" s="170"/>
      <c r="H105" s="83"/>
      <c r="I105" s="83"/>
      <c r="J105" s="189">
        <f>SUM(J12:J104)</f>
        <v>1098.1100000000004</v>
      </c>
      <c r="K105" s="85"/>
      <c r="L105" s="85"/>
      <c r="M105" s="87"/>
      <c r="N105" s="189">
        <f>SUM(N12:N104)</f>
        <v>936.9000000000002</v>
      </c>
      <c r="O105" s="87"/>
      <c r="P105" s="87"/>
      <c r="Q105" s="85"/>
      <c r="R105" s="189">
        <f>SUM(R12:R104)</f>
        <v>3298.6409999999987</v>
      </c>
      <c r="S105" s="155"/>
      <c r="T105" s="155"/>
      <c r="U105" s="189">
        <f>SUM(U12:U104)</f>
        <v>1061.04</v>
      </c>
      <c r="V105" s="85"/>
      <c r="W105" s="85"/>
      <c r="X105" s="85"/>
      <c r="Y105" s="85"/>
      <c r="Z105" s="85"/>
      <c r="AA105" s="85"/>
      <c r="AB105" s="85"/>
      <c r="AC105" s="189">
        <f>SUM(AC12:AC104)</f>
        <v>1129.6800000000005</v>
      </c>
      <c r="AD105" s="85"/>
      <c r="AE105" s="85"/>
      <c r="AF105" s="189">
        <f>SUM(AF16:AF17,AF20,AF22:AF32,AF33:AF93,AF98,AF99)</f>
        <v>595.04000000000008</v>
      </c>
      <c r="AG105" s="83"/>
      <c r="AH105" s="83"/>
      <c r="AI105" s="83"/>
      <c r="AJ105" s="83"/>
      <c r="AK105" s="83"/>
    </row>
    <row r="106" spans="1:37" ht="15.75" customHeight="1">
      <c r="B106" s="227" t="s">
        <v>5</v>
      </c>
      <c r="C106" s="83"/>
      <c r="D106" s="83"/>
      <c r="E106" s="83"/>
      <c r="F106" s="83"/>
      <c r="G106" s="83"/>
      <c r="H106" s="83"/>
      <c r="I106" s="83"/>
      <c r="J106" s="170"/>
      <c r="K106" s="83"/>
      <c r="L106" s="80"/>
      <c r="M106" s="170"/>
      <c r="N106" s="170"/>
      <c r="O106" s="170"/>
      <c r="P106" s="170"/>
      <c r="Q106" s="83"/>
      <c r="R106" s="83"/>
      <c r="S106" s="83"/>
      <c r="T106" s="83"/>
      <c r="U106" s="226"/>
      <c r="V106" s="83"/>
      <c r="W106" s="80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</row>
    <row r="107" spans="1:37" ht="15.75" customHeight="1">
      <c r="B107" s="227"/>
      <c r="C107" s="83"/>
      <c r="D107" s="83"/>
      <c r="E107" s="83"/>
      <c r="F107" s="83"/>
      <c r="G107" s="83"/>
      <c r="H107" s="83"/>
      <c r="I107" s="83"/>
      <c r="J107" s="170"/>
      <c r="K107" s="83"/>
      <c r="L107" s="83"/>
      <c r="M107" s="170"/>
      <c r="N107" s="170"/>
      <c r="O107" s="170"/>
      <c r="P107" s="170"/>
      <c r="Q107" s="83"/>
      <c r="R107" s="83"/>
      <c r="S107" s="83"/>
      <c r="T107" s="83"/>
      <c r="U107" s="83"/>
      <c r="V107" s="83"/>
      <c r="W107" s="80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</row>
    <row r="108" spans="1:37" ht="15.75" customHeight="1">
      <c r="B108" s="227" t="s">
        <v>3</v>
      </c>
      <c r="C108" s="83"/>
      <c r="D108" s="83"/>
      <c r="E108" s="83"/>
      <c r="F108" s="83"/>
      <c r="G108" s="83"/>
      <c r="H108" s="83"/>
      <c r="I108" s="83"/>
      <c r="J108" s="170"/>
      <c r="K108" s="83"/>
      <c r="L108" s="83"/>
      <c r="M108" s="227" t="s">
        <v>2</v>
      </c>
      <c r="N108" s="83"/>
      <c r="O108" s="170"/>
      <c r="P108" s="170"/>
      <c r="Q108" s="83"/>
      <c r="R108" s="83"/>
      <c r="S108" s="83"/>
      <c r="T108" s="83"/>
      <c r="U108" s="83"/>
      <c r="V108" s="83"/>
      <c r="W108" s="227" t="s">
        <v>4</v>
      </c>
      <c r="X108" s="83"/>
      <c r="Y108" s="83"/>
      <c r="Z108" s="83"/>
      <c r="AA108" s="83"/>
      <c r="AB108" s="83"/>
      <c r="AC108" s="83"/>
      <c r="AD108" s="83"/>
      <c r="AE108" s="227" t="s">
        <v>34</v>
      </c>
      <c r="AF108" s="80"/>
      <c r="AG108" s="80"/>
      <c r="AH108" s="80"/>
      <c r="AI108" s="188"/>
      <c r="AJ108" s="83"/>
      <c r="AK108" s="83"/>
    </row>
    <row r="109" spans="1:37" ht="15.75" customHeight="1">
      <c r="B109" s="162" t="s">
        <v>17</v>
      </c>
      <c r="C109" s="218">
        <f>SUMIF(C$12:C$103,B109,J$12:J$103)</f>
        <v>79.16</v>
      </c>
      <c r="D109" s="83"/>
      <c r="E109" s="83"/>
      <c r="F109" s="83"/>
      <c r="G109" s="83"/>
      <c r="H109" s="83"/>
      <c r="I109" s="83"/>
      <c r="J109" s="170"/>
      <c r="K109" s="83"/>
      <c r="L109" s="83"/>
      <c r="M109" s="92" t="s">
        <v>17</v>
      </c>
      <c r="N109" s="219">
        <f>SUMIF(L$12:L$100,M109,R$12:R$100)</f>
        <v>222.34800000000001</v>
      </c>
      <c r="O109" s="170"/>
      <c r="P109" s="170"/>
      <c r="Q109" s="83"/>
      <c r="R109" s="83"/>
      <c r="S109" s="83"/>
      <c r="T109" s="83"/>
      <c r="U109" s="83"/>
      <c r="V109" s="83"/>
      <c r="W109" s="228" t="s">
        <v>17</v>
      </c>
      <c r="X109" s="221">
        <f>SUMIF(W$12:W$104,W109,AC$12:AC$104)</f>
        <v>436.28999999999996</v>
      </c>
      <c r="Y109" s="83"/>
      <c r="Z109" s="83"/>
      <c r="AA109" s="83"/>
      <c r="AB109" s="83"/>
      <c r="AC109" s="83"/>
      <c r="AD109" s="83"/>
      <c r="AE109" s="118" t="s">
        <v>39</v>
      </c>
      <c r="AF109" s="324" t="s">
        <v>364</v>
      </c>
      <c r="AG109" s="324"/>
      <c r="AH109" s="324"/>
      <c r="AI109" s="118" t="s">
        <v>365</v>
      </c>
      <c r="AJ109" s="83"/>
      <c r="AK109" s="83"/>
    </row>
    <row r="110" spans="1:37" ht="15.75" customHeight="1">
      <c r="B110" s="162" t="s">
        <v>18</v>
      </c>
      <c r="C110" s="218">
        <f t="shared" ref="C110:C124" si="272">SUMIF(C$12:C$103,B110,J$12:J$103)</f>
        <v>0</v>
      </c>
      <c r="D110" s="83"/>
      <c r="E110" s="83"/>
      <c r="F110" s="83"/>
      <c r="G110" s="83"/>
      <c r="H110" s="83"/>
      <c r="I110" s="83"/>
      <c r="J110" s="170"/>
      <c r="K110" s="83"/>
      <c r="L110" s="83"/>
      <c r="M110" s="92" t="s">
        <v>18</v>
      </c>
      <c r="N110" s="219">
        <f t="shared" ref="N110:N132" si="273">SUMIF(L$12:L$100,M110,R$12:R$100)</f>
        <v>455.38200000000012</v>
      </c>
      <c r="O110" s="170"/>
      <c r="P110" s="170"/>
      <c r="Q110" s="83"/>
      <c r="R110" s="83"/>
      <c r="S110" s="83"/>
      <c r="T110" s="83"/>
      <c r="U110" s="83"/>
      <c r="V110" s="83"/>
      <c r="W110" s="228" t="s">
        <v>18</v>
      </c>
      <c r="X110" s="221">
        <f t="shared" ref="X110:X119" si="274">SUMIF(W$12:W$104,W110,AC$12:AC$104)</f>
        <v>113.54</v>
      </c>
      <c r="Y110" s="83"/>
      <c r="Z110" s="83"/>
      <c r="AA110" s="83"/>
      <c r="AB110" s="83"/>
      <c r="AC110" s="83"/>
      <c r="AD110" s="83"/>
      <c r="AE110" s="118" t="s">
        <v>357</v>
      </c>
      <c r="AF110" s="323" t="s">
        <v>363</v>
      </c>
      <c r="AG110" s="323"/>
      <c r="AH110" s="323"/>
      <c r="AI110" s="95">
        <f>AF105</f>
        <v>595.04000000000008</v>
      </c>
      <c r="AJ110" s="83"/>
      <c r="AK110" s="83"/>
    </row>
    <row r="111" spans="1:37" ht="15.75" customHeight="1">
      <c r="B111" s="162" t="s">
        <v>19</v>
      </c>
      <c r="C111" s="218">
        <f t="shared" si="272"/>
        <v>0</v>
      </c>
      <c r="D111" s="83"/>
      <c r="E111" s="83"/>
      <c r="F111" s="83"/>
      <c r="G111" s="83"/>
      <c r="H111" s="83"/>
      <c r="I111" s="83"/>
      <c r="J111" s="170"/>
      <c r="K111" s="83"/>
      <c r="L111" s="83"/>
      <c r="M111" s="92" t="s">
        <v>19</v>
      </c>
      <c r="N111" s="219">
        <f t="shared" si="273"/>
        <v>817.88399999999979</v>
      </c>
      <c r="O111" s="170"/>
      <c r="P111" s="170"/>
      <c r="Q111" s="83"/>
      <c r="R111" s="83"/>
      <c r="S111" s="83"/>
      <c r="T111" s="83"/>
      <c r="U111" s="83"/>
      <c r="V111" s="83"/>
      <c r="W111" s="228" t="s">
        <v>19</v>
      </c>
      <c r="X111" s="221">
        <f t="shared" si="274"/>
        <v>38.49</v>
      </c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</row>
    <row r="112" spans="1:37" ht="15.75" customHeight="1">
      <c r="B112" s="162" t="s">
        <v>20</v>
      </c>
      <c r="C112" s="218">
        <f t="shared" si="272"/>
        <v>91.569999999999979</v>
      </c>
      <c r="D112" s="83"/>
      <c r="E112" s="83"/>
      <c r="F112" s="83"/>
      <c r="G112" s="83"/>
      <c r="H112" s="83"/>
      <c r="I112" s="83"/>
      <c r="J112" s="170"/>
      <c r="K112" s="83"/>
      <c r="L112" s="83"/>
      <c r="M112" s="92" t="s">
        <v>20</v>
      </c>
      <c r="N112" s="219">
        <f t="shared" si="273"/>
        <v>0</v>
      </c>
      <c r="O112" s="170"/>
      <c r="P112" s="170"/>
      <c r="Q112" s="83"/>
      <c r="R112" s="83"/>
      <c r="S112" s="83"/>
      <c r="T112" s="83"/>
      <c r="U112" s="83"/>
      <c r="V112" s="83"/>
      <c r="W112" s="228" t="s">
        <v>20</v>
      </c>
      <c r="X112" s="221">
        <f t="shared" si="274"/>
        <v>81.819999999999993</v>
      </c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</row>
    <row r="113" spans="2:37" ht="15.75" customHeight="1">
      <c r="B113" s="162" t="s">
        <v>21</v>
      </c>
      <c r="C113" s="218">
        <f t="shared" si="272"/>
        <v>268.86</v>
      </c>
      <c r="D113" s="83"/>
      <c r="E113" s="83"/>
      <c r="F113" s="83"/>
      <c r="G113" s="83"/>
      <c r="H113" s="83"/>
      <c r="I113" s="83"/>
      <c r="J113" s="170"/>
      <c r="K113" s="83"/>
      <c r="L113" s="83"/>
      <c r="M113" s="92" t="s">
        <v>21</v>
      </c>
      <c r="N113" s="219">
        <f t="shared" si="273"/>
        <v>1271.904</v>
      </c>
      <c r="O113" s="170"/>
      <c r="P113" s="170"/>
      <c r="Q113" s="83"/>
      <c r="R113" s="83"/>
      <c r="S113" s="83"/>
      <c r="T113" s="83"/>
      <c r="U113" s="83"/>
      <c r="V113" s="83"/>
      <c r="W113" s="228" t="s">
        <v>21</v>
      </c>
      <c r="X113" s="221">
        <f t="shared" si="274"/>
        <v>0</v>
      </c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</row>
    <row r="114" spans="2:37" ht="15.75" customHeight="1">
      <c r="B114" s="162" t="s">
        <v>22</v>
      </c>
      <c r="C114" s="218">
        <f t="shared" si="272"/>
        <v>21.97</v>
      </c>
      <c r="D114" s="83"/>
      <c r="E114" s="83"/>
      <c r="F114" s="83"/>
      <c r="G114" s="83"/>
      <c r="H114" s="83"/>
      <c r="I114" s="83"/>
      <c r="J114" s="170"/>
      <c r="K114" s="83"/>
      <c r="L114" s="83"/>
      <c r="M114" s="92" t="s">
        <v>22</v>
      </c>
      <c r="N114" s="219">
        <f t="shared" si="273"/>
        <v>100.27800000000001</v>
      </c>
      <c r="O114" s="170"/>
      <c r="P114" s="170"/>
      <c r="Q114" s="83"/>
      <c r="R114" s="83"/>
      <c r="S114" s="83"/>
      <c r="T114" s="83"/>
      <c r="U114" s="83"/>
      <c r="V114" s="83"/>
      <c r="W114" s="228" t="s">
        <v>22</v>
      </c>
      <c r="X114" s="221">
        <f t="shared" si="274"/>
        <v>0</v>
      </c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</row>
    <row r="115" spans="2:37" ht="15.75" customHeight="1">
      <c r="B115" s="162" t="s">
        <v>23</v>
      </c>
      <c r="C115" s="218">
        <f t="shared" si="272"/>
        <v>0</v>
      </c>
      <c r="D115" s="83"/>
      <c r="E115" s="83"/>
      <c r="F115" s="83"/>
      <c r="G115" s="83"/>
      <c r="H115" s="83"/>
      <c r="I115" s="83"/>
      <c r="J115" s="170"/>
      <c r="K115" s="83"/>
      <c r="L115" s="83"/>
      <c r="M115" s="92" t="s">
        <v>23</v>
      </c>
      <c r="N115" s="219">
        <f t="shared" si="273"/>
        <v>0</v>
      </c>
      <c r="O115" s="170"/>
      <c r="P115" s="170"/>
      <c r="Q115" s="83"/>
      <c r="R115" s="83"/>
      <c r="S115" s="83"/>
      <c r="T115" s="83"/>
      <c r="U115" s="83"/>
      <c r="V115" s="83"/>
      <c r="W115" s="228" t="s">
        <v>23</v>
      </c>
      <c r="X115" s="221">
        <f t="shared" si="274"/>
        <v>0</v>
      </c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</row>
    <row r="116" spans="2:37" ht="15.75" customHeight="1">
      <c r="B116" s="162" t="s">
        <v>24</v>
      </c>
      <c r="C116" s="218">
        <f t="shared" si="272"/>
        <v>108.35</v>
      </c>
      <c r="D116" s="83"/>
      <c r="E116" s="83"/>
      <c r="F116" s="83"/>
      <c r="G116" s="83"/>
      <c r="H116" s="83"/>
      <c r="I116" s="83"/>
      <c r="J116" s="170"/>
      <c r="K116" s="83"/>
      <c r="L116" s="83"/>
      <c r="M116" s="92" t="s">
        <v>24</v>
      </c>
      <c r="N116" s="219">
        <f t="shared" si="273"/>
        <v>237.14699999999999</v>
      </c>
      <c r="O116" s="170"/>
      <c r="P116" s="170"/>
      <c r="Q116" s="83"/>
      <c r="R116" s="83"/>
      <c r="S116" s="83"/>
      <c r="T116" s="83"/>
      <c r="U116" s="83"/>
      <c r="V116" s="83"/>
      <c r="W116" s="228" t="s">
        <v>24</v>
      </c>
      <c r="X116" s="221">
        <f t="shared" si="274"/>
        <v>12.5</v>
      </c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</row>
    <row r="117" spans="2:37" ht="15.75" customHeight="1">
      <c r="B117" s="162" t="s">
        <v>25</v>
      </c>
      <c r="C117" s="218">
        <f t="shared" si="272"/>
        <v>0</v>
      </c>
      <c r="D117" s="83"/>
      <c r="E117" s="83"/>
      <c r="F117" s="83"/>
      <c r="G117" s="83"/>
      <c r="H117" s="83"/>
      <c r="I117" s="83"/>
      <c r="J117" s="170"/>
      <c r="K117" s="83"/>
      <c r="L117" s="83"/>
      <c r="M117" s="92" t="s">
        <v>25</v>
      </c>
      <c r="N117" s="219">
        <f t="shared" si="273"/>
        <v>0</v>
      </c>
      <c r="O117" s="170"/>
      <c r="P117" s="170"/>
      <c r="Q117" s="83"/>
      <c r="R117" s="83"/>
      <c r="S117" s="83"/>
      <c r="T117" s="83"/>
      <c r="U117" s="83"/>
      <c r="V117" s="83"/>
      <c r="W117" s="228" t="s">
        <v>25</v>
      </c>
      <c r="X117" s="221">
        <f t="shared" si="274"/>
        <v>0</v>
      </c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</row>
    <row r="118" spans="2:37" ht="15.75" customHeight="1">
      <c r="B118" s="162" t="s">
        <v>26</v>
      </c>
      <c r="C118" s="218">
        <f t="shared" si="272"/>
        <v>0</v>
      </c>
      <c r="D118" s="83"/>
      <c r="E118" s="83"/>
      <c r="F118" s="83"/>
      <c r="G118" s="83"/>
      <c r="H118" s="83"/>
      <c r="I118" s="83"/>
      <c r="J118" s="170"/>
      <c r="K118" s="83"/>
      <c r="L118" s="83"/>
      <c r="M118" s="92" t="s">
        <v>26</v>
      </c>
      <c r="N118" s="219">
        <f t="shared" si="273"/>
        <v>0</v>
      </c>
      <c r="O118" s="170"/>
      <c r="P118" s="170"/>
      <c r="Q118" s="83"/>
      <c r="R118" s="83"/>
      <c r="S118" s="83"/>
      <c r="T118" s="83"/>
      <c r="U118" s="83"/>
      <c r="V118" s="83"/>
      <c r="W118" s="228" t="s">
        <v>26</v>
      </c>
      <c r="X118" s="221">
        <f t="shared" si="274"/>
        <v>0</v>
      </c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</row>
    <row r="119" spans="2:37" ht="15.75" customHeight="1">
      <c r="B119" s="162" t="s">
        <v>27</v>
      </c>
      <c r="C119" s="218">
        <f t="shared" si="272"/>
        <v>0</v>
      </c>
      <c r="D119" s="83"/>
      <c r="E119" s="83"/>
      <c r="F119" s="83"/>
      <c r="G119" s="83"/>
      <c r="H119" s="83"/>
      <c r="I119" s="83"/>
      <c r="J119" s="170"/>
      <c r="K119" s="83"/>
      <c r="L119" s="83"/>
      <c r="M119" s="92" t="s">
        <v>27</v>
      </c>
      <c r="N119" s="219">
        <f t="shared" si="273"/>
        <v>0</v>
      </c>
      <c r="O119" s="170"/>
      <c r="P119" s="170"/>
      <c r="Q119" s="83"/>
      <c r="R119" s="83"/>
      <c r="S119" s="83"/>
      <c r="T119" s="83"/>
      <c r="U119" s="83"/>
      <c r="V119" s="83"/>
      <c r="W119" s="228" t="s">
        <v>27</v>
      </c>
      <c r="X119" s="221">
        <f t="shared" si="274"/>
        <v>447.04</v>
      </c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</row>
    <row r="120" spans="2:37" ht="15.75" customHeight="1">
      <c r="B120" s="162" t="s">
        <v>337</v>
      </c>
      <c r="C120" s="218">
        <f t="shared" si="272"/>
        <v>0</v>
      </c>
      <c r="D120" s="83"/>
      <c r="E120" s="83"/>
      <c r="F120" s="83"/>
      <c r="G120" s="83"/>
      <c r="H120" s="83"/>
      <c r="I120" s="83"/>
      <c r="J120" s="170"/>
      <c r="K120" s="83"/>
      <c r="L120" s="83"/>
      <c r="M120" s="92" t="s">
        <v>337</v>
      </c>
      <c r="N120" s="219">
        <f t="shared" si="273"/>
        <v>0</v>
      </c>
      <c r="O120" s="170"/>
      <c r="P120" s="170"/>
      <c r="Q120" s="83"/>
      <c r="R120" s="83"/>
      <c r="S120" s="83"/>
      <c r="T120" s="83"/>
      <c r="U120" s="83"/>
      <c r="V120" s="83"/>
      <c r="W120" s="85"/>
      <c r="X120" s="189">
        <f>SUM(X109:X119)</f>
        <v>1129.6799999999998</v>
      </c>
      <c r="Y120" s="170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</row>
    <row r="121" spans="2:37" ht="15.75" customHeight="1">
      <c r="B121" s="162" t="s">
        <v>338</v>
      </c>
      <c r="C121" s="218">
        <f t="shared" si="272"/>
        <v>0</v>
      </c>
      <c r="D121" s="83"/>
      <c r="E121" s="83"/>
      <c r="F121" s="83"/>
      <c r="G121" s="83"/>
      <c r="H121" s="83"/>
      <c r="I121" s="83"/>
      <c r="J121" s="170"/>
      <c r="K121" s="83"/>
      <c r="L121" s="83"/>
      <c r="M121" s="92" t="s">
        <v>338</v>
      </c>
      <c r="N121" s="219">
        <f t="shared" si="273"/>
        <v>0</v>
      </c>
      <c r="O121" s="170"/>
      <c r="P121" s="170"/>
      <c r="Q121" s="83"/>
      <c r="R121" s="83"/>
      <c r="S121" s="83"/>
      <c r="T121" s="83"/>
      <c r="U121" s="83"/>
      <c r="V121" s="83"/>
      <c r="W121" s="80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</row>
    <row r="122" spans="2:37" ht="15.75" customHeight="1">
      <c r="B122" s="162" t="s">
        <v>339</v>
      </c>
      <c r="C122" s="218">
        <f t="shared" si="272"/>
        <v>0</v>
      </c>
      <c r="D122" s="83"/>
      <c r="E122" s="83"/>
      <c r="F122" s="83"/>
      <c r="G122" s="83"/>
      <c r="H122" s="83"/>
      <c r="I122" s="83"/>
      <c r="J122" s="170"/>
      <c r="K122" s="83"/>
      <c r="L122" s="83"/>
      <c r="M122" s="92" t="s">
        <v>339</v>
      </c>
      <c r="N122" s="219">
        <f t="shared" si="273"/>
        <v>0</v>
      </c>
      <c r="O122" s="170"/>
      <c r="P122" s="170"/>
      <c r="Q122" s="83"/>
      <c r="R122" s="83"/>
      <c r="S122" s="83"/>
      <c r="T122" s="83"/>
      <c r="U122" s="83"/>
      <c r="V122" s="83"/>
      <c r="W122" s="80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</row>
    <row r="123" spans="2:37" ht="15.75" customHeight="1">
      <c r="B123" s="162" t="s">
        <v>28</v>
      </c>
      <c r="C123" s="218">
        <f t="shared" si="272"/>
        <v>528.20000000000005</v>
      </c>
      <c r="D123" s="83"/>
      <c r="E123" s="83"/>
      <c r="F123" s="83"/>
      <c r="G123" s="83"/>
      <c r="H123" s="83"/>
      <c r="I123" s="83"/>
      <c r="J123" s="170"/>
      <c r="K123" s="83"/>
      <c r="L123" s="83"/>
      <c r="M123" s="92" t="s">
        <v>28</v>
      </c>
      <c r="N123" s="219">
        <f t="shared" si="273"/>
        <v>0</v>
      </c>
      <c r="O123" s="170"/>
      <c r="P123" s="170"/>
      <c r="Q123" s="83"/>
      <c r="R123" s="83"/>
      <c r="S123" s="83"/>
      <c r="T123" s="83"/>
      <c r="U123" s="83"/>
      <c r="V123" s="83"/>
      <c r="W123" s="80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</row>
    <row r="124" spans="2:37" ht="15.75" customHeight="1">
      <c r="B124" s="162" t="s">
        <v>29</v>
      </c>
      <c r="C124" s="218">
        <f t="shared" si="272"/>
        <v>0</v>
      </c>
      <c r="D124" s="83"/>
      <c r="E124" s="83"/>
      <c r="F124" s="83"/>
      <c r="G124" s="83"/>
      <c r="H124" s="83"/>
      <c r="I124" s="83"/>
      <c r="J124" s="170"/>
      <c r="K124" s="83"/>
      <c r="L124" s="83"/>
      <c r="M124" s="92" t="s">
        <v>29</v>
      </c>
      <c r="N124" s="219">
        <f t="shared" si="273"/>
        <v>0</v>
      </c>
      <c r="O124" s="170"/>
      <c r="P124" s="170"/>
      <c r="Q124" s="83"/>
      <c r="R124" s="83"/>
      <c r="S124" s="83"/>
      <c r="T124" s="83"/>
      <c r="U124" s="83"/>
      <c r="V124" s="83"/>
      <c r="W124" s="80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</row>
    <row r="125" spans="2:37" ht="15.75" customHeight="1">
      <c r="B125" s="162" t="s">
        <v>30</v>
      </c>
      <c r="C125" s="218">
        <f t="shared" ref="C125" si="275">SUMIF(C$12:C$103,B125,J$12:J$103)</f>
        <v>0</v>
      </c>
      <c r="D125" s="83"/>
      <c r="E125" s="83"/>
      <c r="F125" s="83"/>
      <c r="G125" s="83"/>
      <c r="H125" s="83"/>
      <c r="I125" s="83"/>
      <c r="J125" s="170"/>
      <c r="K125" s="83"/>
      <c r="L125" s="83"/>
      <c r="M125" s="92" t="s">
        <v>30</v>
      </c>
      <c r="N125" s="219">
        <f t="shared" si="273"/>
        <v>0</v>
      </c>
      <c r="O125" s="170"/>
      <c r="P125" s="170"/>
      <c r="Q125" s="83"/>
      <c r="R125" s="83"/>
      <c r="S125" s="83"/>
      <c r="T125" s="83"/>
      <c r="U125" s="83"/>
      <c r="V125" s="83"/>
      <c r="W125" s="80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</row>
    <row r="126" spans="2:37" ht="15.75" customHeight="1">
      <c r="B126" s="87"/>
      <c r="C126" s="224">
        <f>SUM(C109:C125)</f>
        <v>1098.1100000000001</v>
      </c>
      <c r="D126" s="170"/>
      <c r="E126" s="83"/>
      <c r="F126" s="83"/>
      <c r="G126" s="83"/>
      <c r="H126" s="83"/>
      <c r="I126" s="83"/>
      <c r="J126" s="170"/>
      <c r="K126" s="83"/>
      <c r="L126" s="83"/>
      <c r="M126" s="92" t="s">
        <v>340</v>
      </c>
      <c r="N126" s="219">
        <f t="shared" si="273"/>
        <v>0</v>
      </c>
      <c r="O126" s="170"/>
      <c r="P126" s="170"/>
      <c r="Q126" s="83"/>
      <c r="R126" s="83"/>
      <c r="S126" s="83"/>
      <c r="T126" s="83"/>
      <c r="U126" s="83"/>
      <c r="V126" s="83"/>
      <c r="W126" s="80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</row>
    <row r="127" spans="2:37" ht="15.75" customHeight="1">
      <c r="B127" s="83"/>
      <c r="C127" s="83"/>
      <c r="D127" s="83"/>
      <c r="E127" s="83"/>
      <c r="F127" s="83"/>
      <c r="G127" s="83"/>
      <c r="H127" s="83"/>
      <c r="I127" s="83"/>
      <c r="J127" s="170"/>
      <c r="K127" s="83"/>
      <c r="L127" s="83"/>
      <c r="M127" s="92" t="s">
        <v>341</v>
      </c>
      <c r="N127" s="219">
        <f t="shared" si="273"/>
        <v>0</v>
      </c>
      <c r="O127" s="170"/>
      <c r="P127" s="170"/>
      <c r="Q127" s="83"/>
      <c r="R127" s="83"/>
      <c r="S127" s="83"/>
      <c r="T127" s="83"/>
      <c r="U127" s="83"/>
      <c r="V127" s="83"/>
      <c r="W127" s="80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</row>
    <row r="128" spans="2:37" ht="15.75" customHeight="1">
      <c r="B128" s="83"/>
      <c r="C128" s="83"/>
      <c r="D128" s="83"/>
      <c r="E128" s="83"/>
      <c r="F128" s="83"/>
      <c r="G128" s="83"/>
      <c r="H128" s="83"/>
      <c r="I128" s="83"/>
      <c r="J128" s="170"/>
      <c r="K128" s="83"/>
      <c r="L128" s="83"/>
      <c r="M128" s="92" t="s">
        <v>31</v>
      </c>
      <c r="N128" s="219">
        <f t="shared" si="273"/>
        <v>0</v>
      </c>
      <c r="O128" s="170"/>
      <c r="P128" s="170"/>
      <c r="Q128" s="83"/>
      <c r="R128" s="83"/>
      <c r="S128" s="83"/>
      <c r="T128" s="83"/>
      <c r="U128" s="83"/>
      <c r="V128" s="83"/>
      <c r="W128" s="80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</row>
    <row r="129" spans="2:37" ht="15.75" customHeight="1">
      <c r="B129" s="83"/>
      <c r="C129" s="83"/>
      <c r="D129" s="83"/>
      <c r="E129" s="83"/>
      <c r="F129" s="83"/>
      <c r="G129" s="83"/>
      <c r="H129" s="83"/>
      <c r="I129" s="83"/>
      <c r="J129" s="170"/>
      <c r="K129" s="83"/>
      <c r="L129" s="83"/>
      <c r="M129" s="92" t="s">
        <v>571</v>
      </c>
      <c r="N129" s="219">
        <f t="shared" si="273"/>
        <v>193.69799999999998</v>
      </c>
      <c r="O129" s="170"/>
      <c r="P129" s="170"/>
      <c r="Q129" s="83"/>
      <c r="R129" s="83"/>
      <c r="S129" s="83"/>
      <c r="T129" s="83"/>
      <c r="U129" s="83"/>
      <c r="V129" s="83"/>
      <c r="W129" s="80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</row>
    <row r="130" spans="2:37" ht="15.75" customHeight="1">
      <c r="B130" s="83"/>
      <c r="C130" s="83"/>
      <c r="D130" s="83"/>
      <c r="E130" s="83"/>
      <c r="F130" s="83"/>
      <c r="G130" s="83"/>
      <c r="H130" s="83"/>
      <c r="I130" s="83"/>
      <c r="J130" s="170"/>
      <c r="K130" s="83"/>
      <c r="L130" s="83"/>
      <c r="M130" s="92"/>
      <c r="N130" s="219">
        <f t="shared" si="273"/>
        <v>0</v>
      </c>
      <c r="O130" s="170"/>
      <c r="P130" s="170"/>
      <c r="Q130" s="83"/>
      <c r="R130" s="83"/>
      <c r="S130" s="83"/>
      <c r="T130" s="83"/>
      <c r="U130" s="83"/>
      <c r="V130" s="83"/>
      <c r="W130" s="80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</row>
    <row r="131" spans="2:37" ht="15.75" customHeight="1">
      <c r="B131" s="83"/>
      <c r="C131" s="83"/>
      <c r="D131" s="83"/>
      <c r="E131" s="83"/>
      <c r="F131" s="83"/>
      <c r="G131" s="83"/>
      <c r="H131" s="83"/>
      <c r="I131" s="83"/>
      <c r="J131" s="170"/>
      <c r="K131" s="83"/>
      <c r="L131" s="83"/>
      <c r="M131" s="92"/>
      <c r="N131" s="219">
        <f t="shared" si="273"/>
        <v>0</v>
      </c>
      <c r="O131" s="170"/>
      <c r="P131" s="170"/>
      <c r="Q131" s="83"/>
      <c r="R131" s="83"/>
      <c r="S131" s="83"/>
      <c r="T131" s="83"/>
      <c r="U131" s="83"/>
      <c r="V131" s="83"/>
      <c r="W131" s="80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</row>
    <row r="132" spans="2:37" ht="15.75" customHeight="1">
      <c r="B132" s="83"/>
      <c r="C132" s="83"/>
      <c r="D132" s="83"/>
      <c r="E132" s="83"/>
      <c r="F132" s="83"/>
      <c r="G132" s="83"/>
      <c r="H132" s="83"/>
      <c r="I132" s="83"/>
      <c r="J132" s="170"/>
      <c r="K132" s="83"/>
      <c r="L132" s="83"/>
      <c r="M132" s="108" t="s">
        <v>32</v>
      </c>
      <c r="N132" s="219">
        <f t="shared" si="273"/>
        <v>0</v>
      </c>
      <c r="O132" s="170"/>
      <c r="P132" s="170"/>
      <c r="Q132" s="83"/>
      <c r="R132" s="83"/>
      <c r="S132" s="83"/>
      <c r="T132" s="83"/>
      <c r="U132" s="83"/>
      <c r="V132" s="83"/>
      <c r="W132" s="80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</row>
    <row r="133" spans="2:37" ht="15.75" customHeight="1">
      <c r="B133" s="83"/>
      <c r="C133" s="83"/>
      <c r="D133" s="83"/>
      <c r="E133" s="83"/>
      <c r="F133" s="83"/>
      <c r="G133" s="83"/>
      <c r="H133" s="83"/>
      <c r="I133" s="83"/>
      <c r="J133" s="170"/>
      <c r="K133" s="83"/>
      <c r="L133" s="83"/>
      <c r="M133" s="85"/>
      <c r="N133" s="189">
        <f>SUM(N109:N132)</f>
        <v>3298.6409999999996</v>
      </c>
      <c r="O133" s="170"/>
      <c r="P133" s="170"/>
      <c r="Q133" s="83"/>
      <c r="R133" s="83"/>
      <c r="S133" s="83"/>
      <c r="T133" s="83"/>
      <c r="U133" s="83"/>
      <c r="V133" s="83"/>
      <c r="W133" s="80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</row>
    <row r="134" spans="2:37" ht="15.75" customHeight="1">
      <c r="B134" s="83"/>
      <c r="C134" s="83"/>
      <c r="D134" s="83"/>
      <c r="E134" s="83"/>
      <c r="F134" s="83"/>
      <c r="G134" s="83"/>
      <c r="H134" s="83"/>
      <c r="I134" s="83"/>
      <c r="J134" s="170"/>
      <c r="K134" s="83"/>
      <c r="L134" s="83"/>
      <c r="M134" s="83"/>
      <c r="N134" s="83"/>
      <c r="O134" s="170"/>
      <c r="P134" s="170"/>
      <c r="Q134" s="83"/>
      <c r="R134" s="83"/>
      <c r="S134" s="83"/>
      <c r="T134" s="83"/>
      <c r="U134" s="83"/>
      <c r="V134" s="83"/>
      <c r="W134" s="80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</row>
    <row r="135" spans="2:37" ht="15.75" customHeight="1">
      <c r="B135" s="83"/>
      <c r="C135" s="83"/>
      <c r="D135" s="83"/>
      <c r="E135" s="83"/>
      <c r="F135" s="83"/>
      <c r="G135" s="83"/>
      <c r="H135" s="83"/>
      <c r="I135" s="83"/>
      <c r="J135" s="170"/>
      <c r="K135" s="83"/>
      <c r="L135" s="83"/>
      <c r="M135" s="83"/>
      <c r="N135" s="83"/>
      <c r="O135" s="170"/>
      <c r="P135" s="170"/>
      <c r="Q135" s="83"/>
      <c r="R135" s="83"/>
      <c r="S135" s="83"/>
      <c r="T135" s="83"/>
      <c r="U135" s="83"/>
      <c r="V135" s="83"/>
      <c r="W135" s="80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</row>
    <row r="136" spans="2:37" ht="15.75" customHeight="1">
      <c r="B136" s="83"/>
      <c r="C136" s="83"/>
      <c r="D136" s="83"/>
      <c r="E136" s="83"/>
      <c r="F136" s="83"/>
      <c r="G136" s="83"/>
      <c r="H136" s="83"/>
      <c r="I136" s="83"/>
      <c r="J136" s="170"/>
      <c r="K136" s="83"/>
      <c r="L136" s="83"/>
      <c r="M136" s="83"/>
      <c r="N136" s="83"/>
      <c r="O136" s="170"/>
      <c r="P136" s="170"/>
      <c r="Q136" s="83"/>
      <c r="R136" s="83"/>
      <c r="S136" s="83"/>
      <c r="T136" s="83"/>
      <c r="U136" s="83"/>
      <c r="V136" s="83"/>
      <c r="W136" s="80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</row>
    <row r="137" spans="2:37" ht="15.75" customHeight="1">
      <c r="B137" s="83"/>
      <c r="C137" s="83"/>
      <c r="D137" s="83"/>
      <c r="E137" s="83"/>
      <c r="F137" s="83"/>
      <c r="G137" s="83"/>
      <c r="H137" s="83"/>
      <c r="I137" s="83"/>
      <c r="J137" s="170"/>
      <c r="K137" s="83"/>
      <c r="L137" s="83"/>
      <c r="M137" s="83"/>
      <c r="N137" s="83"/>
      <c r="O137" s="170"/>
      <c r="P137" s="170"/>
      <c r="Q137" s="83"/>
      <c r="R137" s="83"/>
      <c r="S137" s="83"/>
      <c r="T137" s="83"/>
      <c r="U137" s="83"/>
      <c r="V137" s="83"/>
      <c r="W137" s="80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</row>
    <row r="138" spans="2:37" ht="15.75" customHeight="1">
      <c r="B138" s="227" t="s">
        <v>33</v>
      </c>
      <c r="C138" s="80"/>
      <c r="D138" s="80"/>
      <c r="E138" s="80"/>
      <c r="F138" s="188"/>
      <c r="G138" s="83"/>
      <c r="H138" s="83"/>
      <c r="I138" s="83"/>
      <c r="J138" s="170"/>
      <c r="K138" s="83"/>
      <c r="L138" s="83"/>
      <c r="M138" s="170"/>
      <c r="N138" s="170"/>
      <c r="O138" s="170"/>
      <c r="P138" s="170"/>
      <c r="Q138" s="83"/>
      <c r="R138" s="83"/>
      <c r="S138" s="83"/>
      <c r="T138" s="83"/>
      <c r="U138" s="83"/>
      <c r="V138" s="83"/>
      <c r="W138" s="80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</row>
    <row r="139" spans="2:37" ht="15.75" customHeight="1">
      <c r="B139" s="83"/>
      <c r="C139" s="80"/>
      <c r="D139" s="80"/>
      <c r="E139" s="80"/>
      <c r="F139" s="188"/>
      <c r="G139" s="83"/>
      <c r="H139" s="83"/>
      <c r="I139" s="83"/>
      <c r="J139" s="170"/>
      <c r="K139" s="83"/>
      <c r="L139" s="83"/>
      <c r="M139" s="170"/>
      <c r="N139" s="170"/>
      <c r="O139" s="170"/>
      <c r="P139" s="170"/>
      <c r="Q139" s="83"/>
      <c r="R139" s="83"/>
      <c r="S139" s="83"/>
      <c r="T139" s="83"/>
      <c r="U139" s="83"/>
      <c r="V139" s="83"/>
      <c r="W139" s="80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</row>
    <row r="140" spans="2:37" ht="60" customHeight="1">
      <c r="B140" s="91" t="s">
        <v>17</v>
      </c>
      <c r="C140" s="323" t="s">
        <v>359</v>
      </c>
      <c r="D140" s="323"/>
      <c r="E140" s="323"/>
      <c r="F140" s="213">
        <f>SUMIF(T$12:T$103,B140,U$12:U$103)</f>
        <v>81.539999999999992</v>
      </c>
      <c r="G140" s="83"/>
      <c r="H140" s="83"/>
      <c r="I140" s="83"/>
      <c r="J140" s="170"/>
      <c r="K140" s="83"/>
      <c r="L140" s="83"/>
      <c r="M140" s="170"/>
      <c r="N140" s="170"/>
      <c r="O140" s="170"/>
      <c r="P140" s="170"/>
      <c r="Q140" s="83"/>
      <c r="R140" s="83"/>
      <c r="S140" s="83"/>
      <c r="T140" s="83"/>
      <c r="U140" s="83"/>
      <c r="V140" s="83"/>
      <c r="W140" s="80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</row>
    <row r="141" spans="2:37" ht="60" customHeight="1">
      <c r="B141" s="91" t="s">
        <v>18</v>
      </c>
      <c r="C141" s="323" t="s">
        <v>360</v>
      </c>
      <c r="D141" s="323"/>
      <c r="E141" s="323"/>
      <c r="F141" s="213">
        <f t="shared" ref="F141:F145" si="276">SUMIF(T$12:T$103,B141,U$12:U$103)</f>
        <v>168.66000000000005</v>
      </c>
      <c r="G141" s="83"/>
      <c r="H141" s="83"/>
      <c r="I141" s="83"/>
      <c r="J141" s="170"/>
      <c r="K141" s="83"/>
      <c r="L141" s="83"/>
      <c r="M141" s="170"/>
      <c r="N141" s="170"/>
      <c r="O141" s="170"/>
      <c r="P141" s="170"/>
      <c r="Q141" s="83"/>
      <c r="R141" s="83"/>
      <c r="S141" s="83"/>
      <c r="T141" s="83"/>
      <c r="U141" s="83"/>
      <c r="V141" s="83"/>
      <c r="W141" s="80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</row>
    <row r="142" spans="2:37" ht="40.049999999999997" customHeight="1">
      <c r="B142" s="91" t="s">
        <v>19</v>
      </c>
      <c r="C142" s="323" t="s">
        <v>361</v>
      </c>
      <c r="D142" s="323"/>
      <c r="E142" s="323"/>
      <c r="F142" s="213">
        <f t="shared" si="276"/>
        <v>302.92</v>
      </c>
      <c r="G142" s="83"/>
      <c r="H142" s="83"/>
      <c r="I142" s="83"/>
      <c r="J142" s="170"/>
      <c r="K142" s="83"/>
      <c r="L142" s="83"/>
      <c r="M142" s="170"/>
      <c r="N142" s="170"/>
      <c r="O142" s="170"/>
      <c r="P142" s="170"/>
      <c r="Q142" s="83"/>
      <c r="R142" s="83"/>
      <c r="S142" s="83"/>
      <c r="T142" s="83"/>
      <c r="U142" s="83"/>
      <c r="V142" s="83"/>
      <c r="W142" s="80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</row>
    <row r="143" spans="2:37" ht="60" customHeight="1">
      <c r="B143" s="91" t="s">
        <v>20</v>
      </c>
      <c r="C143" s="323" t="s">
        <v>362</v>
      </c>
      <c r="D143" s="323"/>
      <c r="E143" s="323"/>
      <c r="F143" s="213">
        <f t="shared" si="276"/>
        <v>64.09</v>
      </c>
      <c r="G143" s="83"/>
      <c r="H143" s="83"/>
      <c r="I143" s="83"/>
      <c r="J143" s="170"/>
      <c r="K143" s="83"/>
      <c r="L143" s="83"/>
      <c r="M143" s="170"/>
      <c r="N143" s="170"/>
      <c r="O143" s="170"/>
      <c r="P143" s="170"/>
      <c r="Q143" s="83"/>
      <c r="R143" s="83"/>
      <c r="S143" s="83"/>
      <c r="T143" s="83"/>
      <c r="U143" s="83"/>
      <c r="V143" s="83"/>
      <c r="W143" s="80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</row>
    <row r="144" spans="2:37" ht="60" customHeight="1">
      <c r="B144" s="91" t="s">
        <v>21</v>
      </c>
      <c r="C144" s="323" t="s">
        <v>532</v>
      </c>
      <c r="D144" s="323"/>
      <c r="E144" s="323"/>
      <c r="F144" s="213">
        <f t="shared" si="276"/>
        <v>0</v>
      </c>
      <c r="G144" s="83"/>
      <c r="H144" s="83"/>
      <c r="I144" s="83"/>
      <c r="J144" s="170"/>
      <c r="K144" s="83"/>
      <c r="L144" s="83"/>
      <c r="M144" s="170"/>
      <c r="N144" s="170"/>
      <c r="O144" s="170"/>
      <c r="P144" s="170"/>
      <c r="Q144" s="83"/>
      <c r="R144" s="83"/>
      <c r="S144" s="83"/>
      <c r="T144" s="83"/>
      <c r="U144" s="83"/>
      <c r="V144" s="83"/>
      <c r="W144" s="80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</row>
    <row r="145" spans="2:37" ht="40.049999999999997" customHeight="1">
      <c r="B145" s="91" t="s">
        <v>22</v>
      </c>
      <c r="C145" s="323" t="s">
        <v>619</v>
      </c>
      <c r="D145" s="323"/>
      <c r="E145" s="323"/>
      <c r="F145" s="213">
        <f t="shared" si="276"/>
        <v>443.82999999999993</v>
      </c>
      <c r="G145" s="83"/>
      <c r="H145" s="83"/>
      <c r="I145" s="83"/>
      <c r="J145" s="170"/>
      <c r="K145" s="83"/>
      <c r="L145" s="83"/>
      <c r="M145" s="170"/>
      <c r="N145" s="170"/>
      <c r="O145" s="170"/>
      <c r="P145" s="170"/>
      <c r="Q145" s="83"/>
      <c r="R145" s="83"/>
      <c r="S145" s="83"/>
      <c r="T145" s="83"/>
      <c r="U145" s="83"/>
      <c r="V145" s="83"/>
      <c r="W145" s="80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</row>
    <row r="146" spans="2:37" ht="15.75" customHeight="1">
      <c r="B146" s="83"/>
      <c r="C146" s="80"/>
      <c r="D146" s="80"/>
      <c r="E146" s="80"/>
      <c r="F146" s="214">
        <f>SUM(F140:F145)</f>
        <v>1061.04</v>
      </c>
      <c r="G146" s="83"/>
      <c r="H146" s="83"/>
      <c r="I146" s="83"/>
      <c r="J146" s="170"/>
      <c r="K146" s="83"/>
      <c r="L146" s="83"/>
      <c r="M146" s="170"/>
      <c r="N146" s="170"/>
      <c r="O146" s="170"/>
      <c r="P146" s="170"/>
      <c r="Q146" s="83"/>
      <c r="R146" s="83"/>
      <c r="S146" s="83"/>
      <c r="T146" s="83"/>
      <c r="U146" s="83"/>
      <c r="V146" s="83"/>
      <c r="W146" s="80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</row>
    <row r="147" spans="2:37" ht="15.75" customHeight="1">
      <c r="B147" s="83"/>
      <c r="C147" s="83"/>
      <c r="D147" s="83"/>
      <c r="E147" s="83"/>
      <c r="F147" s="83"/>
      <c r="G147" s="83"/>
      <c r="H147" s="83"/>
      <c r="I147" s="83"/>
      <c r="J147" s="170"/>
      <c r="K147" s="83"/>
      <c r="L147" s="83"/>
      <c r="M147" s="170"/>
      <c r="N147" s="170"/>
      <c r="O147" s="170"/>
      <c r="P147" s="170"/>
      <c r="Q147" s="83"/>
      <c r="R147" s="83"/>
      <c r="S147" s="83"/>
      <c r="T147" s="83"/>
      <c r="U147" s="83"/>
      <c r="V147" s="83"/>
      <c r="W147" s="80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</row>
    <row r="148" spans="2:37" ht="15.75" customHeight="1">
      <c r="B148" s="83"/>
      <c r="C148" s="83"/>
      <c r="D148" s="83"/>
      <c r="E148" s="83"/>
      <c r="F148" s="83"/>
      <c r="G148" s="83"/>
      <c r="H148" s="83"/>
      <c r="I148" s="83"/>
      <c r="J148" s="170"/>
      <c r="K148" s="83"/>
      <c r="L148" s="83"/>
      <c r="M148" s="170"/>
      <c r="N148" s="170"/>
      <c r="O148" s="170"/>
      <c r="P148" s="170"/>
      <c r="Q148" s="83"/>
      <c r="R148" s="83"/>
      <c r="S148" s="83"/>
      <c r="T148" s="83"/>
      <c r="U148" s="83"/>
      <c r="V148" s="83"/>
      <c r="W148" s="80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</row>
    <row r="149" spans="2:37" ht="15.75" customHeight="1">
      <c r="B149" s="83"/>
      <c r="C149" s="83"/>
      <c r="D149" s="83"/>
      <c r="E149" s="83"/>
      <c r="F149" s="83"/>
      <c r="G149" s="83"/>
      <c r="H149" s="83"/>
      <c r="I149" s="83"/>
      <c r="J149" s="170"/>
      <c r="K149" s="83"/>
      <c r="L149" s="83"/>
      <c r="M149" s="170"/>
      <c r="N149" s="170"/>
      <c r="O149" s="170"/>
      <c r="P149" s="170"/>
      <c r="Q149" s="83"/>
      <c r="R149" s="83"/>
      <c r="S149" s="83"/>
      <c r="T149" s="83"/>
      <c r="U149" s="83"/>
      <c r="V149" s="83"/>
      <c r="W149" s="80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</row>
    <row r="150" spans="2:37" ht="15.75" customHeight="1">
      <c r="B150" s="83"/>
      <c r="C150" s="83"/>
      <c r="D150" s="83"/>
      <c r="E150" s="83"/>
      <c r="F150" s="83"/>
      <c r="G150" s="83"/>
      <c r="H150" s="83"/>
      <c r="I150" s="83"/>
      <c r="J150" s="170"/>
      <c r="K150" s="83"/>
      <c r="L150" s="83"/>
      <c r="M150" s="170"/>
      <c r="N150" s="170"/>
      <c r="O150" s="170"/>
      <c r="P150" s="170"/>
      <c r="Q150" s="83"/>
      <c r="R150" s="83"/>
      <c r="S150" s="83"/>
      <c r="T150" s="83"/>
      <c r="U150" s="83"/>
      <c r="V150" s="83"/>
      <c r="W150" s="80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</row>
    <row r="151" spans="2:37" ht="15.75" customHeight="1">
      <c r="B151" s="83"/>
      <c r="C151" s="83"/>
      <c r="D151" s="83"/>
      <c r="E151" s="83"/>
      <c r="F151" s="83"/>
      <c r="G151" s="83"/>
      <c r="H151" s="83"/>
      <c r="I151" s="83"/>
      <c r="J151" s="170"/>
      <c r="K151" s="83"/>
      <c r="L151" s="83"/>
      <c r="M151" s="170"/>
      <c r="N151" s="170"/>
      <c r="O151" s="170"/>
      <c r="P151" s="170"/>
      <c r="Q151" s="83"/>
      <c r="R151" s="83"/>
      <c r="S151" s="83"/>
      <c r="T151" s="83"/>
      <c r="U151" s="83"/>
      <c r="V151" s="83"/>
      <c r="W151" s="80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</row>
    <row r="152" spans="2:37" ht="15.75" customHeight="1">
      <c r="B152" s="83"/>
      <c r="C152" s="83"/>
      <c r="D152" s="83"/>
      <c r="E152" s="83"/>
      <c r="F152" s="83"/>
      <c r="G152" s="83"/>
      <c r="H152" s="83"/>
      <c r="I152" s="83"/>
      <c r="J152" s="170"/>
      <c r="K152" s="83"/>
      <c r="L152" s="83"/>
      <c r="M152" s="170"/>
      <c r="N152" s="170"/>
      <c r="O152" s="170"/>
      <c r="P152" s="170"/>
      <c r="Q152" s="83"/>
      <c r="R152" s="83"/>
      <c r="S152" s="83"/>
      <c r="T152" s="83"/>
      <c r="U152" s="83"/>
      <c r="V152" s="83"/>
      <c r="W152" s="80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</row>
    <row r="153" spans="2:37" ht="15.75" customHeight="1">
      <c r="B153" s="83"/>
      <c r="C153" s="83"/>
      <c r="D153" s="83"/>
      <c r="E153" s="83"/>
      <c r="F153" s="83"/>
      <c r="G153" s="83"/>
      <c r="H153" s="83"/>
      <c r="I153" s="83"/>
      <c r="J153" s="170"/>
      <c r="K153" s="83"/>
      <c r="L153" s="83"/>
      <c r="M153" s="170"/>
      <c r="N153" s="170"/>
      <c r="O153" s="170"/>
      <c r="P153" s="170"/>
      <c r="Q153" s="83"/>
      <c r="R153" s="83"/>
      <c r="S153" s="83"/>
      <c r="T153" s="83"/>
      <c r="U153" s="83"/>
      <c r="V153" s="83"/>
      <c r="W153" s="80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</row>
    <row r="154" spans="2:37" ht="15.75" customHeight="1">
      <c r="B154" s="83"/>
      <c r="C154" s="83"/>
      <c r="D154" s="83"/>
      <c r="E154" s="83"/>
      <c r="F154" s="83"/>
      <c r="G154" s="83"/>
      <c r="H154" s="83"/>
      <c r="I154" s="83"/>
      <c r="J154" s="170"/>
      <c r="K154" s="83"/>
      <c r="L154" s="83"/>
      <c r="M154" s="170"/>
      <c r="N154" s="170"/>
      <c r="O154" s="170"/>
      <c r="P154" s="170"/>
      <c r="Q154" s="83"/>
      <c r="R154" s="83"/>
      <c r="S154" s="83"/>
      <c r="T154" s="83"/>
      <c r="U154" s="83"/>
      <c r="V154" s="83"/>
      <c r="W154" s="80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</row>
    <row r="155" spans="2:37" ht="15.75" customHeight="1">
      <c r="B155" s="83"/>
      <c r="C155" s="83"/>
      <c r="D155" s="170"/>
      <c r="E155" s="83"/>
      <c r="F155" s="83"/>
      <c r="G155" s="83"/>
      <c r="H155" s="83"/>
      <c r="I155" s="83"/>
      <c r="J155" s="170"/>
      <c r="K155" s="83"/>
      <c r="L155" s="83"/>
      <c r="M155" s="170"/>
      <c r="N155" s="170"/>
      <c r="O155" s="170"/>
      <c r="P155" s="170"/>
      <c r="Q155" s="83"/>
      <c r="R155" s="83"/>
      <c r="S155" s="83"/>
      <c r="T155" s="83"/>
      <c r="U155" s="83"/>
      <c r="V155" s="83"/>
      <c r="W155" s="80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</row>
    <row r="156" spans="2:37" ht="15.75" customHeight="1">
      <c r="B156" s="83"/>
      <c r="C156" s="241"/>
      <c r="D156" s="170"/>
      <c r="E156" s="83"/>
      <c r="F156" s="83"/>
      <c r="G156" s="83"/>
      <c r="H156" s="83"/>
      <c r="I156" s="83"/>
      <c r="J156" s="170"/>
      <c r="K156" s="83"/>
      <c r="L156" s="83"/>
      <c r="M156" s="170"/>
      <c r="N156" s="170"/>
      <c r="O156" s="170"/>
      <c r="P156" s="170"/>
      <c r="Q156" s="83"/>
      <c r="R156" s="83"/>
      <c r="S156" s="83"/>
      <c r="T156" s="83"/>
      <c r="U156" s="83"/>
      <c r="V156" s="83"/>
      <c r="W156" s="80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</row>
    <row r="157" spans="2:37" ht="15.75" customHeight="1">
      <c r="B157" s="83"/>
      <c r="C157" s="83"/>
      <c r="D157" s="83"/>
      <c r="E157" s="83"/>
      <c r="F157" s="83"/>
      <c r="G157" s="83"/>
      <c r="H157" s="83"/>
      <c r="I157" s="83"/>
      <c r="J157" s="170"/>
      <c r="K157" s="83"/>
      <c r="L157" s="83"/>
      <c r="M157" s="170"/>
      <c r="N157" s="170"/>
      <c r="O157" s="170"/>
      <c r="P157" s="170"/>
      <c r="Q157" s="83"/>
      <c r="R157" s="83"/>
      <c r="S157" s="83"/>
      <c r="T157" s="83"/>
      <c r="U157" s="83"/>
      <c r="V157" s="83"/>
      <c r="W157" s="80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</row>
    <row r="158" spans="2:37" ht="15.75" customHeight="1">
      <c r="B158" s="83"/>
      <c r="C158" s="83"/>
      <c r="D158" s="83"/>
      <c r="E158" s="83"/>
      <c r="F158" s="83"/>
      <c r="G158" s="83"/>
      <c r="H158" s="83"/>
      <c r="I158" s="83"/>
      <c r="J158" s="170"/>
      <c r="K158" s="83"/>
      <c r="L158" s="83"/>
      <c r="M158" s="170"/>
      <c r="N158" s="170"/>
      <c r="O158" s="170"/>
      <c r="P158" s="170"/>
      <c r="Q158" s="83"/>
      <c r="R158" s="83"/>
      <c r="S158" s="83"/>
      <c r="T158" s="83"/>
      <c r="U158" s="83"/>
      <c r="V158" s="83"/>
      <c r="W158" s="80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</row>
    <row r="159" spans="2:37" ht="15.75" customHeight="1">
      <c r="B159" s="83"/>
      <c r="C159" s="83"/>
      <c r="D159" s="83"/>
      <c r="E159" s="83"/>
      <c r="F159" s="83"/>
      <c r="G159" s="83"/>
      <c r="H159" s="83"/>
      <c r="I159" s="83"/>
      <c r="J159" s="170"/>
      <c r="K159" s="83"/>
      <c r="L159" s="83"/>
      <c r="M159" s="170"/>
      <c r="N159" s="170"/>
      <c r="O159" s="170"/>
      <c r="P159" s="170"/>
      <c r="Q159" s="83"/>
      <c r="R159" s="83"/>
      <c r="S159" s="83"/>
      <c r="T159" s="83"/>
      <c r="U159" s="83"/>
      <c r="V159" s="83"/>
      <c r="W159" s="80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</row>
    <row r="160" spans="2:37" ht="15.75" customHeight="1">
      <c r="B160" s="83"/>
      <c r="C160" s="83"/>
      <c r="D160" s="83"/>
      <c r="E160" s="83"/>
      <c r="F160" s="83"/>
      <c r="G160" s="83"/>
      <c r="H160" s="83"/>
      <c r="I160" s="83"/>
      <c r="J160" s="170"/>
      <c r="K160" s="83"/>
      <c r="L160" s="83"/>
      <c r="M160" s="170"/>
      <c r="N160" s="170"/>
      <c r="O160" s="170"/>
      <c r="P160" s="170"/>
      <c r="Q160" s="83"/>
      <c r="R160" s="83"/>
      <c r="S160" s="83"/>
      <c r="T160" s="83"/>
      <c r="U160" s="83"/>
      <c r="V160" s="83"/>
      <c r="W160" s="80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</row>
    <row r="161" spans="2:37" ht="15.75" customHeight="1">
      <c r="B161" s="83"/>
      <c r="C161" s="83"/>
      <c r="D161" s="83"/>
      <c r="E161" s="83"/>
      <c r="F161" s="83"/>
      <c r="G161" s="83"/>
      <c r="H161" s="83"/>
      <c r="I161" s="83"/>
      <c r="J161" s="170"/>
      <c r="K161" s="83"/>
      <c r="L161" s="83"/>
      <c r="M161" s="170"/>
      <c r="N161" s="170"/>
      <c r="O161" s="170"/>
      <c r="P161" s="170"/>
      <c r="Q161" s="83"/>
      <c r="R161" s="83"/>
      <c r="S161" s="83"/>
      <c r="T161" s="83"/>
      <c r="U161" s="83"/>
      <c r="V161" s="83"/>
      <c r="W161" s="80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</row>
    <row r="162" spans="2:37" ht="15.75" customHeight="1">
      <c r="B162" s="83"/>
      <c r="C162" s="83"/>
      <c r="D162" s="83"/>
      <c r="E162" s="83"/>
      <c r="F162" s="83"/>
      <c r="G162" s="83"/>
      <c r="H162" s="83"/>
      <c r="I162" s="83"/>
      <c r="J162" s="170"/>
      <c r="K162" s="83"/>
      <c r="L162" s="83"/>
      <c r="M162" s="170"/>
      <c r="N162" s="170"/>
      <c r="O162" s="170"/>
      <c r="P162" s="170"/>
      <c r="Q162" s="83"/>
      <c r="R162" s="83"/>
      <c r="S162" s="83"/>
      <c r="T162" s="83"/>
      <c r="U162" s="83"/>
      <c r="V162" s="83"/>
      <c r="W162" s="80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</row>
    <row r="163" spans="2:37" ht="15.75" customHeight="1">
      <c r="B163" s="83"/>
      <c r="C163" s="83"/>
      <c r="D163" s="83"/>
      <c r="E163" s="83"/>
      <c r="F163" s="83"/>
      <c r="G163" s="83"/>
      <c r="H163" s="83"/>
      <c r="I163" s="83"/>
      <c r="J163" s="170"/>
      <c r="K163" s="83"/>
      <c r="L163" s="83"/>
      <c r="M163" s="170"/>
      <c r="N163" s="170"/>
      <c r="O163" s="170"/>
      <c r="P163" s="170"/>
      <c r="Q163" s="83"/>
      <c r="R163" s="83"/>
      <c r="S163" s="83"/>
      <c r="T163" s="83"/>
      <c r="U163" s="83"/>
      <c r="V163" s="83"/>
      <c r="W163" s="80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</row>
    <row r="164" spans="2:37" ht="15.75" customHeight="1">
      <c r="B164" s="83"/>
      <c r="C164" s="83"/>
      <c r="D164" s="83"/>
      <c r="E164" s="83"/>
      <c r="F164" s="83"/>
      <c r="G164" s="83"/>
      <c r="H164" s="83"/>
      <c r="I164" s="83"/>
      <c r="J164" s="170"/>
      <c r="K164" s="83"/>
      <c r="L164" s="83"/>
      <c r="M164" s="170"/>
      <c r="N164" s="170"/>
      <c r="O164" s="170"/>
      <c r="P164" s="170"/>
      <c r="Q164" s="83"/>
      <c r="R164" s="83"/>
      <c r="S164" s="83"/>
      <c r="T164" s="83"/>
      <c r="U164" s="83"/>
      <c r="V164" s="83"/>
      <c r="W164" s="80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</row>
    <row r="165" spans="2:37" ht="15.75" customHeight="1">
      <c r="B165" s="83"/>
      <c r="C165" s="83"/>
      <c r="D165" s="83"/>
      <c r="E165" s="83"/>
      <c r="F165" s="83"/>
      <c r="G165" s="83"/>
      <c r="H165" s="83"/>
      <c r="I165" s="83"/>
      <c r="J165" s="170"/>
      <c r="K165" s="83"/>
      <c r="L165" s="83"/>
      <c r="M165" s="170"/>
      <c r="N165" s="170"/>
      <c r="O165" s="170"/>
      <c r="P165" s="170"/>
      <c r="Q165" s="83"/>
      <c r="R165" s="83"/>
      <c r="S165" s="83"/>
      <c r="T165" s="83"/>
      <c r="U165" s="83"/>
      <c r="V165" s="83"/>
      <c r="W165" s="80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</row>
    <row r="166" spans="2:37" ht="15.75" customHeight="1">
      <c r="B166" s="83"/>
      <c r="C166" s="83"/>
      <c r="D166" s="83"/>
      <c r="E166" s="83"/>
      <c r="F166" s="83"/>
      <c r="G166" s="83"/>
      <c r="H166" s="83"/>
      <c r="I166" s="83"/>
      <c r="J166" s="170"/>
      <c r="K166" s="83"/>
      <c r="L166" s="83"/>
      <c r="M166" s="170"/>
      <c r="N166" s="170"/>
      <c r="O166" s="170"/>
      <c r="P166" s="170"/>
      <c r="Q166" s="83"/>
      <c r="R166" s="83"/>
      <c r="S166" s="83"/>
      <c r="T166" s="83"/>
      <c r="U166" s="83"/>
      <c r="V166" s="83"/>
      <c r="W166" s="80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</row>
    <row r="167" spans="2:37" ht="15.75" customHeight="1">
      <c r="B167" s="83"/>
      <c r="C167" s="83"/>
      <c r="D167" s="83"/>
      <c r="E167" s="83"/>
      <c r="F167" s="83"/>
      <c r="G167" s="83"/>
      <c r="H167" s="83"/>
      <c r="I167" s="83"/>
      <c r="J167" s="170"/>
      <c r="K167" s="83"/>
      <c r="L167" s="83"/>
      <c r="M167" s="170"/>
      <c r="N167" s="170"/>
      <c r="O167" s="170"/>
      <c r="P167" s="170"/>
      <c r="Q167" s="83"/>
      <c r="R167" s="83"/>
      <c r="S167" s="83"/>
      <c r="T167" s="83"/>
      <c r="U167" s="83"/>
      <c r="V167" s="83"/>
      <c r="W167" s="80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</row>
    <row r="168" spans="2:37" ht="15.75" customHeight="1">
      <c r="B168" s="83"/>
      <c r="C168" s="83"/>
      <c r="D168" s="83"/>
      <c r="E168" s="83"/>
      <c r="F168" s="83"/>
      <c r="G168" s="83"/>
      <c r="H168" s="83"/>
      <c r="I168" s="83"/>
      <c r="J168" s="170"/>
      <c r="K168" s="83"/>
      <c r="L168" s="83"/>
      <c r="M168" s="170"/>
      <c r="N168" s="170"/>
      <c r="O168" s="170"/>
      <c r="P168" s="170"/>
      <c r="Q168" s="83"/>
      <c r="R168" s="83"/>
      <c r="S168" s="83"/>
      <c r="T168" s="83"/>
      <c r="U168" s="83"/>
      <c r="V168" s="83"/>
      <c r="W168" s="80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</row>
    <row r="169" spans="2:37" ht="15.75" customHeight="1">
      <c r="B169" s="83"/>
      <c r="C169" s="83"/>
      <c r="D169" s="83"/>
      <c r="E169" s="83"/>
      <c r="F169" s="83"/>
      <c r="G169" s="83"/>
      <c r="H169" s="83"/>
      <c r="I169" s="83"/>
      <c r="J169" s="170"/>
      <c r="K169" s="83"/>
      <c r="L169" s="83"/>
      <c r="M169" s="170"/>
      <c r="N169" s="170"/>
      <c r="O169" s="170"/>
      <c r="P169" s="170"/>
      <c r="Q169" s="83"/>
      <c r="R169" s="83"/>
      <c r="S169" s="83"/>
      <c r="T169" s="83"/>
      <c r="U169" s="83"/>
      <c r="V169" s="83"/>
      <c r="W169" s="80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</row>
    <row r="170" spans="2:37" ht="15.75" customHeight="1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0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</row>
    <row r="171" spans="2:37" ht="15.75" customHeight="1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0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</row>
    <row r="172" spans="2:37" ht="15.75" customHeight="1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0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</row>
    <row r="173" spans="2:37" ht="15.75" customHeight="1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0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</row>
    <row r="174" spans="2:37" ht="15.75" customHeight="1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0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</row>
    <row r="175" spans="2:37" ht="59.25" customHeight="1"/>
    <row r="176" spans="2:37" ht="51.75" customHeight="1"/>
    <row r="177" spans="2:6" ht="26.25" customHeight="1"/>
    <row r="178" spans="2:6" ht="39" customHeight="1"/>
    <row r="179" spans="2:6" ht="15.75" customHeight="1"/>
    <row r="180" spans="2:6" ht="15.75" customHeight="1">
      <c r="C180" s="15"/>
      <c r="D180" s="15"/>
      <c r="E180" s="15"/>
      <c r="F180" s="10"/>
    </row>
    <row r="181" spans="2:6" ht="15.75" customHeight="1">
      <c r="B181" s="20"/>
      <c r="C181" s="15"/>
      <c r="D181" s="15"/>
      <c r="E181" s="15"/>
      <c r="F181" s="10"/>
    </row>
    <row r="182" spans="2:6" ht="15.75" customHeight="1"/>
    <row r="183" spans="2:6" ht="15.75" customHeight="1"/>
    <row r="184" spans="2:6" ht="24.75" customHeight="1"/>
    <row r="185" spans="2:6" ht="15.75" customHeight="1"/>
    <row r="186" spans="2:6" ht="15.75" customHeight="1"/>
    <row r="187" spans="2:6" ht="15.75" customHeight="1"/>
    <row r="188" spans="2:6" ht="15.75" customHeight="1"/>
    <row r="189" spans="2:6" ht="15.75" customHeight="1"/>
    <row r="190" spans="2:6" ht="15.75" customHeight="1"/>
    <row r="191" spans="2:6" ht="15.75" customHeight="1"/>
    <row r="192" spans="2: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</sheetData>
  <mergeCells count="8">
    <mergeCell ref="AF109:AH109"/>
    <mergeCell ref="C144:E144"/>
    <mergeCell ref="C145:E145"/>
    <mergeCell ref="AF110:AH110"/>
    <mergeCell ref="C140:E140"/>
    <mergeCell ref="C141:E141"/>
    <mergeCell ref="C142:E142"/>
    <mergeCell ref="C143:E143"/>
  </mergeCells>
  <phoneticPr fontId="19" type="noConversion"/>
  <pageMargins left="0.51181102362204722" right="0.51181102362204722" top="1.1811023622047243" bottom="1.1811023622047243" header="0.78740157480314954" footer="0.78740157480314954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048521"/>
  <sheetViews>
    <sheetView zoomScale="110" zoomScaleNormal="110" workbookViewId="0">
      <selection activeCell="AG117" sqref="AG117"/>
    </sheetView>
  </sheetViews>
  <sheetFormatPr defaultRowHeight="15" customHeight="1"/>
  <cols>
    <col min="1" max="1" width="5.59765625" style="16" customWidth="1"/>
    <col min="2" max="2" width="21.69921875" style="16" customWidth="1"/>
    <col min="3" max="4" width="7.69921875" style="16" customWidth="1"/>
    <col min="5" max="5" width="8.69921875" style="16" customWidth="1"/>
    <col min="6" max="6" width="8.796875" style="16" customWidth="1"/>
    <col min="7" max="7" width="7.69921875" style="16" customWidth="1"/>
    <col min="8" max="8" width="7.5" style="16" customWidth="1"/>
    <col min="9" max="9" width="8.69921875" style="16" customWidth="1"/>
    <col min="10" max="10" width="8.796875" style="16" customWidth="1"/>
    <col min="11" max="11" width="2.796875" style="16" customWidth="1"/>
    <col min="12" max="12" width="7.796875" style="16" customWidth="1"/>
    <col min="13" max="13" width="6.796875" style="16" customWidth="1"/>
    <col min="14" max="14" width="8.69921875" style="16" customWidth="1"/>
    <col min="15" max="15" width="7.59765625" style="5" bestFit="1" customWidth="1"/>
    <col min="16" max="17" width="9.796875" style="5" customWidth="1"/>
    <col min="18" max="18" width="9.5" style="5" customWidth="1"/>
    <col min="19" max="19" width="2.796875" style="5" customWidth="1"/>
    <col min="20" max="20" width="6.796875" style="5" customWidth="1"/>
    <col min="21" max="21" width="9.5" style="5" customWidth="1"/>
    <col min="22" max="22" width="2.796875" style="5" customWidth="1"/>
    <col min="23" max="23" width="6.8984375" style="5" customWidth="1"/>
    <col min="24" max="24" width="13.3984375" style="5" hidden="1" customWidth="1"/>
    <col min="25" max="25" width="10" style="5" hidden="1" customWidth="1"/>
    <col min="26" max="26" width="8.796875" style="5" customWidth="1"/>
    <col min="27" max="27" width="9.19921875" style="5" customWidth="1"/>
    <col min="28" max="28" width="8.69921875" style="5" customWidth="1"/>
    <col min="29" max="29" width="9.796875" style="5" customWidth="1"/>
    <col min="30" max="30" width="2.796875" style="5" customWidth="1"/>
    <col min="31" max="31" width="6.69921875" style="5" customWidth="1"/>
    <col min="32" max="32" width="9.69921875" style="5" customWidth="1"/>
    <col min="33" max="33" width="13.3984375" customWidth="1"/>
    <col min="34" max="34" width="12.3984375" customWidth="1"/>
    <col min="35" max="35" width="7.796875" customWidth="1"/>
    <col min="36" max="1024" width="13.3984375" customWidth="1"/>
  </cols>
  <sheetData>
    <row r="1" spans="1:36" ht="15" customHeight="1">
      <c r="F1" s="28"/>
    </row>
    <row r="2" spans="1:36" ht="15" customHeight="1">
      <c r="A2" s="279" t="s">
        <v>281</v>
      </c>
      <c r="B2" s="284" t="s">
        <v>282</v>
      </c>
      <c r="C2" s="83"/>
      <c r="D2" s="83"/>
      <c r="E2" s="83"/>
      <c r="F2" s="191"/>
      <c r="I2" s="66" t="s">
        <v>423</v>
      </c>
    </row>
    <row r="3" spans="1:36" ht="15" customHeight="1">
      <c r="A3" s="279" t="s">
        <v>283</v>
      </c>
      <c r="B3" s="284" t="s">
        <v>284</v>
      </c>
      <c r="C3" s="83"/>
      <c r="D3" s="83"/>
      <c r="E3" s="83"/>
      <c r="F3" s="191"/>
      <c r="I3" s="67" t="s">
        <v>391</v>
      </c>
    </row>
    <row r="4" spans="1:36" ht="15" customHeight="1">
      <c r="A4" s="83"/>
      <c r="B4" s="285" t="s">
        <v>636</v>
      </c>
      <c r="C4" s="83"/>
      <c r="D4" s="83"/>
      <c r="E4" s="83"/>
      <c r="F4" s="191"/>
      <c r="I4" s="68" t="s">
        <v>392</v>
      </c>
    </row>
    <row r="5" spans="1:36" ht="15" customHeight="1">
      <c r="F5" s="28"/>
      <c r="I5" s="70" t="s">
        <v>442</v>
      </c>
    </row>
    <row r="6" spans="1:36" ht="15" customHeight="1">
      <c r="I6" s="71" t="s">
        <v>526</v>
      </c>
    </row>
    <row r="8" spans="1:36" ht="13.8">
      <c r="B8" s="44"/>
      <c r="L8" s="44"/>
      <c r="M8" s="44"/>
      <c r="T8" s="47"/>
      <c r="U8" s="47"/>
      <c r="W8" s="47"/>
      <c r="AE8" s="47"/>
      <c r="AF8" s="47"/>
    </row>
    <row r="9" spans="1:36" ht="13.8">
      <c r="B9" s="273" t="s">
        <v>35</v>
      </c>
      <c r="C9" s="191"/>
      <c r="D9" s="191"/>
      <c r="E9" s="191"/>
      <c r="F9" s="191"/>
      <c r="G9" s="191"/>
      <c r="H9" s="191"/>
      <c r="I9" s="191"/>
      <c r="J9" s="191"/>
      <c r="K9" s="191"/>
      <c r="L9" s="273" t="s">
        <v>36</v>
      </c>
      <c r="M9" s="273"/>
      <c r="N9" s="191"/>
      <c r="O9" s="191"/>
      <c r="P9" s="191"/>
      <c r="Q9" s="191"/>
      <c r="R9" s="191"/>
      <c r="S9" s="191"/>
      <c r="T9" s="273" t="s">
        <v>33</v>
      </c>
      <c r="U9" s="273"/>
      <c r="V9" s="191"/>
      <c r="W9" s="273" t="s">
        <v>37</v>
      </c>
      <c r="X9" s="191"/>
      <c r="Y9" s="191"/>
      <c r="Z9" s="191"/>
      <c r="AA9" s="191"/>
      <c r="AB9" s="191"/>
      <c r="AC9" s="191"/>
      <c r="AD9" s="191"/>
      <c r="AE9" s="273" t="s">
        <v>34</v>
      </c>
      <c r="AF9" s="273"/>
    </row>
    <row r="10" spans="1:36" ht="15" customHeight="1">
      <c r="A10" s="10" t="s">
        <v>352</v>
      </c>
    </row>
    <row r="11" spans="1:36" ht="14.4">
      <c r="A11" s="21" t="s">
        <v>344</v>
      </c>
      <c r="B11" s="79" t="s">
        <v>38</v>
      </c>
      <c r="C11" s="79" t="s">
        <v>39</v>
      </c>
      <c r="D11" s="79" t="s">
        <v>40</v>
      </c>
      <c r="E11" s="79" t="s">
        <v>41</v>
      </c>
      <c r="F11" s="79" t="s">
        <v>42</v>
      </c>
      <c r="G11" s="79" t="s">
        <v>43</v>
      </c>
      <c r="H11" s="79" t="s">
        <v>44</v>
      </c>
      <c r="I11" s="79" t="s">
        <v>45</v>
      </c>
      <c r="J11" s="79" t="s">
        <v>46</v>
      </c>
      <c r="K11" s="83"/>
      <c r="L11" s="82" t="s">
        <v>39</v>
      </c>
      <c r="M11" s="82" t="s">
        <v>40</v>
      </c>
      <c r="N11" s="82" t="s">
        <v>47</v>
      </c>
      <c r="O11" s="82" t="s">
        <v>48</v>
      </c>
      <c r="P11" s="82" t="s">
        <v>44</v>
      </c>
      <c r="Q11" s="82" t="s">
        <v>49</v>
      </c>
      <c r="R11" s="82" t="s">
        <v>46</v>
      </c>
      <c r="S11" s="83"/>
      <c r="T11" s="84" t="s">
        <v>39</v>
      </c>
      <c r="U11" s="84" t="s">
        <v>47</v>
      </c>
      <c r="V11" s="83"/>
      <c r="W11" s="88" t="s">
        <v>39</v>
      </c>
      <c r="X11" s="88" t="s">
        <v>41</v>
      </c>
      <c r="Y11" s="88" t="s">
        <v>42</v>
      </c>
      <c r="Z11" s="88" t="s">
        <v>43</v>
      </c>
      <c r="AA11" s="88" t="s">
        <v>44</v>
      </c>
      <c r="AB11" s="88" t="s">
        <v>45</v>
      </c>
      <c r="AC11" s="88" t="s">
        <v>46</v>
      </c>
      <c r="AD11" s="83"/>
      <c r="AE11" s="84" t="s">
        <v>39</v>
      </c>
      <c r="AF11" s="84" t="s">
        <v>47</v>
      </c>
      <c r="AG11" s="83"/>
      <c r="AH11" s="83"/>
      <c r="AI11" s="83"/>
      <c r="AJ11" s="83"/>
    </row>
    <row r="12" spans="1:36" ht="14.4">
      <c r="B12" s="79"/>
      <c r="C12" s="79" t="s">
        <v>50</v>
      </c>
      <c r="D12" s="79"/>
      <c r="E12" s="79" t="s">
        <v>51</v>
      </c>
      <c r="F12" s="79" t="s">
        <v>52</v>
      </c>
      <c r="G12" s="79" t="s">
        <v>51</v>
      </c>
      <c r="H12" s="79" t="s">
        <v>51</v>
      </c>
      <c r="I12" s="79" t="s">
        <v>51</v>
      </c>
      <c r="J12" s="79" t="s">
        <v>51</v>
      </c>
      <c r="K12" s="83"/>
      <c r="L12" s="82" t="s">
        <v>53</v>
      </c>
      <c r="M12" s="82"/>
      <c r="N12" s="82" t="s">
        <v>52</v>
      </c>
      <c r="O12" s="82" t="s">
        <v>51</v>
      </c>
      <c r="P12" s="82" t="s">
        <v>51</v>
      </c>
      <c r="Q12" s="82" t="s">
        <v>51</v>
      </c>
      <c r="R12" s="82" t="s">
        <v>51</v>
      </c>
      <c r="S12" s="83"/>
      <c r="T12" s="84"/>
      <c r="U12" s="84" t="s">
        <v>52</v>
      </c>
      <c r="V12" s="83"/>
      <c r="W12" s="88" t="s">
        <v>54</v>
      </c>
      <c r="X12" s="88" t="s">
        <v>51</v>
      </c>
      <c r="Y12" s="88" t="s">
        <v>52</v>
      </c>
      <c r="Z12" s="88" t="s">
        <v>51</v>
      </c>
      <c r="AA12" s="88" t="s">
        <v>51</v>
      </c>
      <c r="AB12" s="88" t="s">
        <v>51</v>
      </c>
      <c r="AC12" s="88" t="s">
        <v>51</v>
      </c>
      <c r="AD12" s="83"/>
      <c r="AE12" s="84"/>
      <c r="AF12" s="84" t="s">
        <v>52</v>
      </c>
      <c r="AG12" s="83"/>
      <c r="AH12" s="83"/>
      <c r="AI12" s="83"/>
      <c r="AJ12" s="83"/>
    </row>
    <row r="13" spans="1:36" s="11" customFormat="1" ht="14.4">
      <c r="A13" s="18"/>
      <c r="B13" s="138" t="s">
        <v>82</v>
      </c>
      <c r="C13" s="162" t="s">
        <v>17</v>
      </c>
      <c r="D13" s="108">
        <v>1</v>
      </c>
      <c r="E13" s="108" t="s">
        <v>57</v>
      </c>
      <c r="F13" s="108" t="s">
        <v>57</v>
      </c>
      <c r="G13" s="145">
        <v>31.64</v>
      </c>
      <c r="H13" s="92"/>
      <c r="I13" s="108">
        <f t="shared" ref="I13:I50" si="0">(G13-H13)</f>
        <v>31.64</v>
      </c>
      <c r="J13" s="108">
        <f t="shared" ref="J13:J50" si="1">I13*D13</f>
        <v>31.64</v>
      </c>
      <c r="K13" s="90"/>
      <c r="L13" s="162" t="s">
        <v>17</v>
      </c>
      <c r="M13" s="108">
        <v>1</v>
      </c>
      <c r="N13" s="162">
        <v>29.82</v>
      </c>
      <c r="O13" s="123">
        <v>2.7</v>
      </c>
      <c r="P13" s="92"/>
      <c r="Q13" s="92"/>
      <c r="R13" s="108">
        <f t="shared" ref="R13:R50" si="2">(N13*O13-P13)*M13</f>
        <v>80.51400000000001</v>
      </c>
      <c r="S13" s="110"/>
      <c r="T13" s="162" t="s">
        <v>357</v>
      </c>
      <c r="U13" s="92">
        <f>N13*M13</f>
        <v>29.82</v>
      </c>
      <c r="V13" s="90"/>
      <c r="W13" s="162" t="s">
        <v>17</v>
      </c>
      <c r="X13" s="108" t="str">
        <f t="shared" ref="X13:X50" si="3">E13</f>
        <v>cad</v>
      </c>
      <c r="Y13" s="108" t="str">
        <f t="shared" ref="Y13:Y50" si="4">F13</f>
        <v>cad</v>
      </c>
      <c r="Z13" s="108">
        <f t="shared" ref="Z13:Z50" si="5">G13</f>
        <v>31.64</v>
      </c>
      <c r="AA13" s="108">
        <f t="shared" ref="AA13:AA50" si="6">H13</f>
        <v>0</v>
      </c>
      <c r="AB13" s="108">
        <f t="shared" ref="AB13:AB50" si="7">I13</f>
        <v>31.64</v>
      </c>
      <c r="AC13" s="108">
        <f t="shared" ref="AC13:AC50" si="8">J13</f>
        <v>31.64</v>
      </c>
      <c r="AD13" s="90"/>
      <c r="AE13" s="92" t="s">
        <v>357</v>
      </c>
      <c r="AF13" s="108">
        <f>N13*M13</f>
        <v>29.82</v>
      </c>
      <c r="AG13" s="90"/>
      <c r="AH13" s="90"/>
      <c r="AI13" s="90"/>
      <c r="AJ13" s="90"/>
    </row>
    <row r="14" spans="1:36" s="11" customFormat="1" ht="14.4">
      <c r="A14" s="18"/>
      <c r="B14" s="138" t="s">
        <v>59</v>
      </c>
      <c r="C14" s="162" t="s">
        <v>24</v>
      </c>
      <c r="D14" s="108">
        <v>1</v>
      </c>
      <c r="E14" s="108" t="s">
        <v>57</v>
      </c>
      <c r="F14" s="108" t="s">
        <v>57</v>
      </c>
      <c r="G14" s="162">
        <v>40.909999999999997</v>
      </c>
      <c r="H14" s="92"/>
      <c r="I14" s="108">
        <f t="shared" si="0"/>
        <v>40.909999999999997</v>
      </c>
      <c r="J14" s="108">
        <f t="shared" si="1"/>
        <v>40.909999999999997</v>
      </c>
      <c r="K14" s="90"/>
      <c r="L14" s="162" t="s">
        <v>24</v>
      </c>
      <c r="M14" s="108">
        <v>1</v>
      </c>
      <c r="N14" s="162">
        <v>26.71</v>
      </c>
      <c r="O14" s="123">
        <v>3.9</v>
      </c>
      <c r="P14" s="92"/>
      <c r="Q14" s="92"/>
      <c r="R14" s="108">
        <f t="shared" si="2"/>
        <v>104.169</v>
      </c>
      <c r="S14" s="110"/>
      <c r="T14" s="162" t="s">
        <v>20</v>
      </c>
      <c r="U14" s="92">
        <f>N14*M14</f>
        <v>26.71</v>
      </c>
      <c r="V14" s="90"/>
      <c r="W14" s="162" t="s">
        <v>20</v>
      </c>
      <c r="X14" s="108" t="str">
        <f t="shared" si="3"/>
        <v>cad</v>
      </c>
      <c r="Y14" s="108" t="str">
        <f t="shared" si="4"/>
        <v>cad</v>
      </c>
      <c r="Z14" s="108">
        <f t="shared" si="5"/>
        <v>40.909999999999997</v>
      </c>
      <c r="AA14" s="108">
        <f t="shared" si="6"/>
        <v>0</v>
      </c>
      <c r="AB14" s="108">
        <f t="shared" si="7"/>
        <v>40.909999999999997</v>
      </c>
      <c r="AC14" s="108">
        <f t="shared" si="8"/>
        <v>40.909999999999997</v>
      </c>
      <c r="AD14" s="90"/>
      <c r="AE14" s="92"/>
      <c r="AF14" s="108"/>
      <c r="AG14" s="90"/>
      <c r="AH14" s="90"/>
      <c r="AI14" s="90"/>
      <c r="AJ14" s="90"/>
    </row>
    <row r="15" spans="1:36" s="11" customFormat="1" ht="14.4">
      <c r="A15" s="18"/>
      <c r="B15" s="138"/>
      <c r="C15" s="162" t="s">
        <v>24</v>
      </c>
      <c r="D15" s="108">
        <v>1</v>
      </c>
      <c r="E15" s="108" t="s">
        <v>57</v>
      </c>
      <c r="F15" s="108" t="s">
        <v>57</v>
      </c>
      <c r="G15" s="162">
        <v>9.7100000000000009</v>
      </c>
      <c r="H15" s="92"/>
      <c r="I15" s="108"/>
      <c r="J15" s="108"/>
      <c r="K15" s="90"/>
      <c r="L15" s="162"/>
      <c r="M15" s="108"/>
      <c r="N15" s="162"/>
      <c r="O15" s="123"/>
      <c r="P15" s="92"/>
      <c r="Q15" s="92"/>
      <c r="R15" s="108"/>
      <c r="S15" s="110"/>
      <c r="T15" s="162"/>
      <c r="U15" s="92"/>
      <c r="V15" s="90"/>
      <c r="W15" s="162"/>
      <c r="X15" s="108"/>
      <c r="Y15" s="108"/>
      <c r="Z15" s="108"/>
      <c r="AA15" s="108"/>
      <c r="AB15" s="108"/>
      <c r="AC15" s="108"/>
      <c r="AD15" s="90"/>
      <c r="AE15" s="92"/>
      <c r="AF15" s="108"/>
      <c r="AG15" s="90"/>
      <c r="AH15" s="90"/>
      <c r="AI15" s="90"/>
      <c r="AJ15" s="90"/>
    </row>
    <row r="16" spans="1:36" s="11" customFormat="1" ht="14.4">
      <c r="A16" s="18"/>
      <c r="B16" s="92" t="s">
        <v>108</v>
      </c>
      <c r="C16" s="108"/>
      <c r="D16" s="108"/>
      <c r="E16" s="108"/>
      <c r="F16" s="108"/>
      <c r="G16" s="108"/>
      <c r="H16" s="92"/>
      <c r="I16" s="108"/>
      <c r="J16" s="108"/>
      <c r="K16" s="90"/>
      <c r="L16" s="108"/>
      <c r="M16" s="108"/>
      <c r="N16" s="108"/>
      <c r="O16" s="108"/>
      <c r="P16" s="92"/>
      <c r="Q16" s="92"/>
      <c r="R16" s="108"/>
      <c r="S16" s="110"/>
      <c r="T16" s="108"/>
      <c r="U16" s="108"/>
      <c r="V16" s="90"/>
      <c r="W16" s="108"/>
      <c r="X16" s="108"/>
      <c r="Y16" s="108"/>
      <c r="Z16" s="108"/>
      <c r="AA16" s="108"/>
      <c r="AB16" s="108"/>
      <c r="AC16" s="108"/>
      <c r="AD16" s="90"/>
      <c r="AE16" s="92"/>
      <c r="AF16" s="108"/>
      <c r="AG16" s="90"/>
      <c r="AH16" s="90"/>
      <c r="AI16" s="90"/>
      <c r="AJ16" s="90"/>
    </row>
    <row r="17" spans="1:36" s="11" customFormat="1" ht="14.4">
      <c r="A17" s="18"/>
      <c r="B17" s="92" t="s">
        <v>109</v>
      </c>
      <c r="C17" s="108"/>
      <c r="D17" s="108"/>
      <c r="E17" s="108"/>
      <c r="F17" s="108"/>
      <c r="G17" s="108"/>
      <c r="H17" s="92"/>
      <c r="I17" s="108"/>
      <c r="J17" s="108"/>
      <c r="K17" s="90"/>
      <c r="L17" s="108"/>
      <c r="M17" s="108"/>
      <c r="N17" s="108"/>
      <c r="O17" s="108"/>
      <c r="P17" s="92"/>
      <c r="Q17" s="92"/>
      <c r="R17" s="108"/>
      <c r="S17" s="110"/>
      <c r="T17" s="108"/>
      <c r="U17" s="108"/>
      <c r="V17" s="90"/>
      <c r="W17" s="108"/>
      <c r="X17" s="108"/>
      <c r="Y17" s="108"/>
      <c r="Z17" s="108"/>
      <c r="AA17" s="108"/>
      <c r="AB17" s="108"/>
      <c r="AC17" s="108"/>
      <c r="AD17" s="90"/>
      <c r="AE17" s="92"/>
      <c r="AF17" s="108"/>
      <c r="AG17" s="90"/>
      <c r="AH17" s="90"/>
      <c r="AI17" s="90"/>
      <c r="AJ17" s="90"/>
    </row>
    <row r="18" spans="1:36" s="11" customFormat="1" ht="14.4">
      <c r="A18" s="18"/>
      <c r="B18" s="138" t="s">
        <v>620</v>
      </c>
      <c r="C18" s="162" t="s">
        <v>20</v>
      </c>
      <c r="D18" s="108">
        <v>1</v>
      </c>
      <c r="E18" s="108" t="s">
        <v>57</v>
      </c>
      <c r="F18" s="108" t="s">
        <v>57</v>
      </c>
      <c r="G18" s="162">
        <v>3.86</v>
      </c>
      <c r="H18" s="92"/>
      <c r="I18" s="108">
        <f t="shared" si="0"/>
        <v>3.86</v>
      </c>
      <c r="J18" s="108">
        <f t="shared" si="1"/>
        <v>3.86</v>
      </c>
      <c r="K18" s="90"/>
      <c r="L18" s="162" t="s">
        <v>18</v>
      </c>
      <c r="M18" s="108">
        <v>1</v>
      </c>
      <c r="N18" s="162">
        <v>8.1</v>
      </c>
      <c r="O18" s="123">
        <v>2.7</v>
      </c>
      <c r="P18" s="92"/>
      <c r="Q18" s="92"/>
      <c r="R18" s="108">
        <f t="shared" si="2"/>
        <v>21.87</v>
      </c>
      <c r="S18" s="110"/>
      <c r="T18" s="108" t="s">
        <v>18</v>
      </c>
      <c r="U18" s="163">
        <f t="shared" ref="U18:U24" si="9">N18*M18</f>
        <v>8.1</v>
      </c>
      <c r="V18" s="90"/>
      <c r="W18" s="162" t="s">
        <v>18</v>
      </c>
      <c r="X18" s="108" t="str">
        <f t="shared" si="3"/>
        <v>cad</v>
      </c>
      <c r="Y18" s="108" t="str">
        <f t="shared" si="4"/>
        <v>cad</v>
      </c>
      <c r="Z18" s="108">
        <f t="shared" si="5"/>
        <v>3.86</v>
      </c>
      <c r="AA18" s="108">
        <f t="shared" si="6"/>
        <v>0</v>
      </c>
      <c r="AB18" s="108">
        <f t="shared" si="7"/>
        <v>3.86</v>
      </c>
      <c r="AC18" s="108">
        <f t="shared" si="8"/>
        <v>3.86</v>
      </c>
      <c r="AD18" s="90"/>
      <c r="AE18" s="92" t="s">
        <v>357</v>
      </c>
      <c r="AF18" s="108">
        <f t="shared" ref="AF18:AF19" si="10">N18*M18</f>
        <v>8.1</v>
      </c>
      <c r="AG18" s="90"/>
      <c r="AH18" s="90"/>
      <c r="AI18" s="90"/>
      <c r="AJ18" s="90"/>
    </row>
    <row r="19" spans="1:36" s="11" customFormat="1" ht="14.4">
      <c r="A19" s="18"/>
      <c r="B19" s="138" t="s">
        <v>621</v>
      </c>
      <c r="C19" s="162" t="s">
        <v>20</v>
      </c>
      <c r="D19" s="108">
        <v>2</v>
      </c>
      <c r="E19" s="108" t="s">
        <v>57</v>
      </c>
      <c r="F19" s="108" t="s">
        <v>57</v>
      </c>
      <c r="G19" s="162">
        <v>3.96</v>
      </c>
      <c r="H19" s="92"/>
      <c r="I19" s="108">
        <f t="shared" si="0"/>
        <v>3.96</v>
      </c>
      <c r="J19" s="108">
        <f t="shared" si="1"/>
        <v>7.92</v>
      </c>
      <c r="K19" s="90"/>
      <c r="L19" s="162" t="s">
        <v>18</v>
      </c>
      <c r="M19" s="108">
        <v>2</v>
      </c>
      <c r="N19" s="162">
        <v>8.1</v>
      </c>
      <c r="O19" s="123">
        <v>2.7</v>
      </c>
      <c r="P19" s="92"/>
      <c r="Q19" s="92"/>
      <c r="R19" s="108">
        <f t="shared" si="2"/>
        <v>43.74</v>
      </c>
      <c r="S19" s="110"/>
      <c r="T19" s="108" t="s">
        <v>18</v>
      </c>
      <c r="U19" s="163">
        <f t="shared" si="9"/>
        <v>16.2</v>
      </c>
      <c r="V19" s="90"/>
      <c r="W19" s="162" t="s">
        <v>18</v>
      </c>
      <c r="X19" s="108" t="str">
        <f t="shared" si="3"/>
        <v>cad</v>
      </c>
      <c r="Y19" s="108" t="str">
        <f t="shared" si="4"/>
        <v>cad</v>
      </c>
      <c r="Z19" s="108">
        <f t="shared" si="5"/>
        <v>3.96</v>
      </c>
      <c r="AA19" s="108">
        <f t="shared" si="6"/>
        <v>0</v>
      </c>
      <c r="AB19" s="108">
        <f t="shared" si="7"/>
        <v>3.96</v>
      </c>
      <c r="AC19" s="108">
        <f t="shared" si="8"/>
        <v>7.92</v>
      </c>
      <c r="AD19" s="90"/>
      <c r="AE19" s="92" t="s">
        <v>357</v>
      </c>
      <c r="AF19" s="108">
        <f t="shared" si="10"/>
        <v>16.2</v>
      </c>
      <c r="AG19" s="90"/>
      <c r="AH19" s="90"/>
      <c r="AI19" s="90"/>
      <c r="AJ19" s="90"/>
    </row>
    <row r="20" spans="1:36" s="11" customFormat="1" ht="14.4">
      <c r="A20" s="18"/>
      <c r="B20" s="138" t="s">
        <v>110</v>
      </c>
      <c r="C20" s="162" t="s">
        <v>21</v>
      </c>
      <c r="D20" s="108">
        <v>2</v>
      </c>
      <c r="E20" s="108" t="s">
        <v>57</v>
      </c>
      <c r="F20" s="108" t="s">
        <v>57</v>
      </c>
      <c r="G20" s="145">
        <v>13.17</v>
      </c>
      <c r="H20" s="92"/>
      <c r="I20" s="108">
        <f t="shared" si="0"/>
        <v>13.17</v>
      </c>
      <c r="J20" s="108">
        <f t="shared" si="1"/>
        <v>26.34</v>
      </c>
      <c r="K20" s="90"/>
      <c r="L20" s="162" t="s">
        <v>19</v>
      </c>
      <c r="M20" s="108">
        <v>2</v>
      </c>
      <c r="N20" s="95">
        <v>14.54</v>
      </c>
      <c r="O20" s="145">
        <v>2.7</v>
      </c>
      <c r="P20" s="92"/>
      <c r="Q20" s="92"/>
      <c r="R20" s="108">
        <f t="shared" si="2"/>
        <v>78.516000000000005</v>
      </c>
      <c r="S20" s="110"/>
      <c r="T20" s="108" t="s">
        <v>19</v>
      </c>
      <c r="U20" s="163">
        <f t="shared" si="9"/>
        <v>29.08</v>
      </c>
      <c r="V20" s="90"/>
      <c r="W20" s="162" t="s">
        <v>27</v>
      </c>
      <c r="X20" s="108" t="str">
        <f t="shared" si="3"/>
        <v>cad</v>
      </c>
      <c r="Y20" s="108" t="str">
        <f t="shared" si="4"/>
        <v>cad</v>
      </c>
      <c r="Z20" s="108">
        <f t="shared" si="5"/>
        <v>13.17</v>
      </c>
      <c r="AA20" s="108"/>
      <c r="AB20" s="108">
        <f t="shared" si="7"/>
        <v>13.17</v>
      </c>
      <c r="AC20" s="108">
        <f t="shared" si="8"/>
        <v>26.34</v>
      </c>
      <c r="AD20" s="90"/>
      <c r="AE20" s="92"/>
      <c r="AF20" s="108"/>
      <c r="AG20" s="90"/>
      <c r="AH20" s="90"/>
      <c r="AI20" s="90"/>
      <c r="AJ20" s="90"/>
    </row>
    <row r="21" spans="1:36" s="11" customFormat="1" ht="14.4">
      <c r="A21" s="18"/>
      <c r="B21" s="118"/>
      <c r="C21" s="162"/>
      <c r="D21" s="108"/>
      <c r="E21" s="108"/>
      <c r="F21" s="108"/>
      <c r="G21" s="95"/>
      <c r="H21" s="92"/>
      <c r="I21" s="108"/>
      <c r="J21" s="108"/>
      <c r="K21" s="90"/>
      <c r="L21" s="169" t="s">
        <v>571</v>
      </c>
      <c r="M21" s="168">
        <v>2</v>
      </c>
      <c r="N21" s="169">
        <v>3.82</v>
      </c>
      <c r="O21" s="169">
        <v>2.7</v>
      </c>
      <c r="P21" s="92"/>
      <c r="Q21" s="92"/>
      <c r="R21" s="108">
        <f t="shared" si="2"/>
        <v>20.628</v>
      </c>
      <c r="S21" s="110"/>
      <c r="T21" s="108"/>
      <c r="U21" s="163"/>
      <c r="V21" s="90"/>
      <c r="W21" s="162"/>
      <c r="X21" s="108"/>
      <c r="Y21" s="108"/>
      <c r="Z21" s="108"/>
      <c r="AA21" s="108"/>
      <c r="AB21" s="108"/>
      <c r="AC21" s="108"/>
      <c r="AD21" s="90"/>
      <c r="AE21" s="92"/>
      <c r="AF21" s="108"/>
      <c r="AG21" s="90"/>
      <c r="AH21" s="90"/>
      <c r="AI21" s="90"/>
      <c r="AJ21" s="90"/>
    </row>
    <row r="22" spans="1:36" s="11" customFormat="1" ht="14.4">
      <c r="A22" s="18"/>
      <c r="B22" s="138" t="s">
        <v>111</v>
      </c>
      <c r="C22" s="162" t="s">
        <v>21</v>
      </c>
      <c r="D22" s="108">
        <v>2</v>
      </c>
      <c r="E22" s="108" t="s">
        <v>57</v>
      </c>
      <c r="F22" s="108" t="s">
        <v>57</v>
      </c>
      <c r="G22" s="123">
        <v>12.3</v>
      </c>
      <c r="H22" s="92"/>
      <c r="I22" s="108">
        <f t="shared" ref="I22" si="11">(G22-H22)</f>
        <v>12.3</v>
      </c>
      <c r="J22" s="108">
        <f t="shared" ref="J22" si="12">I22*D22</f>
        <v>24.6</v>
      </c>
      <c r="K22" s="90"/>
      <c r="L22" s="162" t="s">
        <v>19</v>
      </c>
      <c r="M22" s="108">
        <v>2</v>
      </c>
      <c r="N22" s="145">
        <v>14.03</v>
      </c>
      <c r="O22" s="145">
        <v>2.7</v>
      </c>
      <c r="P22" s="92"/>
      <c r="Q22" s="92"/>
      <c r="R22" s="108">
        <f t="shared" si="2"/>
        <v>75.762</v>
      </c>
      <c r="S22" s="110"/>
      <c r="T22" s="108" t="s">
        <v>19</v>
      </c>
      <c r="U22" s="163">
        <f t="shared" si="9"/>
        <v>28.06</v>
      </c>
      <c r="V22" s="90"/>
      <c r="W22" s="162" t="s">
        <v>27</v>
      </c>
      <c r="X22" s="108" t="str">
        <f t="shared" ref="X22" si="13">E22</f>
        <v>cad</v>
      </c>
      <c r="Y22" s="108" t="str">
        <f t="shared" ref="Y22" si="14">F22</f>
        <v>cad</v>
      </c>
      <c r="Z22" s="108">
        <f t="shared" ref="Z22" si="15">G22</f>
        <v>12.3</v>
      </c>
      <c r="AA22" s="108"/>
      <c r="AB22" s="108">
        <f t="shared" ref="AB22" si="16">I22</f>
        <v>12.3</v>
      </c>
      <c r="AC22" s="108">
        <f t="shared" ref="AC22" si="17">J22</f>
        <v>24.6</v>
      </c>
      <c r="AD22" s="90"/>
      <c r="AE22" s="92"/>
      <c r="AF22" s="108"/>
      <c r="AG22" s="90"/>
      <c r="AH22" s="90"/>
      <c r="AI22" s="90"/>
      <c r="AJ22" s="90"/>
    </row>
    <row r="23" spans="1:36" s="11" customFormat="1" ht="14.4">
      <c r="A23" s="18"/>
      <c r="B23" s="118"/>
      <c r="C23" s="162"/>
      <c r="D23" s="108"/>
      <c r="E23" s="108"/>
      <c r="F23" s="108"/>
      <c r="G23" s="95"/>
      <c r="H23" s="92"/>
      <c r="I23" s="108"/>
      <c r="J23" s="108"/>
      <c r="K23" s="90"/>
      <c r="L23" s="169" t="s">
        <v>571</v>
      </c>
      <c r="M23" s="168">
        <v>2</v>
      </c>
      <c r="N23" s="169">
        <v>3.57</v>
      </c>
      <c r="O23" s="169">
        <v>2.7</v>
      </c>
      <c r="P23" s="92"/>
      <c r="Q23" s="92"/>
      <c r="R23" s="108">
        <f t="shared" si="2"/>
        <v>19.277999999999999</v>
      </c>
      <c r="S23" s="110"/>
      <c r="T23" s="108"/>
      <c r="U23" s="163"/>
      <c r="V23" s="90"/>
      <c r="W23" s="162"/>
      <c r="X23" s="108"/>
      <c r="Y23" s="108"/>
      <c r="Z23" s="108"/>
      <c r="AA23" s="108"/>
      <c r="AB23" s="108"/>
      <c r="AC23" s="108"/>
      <c r="AD23" s="90"/>
      <c r="AE23" s="92"/>
      <c r="AF23" s="108"/>
      <c r="AG23" s="90"/>
      <c r="AH23" s="90"/>
      <c r="AI23" s="90"/>
      <c r="AJ23" s="90"/>
    </row>
    <row r="24" spans="1:36" s="11" customFormat="1" ht="14.4">
      <c r="A24" s="18"/>
      <c r="B24" s="138" t="s">
        <v>327</v>
      </c>
      <c r="C24" s="162" t="s">
        <v>21</v>
      </c>
      <c r="D24" s="108">
        <v>2</v>
      </c>
      <c r="E24" s="108" t="s">
        <v>57</v>
      </c>
      <c r="F24" s="108" t="s">
        <v>57</v>
      </c>
      <c r="G24" s="145">
        <v>13.44</v>
      </c>
      <c r="H24" s="92"/>
      <c r="I24" s="108">
        <f t="shared" ref="I24" si="18">(G24-H24)</f>
        <v>13.44</v>
      </c>
      <c r="J24" s="108">
        <f t="shared" ref="J24" si="19">I24*D24</f>
        <v>26.88</v>
      </c>
      <c r="K24" s="90"/>
      <c r="L24" s="162" t="s">
        <v>19</v>
      </c>
      <c r="M24" s="108">
        <v>2</v>
      </c>
      <c r="N24" s="145">
        <v>15.09</v>
      </c>
      <c r="O24" s="145">
        <v>2.7</v>
      </c>
      <c r="P24" s="92"/>
      <c r="Q24" s="92"/>
      <c r="R24" s="108">
        <f t="shared" si="2"/>
        <v>81.486000000000004</v>
      </c>
      <c r="S24" s="110"/>
      <c r="T24" s="108" t="s">
        <v>19</v>
      </c>
      <c r="U24" s="163">
        <f t="shared" si="9"/>
        <v>30.18</v>
      </c>
      <c r="V24" s="90"/>
      <c r="W24" s="162" t="s">
        <v>27</v>
      </c>
      <c r="X24" s="108" t="str">
        <f t="shared" ref="X24" si="20">E24</f>
        <v>cad</v>
      </c>
      <c r="Y24" s="108" t="str">
        <f t="shared" ref="Y24" si="21">F24</f>
        <v>cad</v>
      </c>
      <c r="Z24" s="108">
        <f t="shared" ref="Z24" si="22">G24</f>
        <v>13.44</v>
      </c>
      <c r="AA24" s="108"/>
      <c r="AB24" s="108">
        <f t="shared" ref="AB24" si="23">I24</f>
        <v>13.44</v>
      </c>
      <c r="AC24" s="108">
        <f t="shared" ref="AC24" si="24">J24</f>
        <v>26.88</v>
      </c>
      <c r="AD24" s="90"/>
      <c r="AE24" s="92"/>
      <c r="AF24" s="108"/>
      <c r="AG24" s="90"/>
      <c r="AH24" s="90"/>
      <c r="AI24" s="90"/>
      <c r="AJ24" s="90"/>
    </row>
    <row r="25" spans="1:36" s="11" customFormat="1" ht="14.4">
      <c r="A25" s="18"/>
      <c r="B25" s="118"/>
      <c r="C25" s="162"/>
      <c r="D25" s="108"/>
      <c r="E25" s="108"/>
      <c r="F25" s="108"/>
      <c r="G25" s="95"/>
      <c r="H25" s="92"/>
      <c r="I25" s="108"/>
      <c r="J25" s="108"/>
      <c r="K25" s="90"/>
      <c r="L25" s="169" t="s">
        <v>571</v>
      </c>
      <c r="M25" s="168">
        <v>2</v>
      </c>
      <c r="N25" s="169">
        <v>3.4</v>
      </c>
      <c r="O25" s="169">
        <v>2.7</v>
      </c>
      <c r="P25" s="92"/>
      <c r="Q25" s="92"/>
      <c r="R25" s="108">
        <f t="shared" si="2"/>
        <v>18.36</v>
      </c>
      <c r="S25" s="110"/>
      <c r="T25" s="108"/>
      <c r="U25" s="163"/>
      <c r="V25" s="90"/>
      <c r="W25" s="162"/>
      <c r="X25" s="108"/>
      <c r="Y25" s="108"/>
      <c r="Z25" s="108"/>
      <c r="AA25" s="108"/>
      <c r="AB25" s="108"/>
      <c r="AC25" s="108"/>
      <c r="AD25" s="90"/>
      <c r="AE25" s="92"/>
      <c r="AF25" s="108"/>
      <c r="AG25" s="90"/>
      <c r="AH25" s="90"/>
      <c r="AI25" s="90"/>
      <c r="AJ25" s="90"/>
    </row>
    <row r="26" spans="1:36" s="11" customFormat="1" ht="14.4">
      <c r="A26" s="18"/>
      <c r="B26" s="138" t="s">
        <v>612</v>
      </c>
      <c r="C26" s="162" t="s">
        <v>21</v>
      </c>
      <c r="D26" s="108">
        <v>4</v>
      </c>
      <c r="E26" s="108" t="s">
        <v>57</v>
      </c>
      <c r="F26" s="108" t="s">
        <v>57</v>
      </c>
      <c r="G26" s="145">
        <v>13.63</v>
      </c>
      <c r="H26" s="92"/>
      <c r="I26" s="108">
        <f t="shared" ref="I26" si="25">(G26-H26)</f>
        <v>13.63</v>
      </c>
      <c r="J26" s="108">
        <f t="shared" ref="J26" si="26">I26*D26</f>
        <v>54.52</v>
      </c>
      <c r="K26" s="90"/>
      <c r="L26" s="162" t="s">
        <v>19</v>
      </c>
      <c r="M26" s="108">
        <v>4</v>
      </c>
      <c r="N26" s="95">
        <v>15.19</v>
      </c>
      <c r="O26" s="145">
        <v>2.7</v>
      </c>
      <c r="P26" s="92"/>
      <c r="Q26" s="92"/>
      <c r="R26" s="108">
        <f t="shared" si="2"/>
        <v>164.05199999999999</v>
      </c>
      <c r="S26" s="110"/>
      <c r="T26" s="108" t="s">
        <v>19</v>
      </c>
      <c r="U26" s="163">
        <f t="shared" ref="U26" si="27">N26*M26</f>
        <v>60.76</v>
      </c>
      <c r="V26" s="90"/>
      <c r="W26" s="162" t="s">
        <v>27</v>
      </c>
      <c r="X26" s="108" t="str">
        <f t="shared" ref="X26" si="28">E26</f>
        <v>cad</v>
      </c>
      <c r="Y26" s="108" t="str">
        <f t="shared" ref="Y26" si="29">F26</f>
        <v>cad</v>
      </c>
      <c r="Z26" s="108">
        <f t="shared" ref="Z26" si="30">G26</f>
        <v>13.63</v>
      </c>
      <c r="AA26" s="108"/>
      <c r="AB26" s="108">
        <f t="shared" ref="AB26" si="31">I26</f>
        <v>13.63</v>
      </c>
      <c r="AC26" s="108">
        <f t="shared" ref="AC26" si="32">J26</f>
        <v>54.52</v>
      </c>
      <c r="AD26" s="90"/>
      <c r="AE26" s="92"/>
      <c r="AF26" s="108"/>
      <c r="AG26" s="90"/>
      <c r="AH26" s="90"/>
      <c r="AI26" s="90"/>
      <c r="AJ26" s="90"/>
    </row>
    <row r="27" spans="1:36" s="11" customFormat="1" ht="14.4">
      <c r="A27" s="18"/>
      <c r="B27" s="118"/>
      <c r="C27" s="162"/>
      <c r="D27" s="108"/>
      <c r="E27" s="108"/>
      <c r="F27" s="108"/>
      <c r="G27" s="95"/>
      <c r="H27" s="92"/>
      <c r="I27" s="108"/>
      <c r="J27" s="108"/>
      <c r="K27" s="90"/>
      <c r="L27" s="169" t="s">
        <v>571</v>
      </c>
      <c r="M27" s="168">
        <v>4</v>
      </c>
      <c r="N27" s="169">
        <v>3.45</v>
      </c>
      <c r="O27" s="169">
        <v>2.7</v>
      </c>
      <c r="P27" s="92"/>
      <c r="Q27" s="92"/>
      <c r="R27" s="108">
        <f t="shared" si="2"/>
        <v>37.260000000000005</v>
      </c>
      <c r="S27" s="110"/>
      <c r="T27" s="108"/>
      <c r="U27" s="163"/>
      <c r="V27" s="90"/>
      <c r="W27" s="162"/>
      <c r="X27" s="108"/>
      <c r="Y27" s="108"/>
      <c r="Z27" s="108"/>
      <c r="AA27" s="108"/>
      <c r="AB27" s="108"/>
      <c r="AC27" s="108"/>
      <c r="AD27" s="90"/>
      <c r="AE27" s="92"/>
      <c r="AF27" s="108"/>
      <c r="AG27" s="90"/>
      <c r="AH27" s="90"/>
      <c r="AI27" s="90"/>
      <c r="AJ27" s="90"/>
    </row>
    <row r="28" spans="1:36" s="11" customFormat="1" ht="14.4">
      <c r="A28" s="18"/>
      <c r="B28" s="138" t="s">
        <v>112</v>
      </c>
      <c r="C28" s="162" t="s">
        <v>21</v>
      </c>
      <c r="D28" s="108">
        <v>2</v>
      </c>
      <c r="E28" s="108" t="s">
        <v>57</v>
      </c>
      <c r="F28" s="108" t="s">
        <v>57</v>
      </c>
      <c r="G28" s="145">
        <v>13.68</v>
      </c>
      <c r="H28" s="92"/>
      <c r="I28" s="108">
        <f t="shared" si="0"/>
        <v>13.68</v>
      </c>
      <c r="J28" s="108">
        <f t="shared" si="1"/>
        <v>27.36</v>
      </c>
      <c r="K28" s="90"/>
      <c r="L28" s="162" t="s">
        <v>19</v>
      </c>
      <c r="M28" s="108">
        <v>2</v>
      </c>
      <c r="N28" s="145">
        <v>16.36</v>
      </c>
      <c r="O28" s="145">
        <v>2.7</v>
      </c>
      <c r="P28" s="92"/>
      <c r="Q28" s="92"/>
      <c r="R28" s="108">
        <f t="shared" si="2"/>
        <v>88.344000000000008</v>
      </c>
      <c r="S28" s="110"/>
      <c r="T28" s="108" t="s">
        <v>19</v>
      </c>
      <c r="U28" s="163">
        <f t="shared" ref="U28" si="33">N28*M28</f>
        <v>32.72</v>
      </c>
      <c r="V28" s="90"/>
      <c r="W28" s="162" t="s">
        <v>27</v>
      </c>
      <c r="X28" s="108" t="str">
        <f t="shared" si="3"/>
        <v>cad</v>
      </c>
      <c r="Y28" s="108" t="str">
        <f t="shared" si="4"/>
        <v>cad</v>
      </c>
      <c r="Z28" s="108">
        <f t="shared" si="5"/>
        <v>13.68</v>
      </c>
      <c r="AA28" s="108"/>
      <c r="AB28" s="108">
        <f t="shared" si="7"/>
        <v>13.68</v>
      </c>
      <c r="AC28" s="108">
        <f t="shared" si="8"/>
        <v>27.36</v>
      </c>
      <c r="AD28" s="90"/>
      <c r="AE28" s="92"/>
      <c r="AF28" s="108"/>
      <c r="AG28" s="90"/>
      <c r="AH28" s="90"/>
      <c r="AI28" s="90"/>
      <c r="AJ28" s="90"/>
    </row>
    <row r="29" spans="1:36" s="11" customFormat="1" ht="14.4">
      <c r="A29" s="18"/>
      <c r="B29" s="118"/>
      <c r="C29" s="162"/>
      <c r="D29" s="108"/>
      <c r="E29" s="108"/>
      <c r="F29" s="108"/>
      <c r="G29" s="95"/>
      <c r="H29" s="92"/>
      <c r="I29" s="108"/>
      <c r="J29" s="108"/>
      <c r="K29" s="90"/>
      <c r="L29" s="169" t="s">
        <v>571</v>
      </c>
      <c r="M29" s="168">
        <v>2</v>
      </c>
      <c r="N29" s="169">
        <v>3.14</v>
      </c>
      <c r="O29" s="169">
        <v>2.7</v>
      </c>
      <c r="P29" s="92"/>
      <c r="Q29" s="92"/>
      <c r="R29" s="108">
        <f t="shared" si="2"/>
        <v>16.956000000000003</v>
      </c>
      <c r="S29" s="110"/>
      <c r="T29" s="108"/>
      <c r="U29" s="163"/>
      <c r="V29" s="90"/>
      <c r="W29" s="162"/>
      <c r="X29" s="108"/>
      <c r="Y29" s="108"/>
      <c r="Z29" s="108"/>
      <c r="AA29" s="108"/>
      <c r="AB29" s="108"/>
      <c r="AC29" s="108"/>
      <c r="AD29" s="90"/>
      <c r="AE29" s="92"/>
      <c r="AF29" s="108"/>
      <c r="AG29" s="90"/>
      <c r="AH29" s="90"/>
      <c r="AI29" s="90"/>
      <c r="AJ29" s="90"/>
    </row>
    <row r="30" spans="1:36" s="11" customFormat="1" ht="14.4">
      <c r="A30" s="18"/>
      <c r="B30" s="138" t="s">
        <v>113</v>
      </c>
      <c r="C30" s="162" t="s">
        <v>20</v>
      </c>
      <c r="D30" s="108">
        <v>1</v>
      </c>
      <c r="E30" s="108" t="s">
        <v>57</v>
      </c>
      <c r="F30" s="108" t="s">
        <v>57</v>
      </c>
      <c r="G30" s="145">
        <v>4.5</v>
      </c>
      <c r="H30" s="92"/>
      <c r="I30" s="108">
        <f t="shared" ref="I30" si="34">(G30-H30)</f>
        <v>4.5</v>
      </c>
      <c r="J30" s="108">
        <f t="shared" ref="J30" si="35">I30*D30</f>
        <v>4.5</v>
      </c>
      <c r="K30" s="90"/>
      <c r="L30" s="162" t="s">
        <v>18</v>
      </c>
      <c r="M30" s="108">
        <v>1</v>
      </c>
      <c r="N30" s="145">
        <v>8.6999999999999993</v>
      </c>
      <c r="O30" s="123">
        <v>2.7</v>
      </c>
      <c r="P30" s="92"/>
      <c r="Q30" s="92"/>
      <c r="R30" s="108">
        <f t="shared" si="2"/>
        <v>23.49</v>
      </c>
      <c r="S30" s="110"/>
      <c r="T30" s="108" t="s">
        <v>18</v>
      </c>
      <c r="U30" s="163">
        <f t="shared" ref="U30" si="36">N30*M30</f>
        <v>8.6999999999999993</v>
      </c>
      <c r="V30" s="90"/>
      <c r="W30" s="162" t="s">
        <v>18</v>
      </c>
      <c r="X30" s="108" t="str">
        <f t="shared" ref="X30" si="37">E30</f>
        <v>cad</v>
      </c>
      <c r="Y30" s="108" t="str">
        <f t="shared" ref="Y30" si="38">F30</f>
        <v>cad</v>
      </c>
      <c r="Z30" s="108">
        <f t="shared" ref="Z30" si="39">G30</f>
        <v>4.5</v>
      </c>
      <c r="AA30" s="108"/>
      <c r="AB30" s="108">
        <f t="shared" ref="AB30" si="40">I30</f>
        <v>4.5</v>
      </c>
      <c r="AC30" s="108">
        <f t="shared" ref="AC30" si="41">J30</f>
        <v>4.5</v>
      </c>
      <c r="AD30" s="90"/>
      <c r="AE30" s="92" t="s">
        <v>17</v>
      </c>
      <c r="AF30" s="108">
        <f>N30*M30</f>
        <v>8.6999999999999993</v>
      </c>
      <c r="AG30" s="90"/>
      <c r="AH30" s="90"/>
      <c r="AI30" s="90"/>
      <c r="AJ30" s="90"/>
    </row>
    <row r="31" spans="1:36" s="11" customFormat="1" ht="14.4">
      <c r="A31" s="18"/>
      <c r="B31" s="138" t="s">
        <v>114</v>
      </c>
      <c r="C31" s="162" t="s">
        <v>21</v>
      </c>
      <c r="D31" s="108">
        <v>2</v>
      </c>
      <c r="E31" s="108" t="s">
        <v>57</v>
      </c>
      <c r="F31" s="108" t="s">
        <v>57</v>
      </c>
      <c r="G31" s="145">
        <v>13.35</v>
      </c>
      <c r="H31" s="92"/>
      <c r="I31" s="108">
        <f t="shared" si="0"/>
        <v>13.35</v>
      </c>
      <c r="J31" s="108">
        <f t="shared" si="1"/>
        <v>26.7</v>
      </c>
      <c r="K31" s="90"/>
      <c r="L31" s="162" t="s">
        <v>19</v>
      </c>
      <c r="M31" s="108">
        <v>2</v>
      </c>
      <c r="N31" s="145">
        <v>15.4</v>
      </c>
      <c r="O31" s="145">
        <v>2.7</v>
      </c>
      <c r="P31" s="92"/>
      <c r="Q31" s="92"/>
      <c r="R31" s="108">
        <f t="shared" si="2"/>
        <v>83.160000000000011</v>
      </c>
      <c r="S31" s="110"/>
      <c r="T31" s="108" t="s">
        <v>19</v>
      </c>
      <c r="U31" s="163">
        <f t="shared" ref="U31:U33" si="42">N31*M31</f>
        <v>30.8</v>
      </c>
      <c r="V31" s="90"/>
      <c r="W31" s="162" t="s">
        <v>27</v>
      </c>
      <c r="X31" s="108" t="str">
        <f t="shared" si="3"/>
        <v>cad</v>
      </c>
      <c r="Y31" s="108" t="str">
        <f t="shared" si="4"/>
        <v>cad</v>
      </c>
      <c r="Z31" s="108">
        <f t="shared" si="5"/>
        <v>13.35</v>
      </c>
      <c r="AA31" s="108"/>
      <c r="AB31" s="108">
        <f t="shared" si="7"/>
        <v>13.35</v>
      </c>
      <c r="AC31" s="108">
        <f t="shared" si="8"/>
        <v>26.7</v>
      </c>
      <c r="AD31" s="90"/>
      <c r="AE31" s="92"/>
      <c r="AF31" s="108"/>
      <c r="AG31" s="90"/>
      <c r="AH31" s="90"/>
      <c r="AI31" s="90"/>
      <c r="AJ31" s="90"/>
    </row>
    <row r="32" spans="1:36" s="11" customFormat="1" ht="14.4">
      <c r="A32" s="18"/>
      <c r="B32" s="118"/>
      <c r="C32" s="162"/>
      <c r="D32" s="108"/>
      <c r="E32" s="108"/>
      <c r="F32" s="108"/>
      <c r="G32" s="95"/>
      <c r="H32" s="92"/>
      <c r="I32" s="108"/>
      <c r="J32" s="108"/>
      <c r="K32" s="90"/>
      <c r="L32" s="169" t="s">
        <v>571</v>
      </c>
      <c r="M32" s="168">
        <v>2</v>
      </c>
      <c r="N32" s="169">
        <v>4</v>
      </c>
      <c r="O32" s="169">
        <v>2.7</v>
      </c>
      <c r="P32" s="92"/>
      <c r="Q32" s="92"/>
      <c r="R32" s="108">
        <f t="shared" si="2"/>
        <v>21.6</v>
      </c>
      <c r="S32" s="110"/>
      <c r="T32" s="108"/>
      <c r="U32" s="163"/>
      <c r="V32" s="90"/>
      <c r="W32" s="162"/>
      <c r="X32" s="108"/>
      <c r="Y32" s="108"/>
      <c r="Z32" s="108"/>
      <c r="AA32" s="108"/>
      <c r="AB32" s="108"/>
      <c r="AC32" s="108"/>
      <c r="AD32" s="90"/>
      <c r="AE32" s="92"/>
      <c r="AF32" s="108"/>
      <c r="AG32" s="90"/>
      <c r="AH32" s="90"/>
      <c r="AI32" s="90"/>
      <c r="AJ32" s="90"/>
    </row>
    <row r="33" spans="1:36" s="11" customFormat="1" ht="14.4">
      <c r="A33" s="18"/>
      <c r="B33" s="138" t="s">
        <v>115</v>
      </c>
      <c r="C33" s="162" t="s">
        <v>21</v>
      </c>
      <c r="D33" s="108">
        <v>2</v>
      </c>
      <c r="E33" s="108" t="s">
        <v>57</v>
      </c>
      <c r="F33" s="108" t="s">
        <v>57</v>
      </c>
      <c r="G33" s="145">
        <v>13.6</v>
      </c>
      <c r="H33" s="92"/>
      <c r="I33" s="108">
        <f t="shared" ref="I33" si="43">(G33-H33)</f>
        <v>13.6</v>
      </c>
      <c r="J33" s="108">
        <f t="shared" ref="J33" si="44">I33*D33</f>
        <v>27.2</v>
      </c>
      <c r="K33" s="90"/>
      <c r="L33" s="162" t="s">
        <v>19</v>
      </c>
      <c r="M33" s="108">
        <v>2</v>
      </c>
      <c r="N33" s="145">
        <v>14.8</v>
      </c>
      <c r="O33" s="145">
        <v>2.7</v>
      </c>
      <c r="P33" s="92"/>
      <c r="Q33" s="92"/>
      <c r="R33" s="108">
        <f t="shared" si="2"/>
        <v>79.920000000000016</v>
      </c>
      <c r="S33" s="110"/>
      <c r="T33" s="108" t="s">
        <v>19</v>
      </c>
      <c r="U33" s="163">
        <f t="shared" si="42"/>
        <v>29.6</v>
      </c>
      <c r="V33" s="90"/>
      <c r="W33" s="162" t="s">
        <v>27</v>
      </c>
      <c r="X33" s="108" t="str">
        <f t="shared" ref="X33" si="45">E33</f>
        <v>cad</v>
      </c>
      <c r="Y33" s="108" t="str">
        <f t="shared" ref="Y33" si="46">F33</f>
        <v>cad</v>
      </c>
      <c r="Z33" s="108">
        <f t="shared" ref="Z33" si="47">G33</f>
        <v>13.6</v>
      </c>
      <c r="AA33" s="108"/>
      <c r="AB33" s="108">
        <f t="shared" ref="AB33" si="48">I33</f>
        <v>13.6</v>
      </c>
      <c r="AC33" s="108">
        <f t="shared" ref="AC33" si="49">J33</f>
        <v>27.2</v>
      </c>
      <c r="AD33" s="90"/>
      <c r="AE33" s="92"/>
      <c r="AF33" s="108"/>
      <c r="AG33" s="90"/>
      <c r="AH33" s="90"/>
      <c r="AI33" s="90"/>
      <c r="AJ33" s="90"/>
    </row>
    <row r="34" spans="1:36" s="11" customFormat="1" ht="14.4">
      <c r="A34" s="18"/>
      <c r="B34" s="118"/>
      <c r="C34" s="162"/>
      <c r="D34" s="108"/>
      <c r="E34" s="108"/>
      <c r="F34" s="108"/>
      <c r="G34" s="95"/>
      <c r="H34" s="92"/>
      <c r="I34" s="108"/>
      <c r="J34" s="108"/>
      <c r="K34" s="90"/>
      <c r="L34" s="169" t="s">
        <v>571</v>
      </c>
      <c r="M34" s="168">
        <v>2</v>
      </c>
      <c r="N34" s="169">
        <v>3.4</v>
      </c>
      <c r="O34" s="169">
        <v>2.7</v>
      </c>
      <c r="P34" s="92"/>
      <c r="Q34" s="92"/>
      <c r="R34" s="108">
        <f t="shared" si="2"/>
        <v>18.36</v>
      </c>
      <c r="S34" s="110"/>
      <c r="T34" s="108"/>
      <c r="U34" s="163"/>
      <c r="V34" s="90"/>
      <c r="W34" s="162"/>
      <c r="X34" s="108"/>
      <c r="Y34" s="108"/>
      <c r="Z34" s="108"/>
      <c r="AA34" s="108"/>
      <c r="AB34" s="108"/>
      <c r="AC34" s="108"/>
      <c r="AD34" s="90"/>
      <c r="AE34" s="92"/>
      <c r="AF34" s="108"/>
      <c r="AG34" s="90"/>
      <c r="AH34" s="90"/>
      <c r="AI34" s="90"/>
      <c r="AJ34" s="90"/>
    </row>
    <row r="35" spans="1:36" s="11" customFormat="1" ht="14.4">
      <c r="A35" s="18"/>
      <c r="B35" s="138" t="s">
        <v>624</v>
      </c>
      <c r="C35" s="162" t="s">
        <v>20</v>
      </c>
      <c r="D35" s="108">
        <v>2</v>
      </c>
      <c r="E35" s="108" t="s">
        <v>57</v>
      </c>
      <c r="F35" s="108" t="s">
        <v>57</v>
      </c>
      <c r="G35" s="145">
        <v>2.15</v>
      </c>
      <c r="H35" s="92"/>
      <c r="I35" s="108">
        <f t="shared" si="0"/>
        <v>2.15</v>
      </c>
      <c r="J35" s="108">
        <f t="shared" si="1"/>
        <v>4.3</v>
      </c>
      <c r="K35" s="90"/>
      <c r="L35" s="162" t="s">
        <v>18</v>
      </c>
      <c r="M35" s="108">
        <v>2</v>
      </c>
      <c r="N35" s="145">
        <v>5.9</v>
      </c>
      <c r="O35" s="123">
        <v>2.7</v>
      </c>
      <c r="P35" s="92"/>
      <c r="Q35" s="92"/>
      <c r="R35" s="108">
        <f t="shared" si="2"/>
        <v>31.860000000000003</v>
      </c>
      <c r="S35" s="110"/>
      <c r="T35" s="108" t="s">
        <v>18</v>
      </c>
      <c r="U35" s="163">
        <f t="shared" ref="U35" si="50">N35*M35</f>
        <v>11.8</v>
      </c>
      <c r="V35" s="90"/>
      <c r="W35" s="162" t="s">
        <v>18</v>
      </c>
      <c r="X35" s="108" t="str">
        <f t="shared" si="3"/>
        <v>cad</v>
      </c>
      <c r="Y35" s="108" t="str">
        <f t="shared" si="4"/>
        <v>cad</v>
      </c>
      <c r="Z35" s="108">
        <f t="shared" si="5"/>
        <v>2.15</v>
      </c>
      <c r="AA35" s="108"/>
      <c r="AB35" s="108">
        <f t="shared" si="7"/>
        <v>2.15</v>
      </c>
      <c r="AC35" s="108">
        <f t="shared" si="8"/>
        <v>4.3</v>
      </c>
      <c r="AD35" s="90"/>
      <c r="AE35" s="92" t="s">
        <v>17</v>
      </c>
      <c r="AF35" s="108">
        <f>N35*M35</f>
        <v>11.8</v>
      </c>
      <c r="AG35" s="90"/>
      <c r="AH35" s="90"/>
      <c r="AI35" s="90"/>
      <c r="AJ35" s="90"/>
    </row>
    <row r="36" spans="1:36" s="11" customFormat="1" ht="14.4">
      <c r="A36" s="18"/>
      <c r="B36" s="138" t="s">
        <v>116</v>
      </c>
      <c r="C36" s="162" t="s">
        <v>28</v>
      </c>
      <c r="D36" s="108">
        <v>2</v>
      </c>
      <c r="E36" s="108" t="s">
        <v>57</v>
      </c>
      <c r="F36" s="108" t="s">
        <v>57</v>
      </c>
      <c r="G36" s="95">
        <v>4.5199999999999996</v>
      </c>
      <c r="H36" s="92"/>
      <c r="I36" s="108">
        <f t="shared" si="0"/>
        <v>4.5199999999999996</v>
      </c>
      <c r="J36" s="108">
        <f t="shared" si="1"/>
        <v>9.0399999999999991</v>
      </c>
      <c r="K36" s="90"/>
      <c r="L36" s="162" t="s">
        <v>21</v>
      </c>
      <c r="M36" s="108">
        <v>2</v>
      </c>
      <c r="N36" s="105">
        <v>8.51</v>
      </c>
      <c r="O36" s="169">
        <v>2.7</v>
      </c>
      <c r="P36" s="92"/>
      <c r="Q36" s="92"/>
      <c r="R36" s="108">
        <f t="shared" si="2"/>
        <v>45.954000000000001</v>
      </c>
      <c r="S36" s="110"/>
      <c r="T36" s="108" t="s">
        <v>22</v>
      </c>
      <c r="U36" s="163">
        <f t="shared" ref="U36" si="51">N36*M36</f>
        <v>17.02</v>
      </c>
      <c r="V36" s="90"/>
      <c r="W36" s="162" t="s">
        <v>27</v>
      </c>
      <c r="X36" s="108" t="str">
        <f t="shared" si="3"/>
        <v>cad</v>
      </c>
      <c r="Y36" s="108" t="str">
        <f t="shared" si="4"/>
        <v>cad</v>
      </c>
      <c r="Z36" s="108">
        <f t="shared" si="5"/>
        <v>4.5199999999999996</v>
      </c>
      <c r="AA36" s="108">
        <f t="shared" si="6"/>
        <v>0</v>
      </c>
      <c r="AB36" s="108">
        <f t="shared" si="7"/>
        <v>4.5199999999999996</v>
      </c>
      <c r="AC36" s="108">
        <f t="shared" si="8"/>
        <v>9.0399999999999991</v>
      </c>
      <c r="AD36" s="90"/>
      <c r="AE36" s="92"/>
      <c r="AF36" s="108"/>
      <c r="AG36" s="90"/>
      <c r="AH36" s="90"/>
      <c r="AI36" s="90"/>
      <c r="AJ36" s="90"/>
    </row>
    <row r="37" spans="1:36" s="11" customFormat="1" ht="14.4">
      <c r="A37" s="18"/>
      <c r="B37" s="201" t="s">
        <v>116</v>
      </c>
      <c r="C37" s="162" t="s">
        <v>28</v>
      </c>
      <c r="D37" s="108">
        <v>2</v>
      </c>
      <c r="E37" s="108" t="s">
        <v>57</v>
      </c>
      <c r="F37" s="108" t="s">
        <v>57</v>
      </c>
      <c r="G37" s="168">
        <v>4.32</v>
      </c>
      <c r="H37" s="92"/>
      <c r="I37" s="108">
        <f t="shared" si="0"/>
        <v>4.32</v>
      </c>
      <c r="J37" s="108">
        <f t="shared" si="1"/>
        <v>8.64</v>
      </c>
      <c r="K37" s="90"/>
      <c r="L37" s="162" t="s">
        <v>21</v>
      </c>
      <c r="M37" s="108">
        <v>2</v>
      </c>
      <c r="N37" s="264">
        <v>8.33</v>
      </c>
      <c r="O37" s="169">
        <v>2.7</v>
      </c>
      <c r="P37" s="92"/>
      <c r="Q37" s="92"/>
      <c r="R37" s="108">
        <f t="shared" si="2"/>
        <v>44.982000000000006</v>
      </c>
      <c r="S37" s="110"/>
      <c r="T37" s="108" t="s">
        <v>22</v>
      </c>
      <c r="U37" s="163">
        <f t="shared" ref="U37" si="52">N37*M37</f>
        <v>16.66</v>
      </c>
      <c r="V37" s="90"/>
      <c r="W37" s="162" t="s">
        <v>27</v>
      </c>
      <c r="X37" s="108" t="str">
        <f t="shared" si="3"/>
        <v>cad</v>
      </c>
      <c r="Y37" s="108" t="str">
        <f t="shared" si="4"/>
        <v>cad</v>
      </c>
      <c r="Z37" s="108">
        <f t="shared" si="5"/>
        <v>4.32</v>
      </c>
      <c r="AA37" s="108">
        <f t="shared" si="6"/>
        <v>0</v>
      </c>
      <c r="AB37" s="108">
        <f t="shared" si="7"/>
        <v>4.32</v>
      </c>
      <c r="AC37" s="108">
        <f t="shared" si="8"/>
        <v>8.64</v>
      </c>
      <c r="AD37" s="90"/>
      <c r="AE37" s="92"/>
      <c r="AF37" s="108"/>
      <c r="AG37" s="90"/>
      <c r="AH37" s="90"/>
      <c r="AI37" s="90"/>
      <c r="AJ37" s="90"/>
    </row>
    <row r="38" spans="1:36" s="11" customFormat="1" ht="14.4">
      <c r="A38" s="18"/>
      <c r="B38" s="138" t="s">
        <v>622</v>
      </c>
      <c r="C38" s="162" t="s">
        <v>21</v>
      </c>
      <c r="D38" s="108">
        <v>2</v>
      </c>
      <c r="E38" s="108" t="s">
        <v>57</v>
      </c>
      <c r="F38" s="108" t="s">
        <v>57</v>
      </c>
      <c r="G38" s="145">
        <v>14.47</v>
      </c>
      <c r="H38" s="92"/>
      <c r="I38" s="108">
        <f t="shared" si="0"/>
        <v>14.47</v>
      </c>
      <c r="J38" s="108">
        <f t="shared" si="1"/>
        <v>28.94</v>
      </c>
      <c r="K38" s="90"/>
      <c r="L38" s="162" t="s">
        <v>19</v>
      </c>
      <c r="M38" s="108">
        <v>2</v>
      </c>
      <c r="N38" s="267">
        <v>16.329999999999998</v>
      </c>
      <c r="O38" s="145">
        <v>2.7</v>
      </c>
      <c r="P38" s="92"/>
      <c r="Q38" s="92"/>
      <c r="R38" s="108">
        <f t="shared" si="2"/>
        <v>88.182000000000002</v>
      </c>
      <c r="S38" s="110"/>
      <c r="T38" s="108" t="s">
        <v>19</v>
      </c>
      <c r="U38" s="163">
        <f t="shared" ref="U38:U44" si="53">N38*M38</f>
        <v>32.659999999999997</v>
      </c>
      <c r="V38" s="90"/>
      <c r="W38" s="162" t="s">
        <v>27</v>
      </c>
      <c r="X38" s="108" t="str">
        <f t="shared" si="3"/>
        <v>cad</v>
      </c>
      <c r="Y38" s="108" t="str">
        <f t="shared" si="4"/>
        <v>cad</v>
      </c>
      <c r="Z38" s="108">
        <f t="shared" si="5"/>
        <v>14.47</v>
      </c>
      <c r="AA38" s="108"/>
      <c r="AB38" s="108">
        <f t="shared" si="7"/>
        <v>14.47</v>
      </c>
      <c r="AC38" s="108">
        <f t="shared" si="8"/>
        <v>28.94</v>
      </c>
      <c r="AD38" s="90"/>
      <c r="AE38" s="92"/>
      <c r="AF38" s="108"/>
      <c r="AG38" s="90"/>
      <c r="AH38" s="90"/>
      <c r="AI38" s="90"/>
      <c r="AJ38" s="90"/>
    </row>
    <row r="39" spans="1:36" s="11" customFormat="1" ht="14.4">
      <c r="A39" s="18"/>
      <c r="B39" s="118"/>
      <c r="C39" s="162"/>
      <c r="D39" s="108"/>
      <c r="E39" s="108"/>
      <c r="F39" s="108"/>
      <c r="G39" s="95"/>
      <c r="H39" s="92"/>
      <c r="I39" s="108"/>
      <c r="J39" s="108"/>
      <c r="K39" s="90"/>
      <c r="L39" s="169" t="s">
        <v>571</v>
      </c>
      <c r="M39" s="168">
        <v>2</v>
      </c>
      <c r="N39" s="264">
        <v>3.82</v>
      </c>
      <c r="O39" s="168">
        <v>2.7</v>
      </c>
      <c r="P39" s="92"/>
      <c r="Q39" s="92"/>
      <c r="R39" s="108">
        <f t="shared" si="2"/>
        <v>20.628</v>
      </c>
      <c r="S39" s="110"/>
      <c r="T39" s="108"/>
      <c r="U39" s="163"/>
      <c r="V39" s="90"/>
      <c r="W39" s="162"/>
      <c r="X39" s="108"/>
      <c r="Y39" s="108"/>
      <c r="Z39" s="108"/>
      <c r="AA39" s="108"/>
      <c r="AB39" s="108"/>
      <c r="AC39" s="108"/>
      <c r="AD39" s="90"/>
      <c r="AE39" s="92"/>
      <c r="AF39" s="108"/>
      <c r="AG39" s="90"/>
      <c r="AH39" s="90"/>
      <c r="AI39" s="90"/>
      <c r="AJ39" s="90"/>
    </row>
    <row r="40" spans="1:36" s="11" customFormat="1" ht="14.4">
      <c r="A40" s="18"/>
      <c r="B40" s="138" t="s">
        <v>623</v>
      </c>
      <c r="C40" s="162" t="s">
        <v>21</v>
      </c>
      <c r="D40" s="108">
        <v>2</v>
      </c>
      <c r="E40" s="108" t="s">
        <v>57</v>
      </c>
      <c r="F40" s="108" t="s">
        <v>57</v>
      </c>
      <c r="G40" s="145">
        <v>13.16</v>
      </c>
      <c r="H40" s="92"/>
      <c r="I40" s="108">
        <f t="shared" ref="I40" si="54">(G40-H40)</f>
        <v>13.16</v>
      </c>
      <c r="J40" s="108">
        <f t="shared" ref="J40" si="55">I40*D40</f>
        <v>26.32</v>
      </c>
      <c r="K40" s="90"/>
      <c r="L40" s="162" t="s">
        <v>19</v>
      </c>
      <c r="M40" s="108">
        <v>2</v>
      </c>
      <c r="N40" s="267">
        <v>14.53</v>
      </c>
      <c r="O40" s="145">
        <v>2.7</v>
      </c>
      <c r="P40" s="92"/>
      <c r="Q40" s="92"/>
      <c r="R40" s="108">
        <f t="shared" si="2"/>
        <v>78.462000000000003</v>
      </c>
      <c r="S40" s="110"/>
      <c r="T40" s="108" t="s">
        <v>19</v>
      </c>
      <c r="U40" s="163">
        <f t="shared" si="53"/>
        <v>29.06</v>
      </c>
      <c r="V40" s="90"/>
      <c r="W40" s="162" t="s">
        <v>27</v>
      </c>
      <c r="X40" s="108" t="str">
        <f t="shared" ref="X40" si="56">E40</f>
        <v>cad</v>
      </c>
      <c r="Y40" s="108" t="str">
        <f t="shared" ref="Y40" si="57">F40</f>
        <v>cad</v>
      </c>
      <c r="Z40" s="108">
        <f t="shared" ref="Z40" si="58">G40</f>
        <v>13.16</v>
      </c>
      <c r="AA40" s="108"/>
      <c r="AB40" s="108">
        <f t="shared" ref="AB40" si="59">I40</f>
        <v>13.16</v>
      </c>
      <c r="AC40" s="108">
        <f t="shared" ref="AC40" si="60">J40</f>
        <v>26.32</v>
      </c>
      <c r="AD40" s="90"/>
      <c r="AE40" s="92"/>
      <c r="AF40" s="108"/>
      <c r="AG40" s="90"/>
      <c r="AH40" s="90"/>
      <c r="AI40" s="90"/>
      <c r="AJ40" s="90"/>
    </row>
    <row r="41" spans="1:36" s="11" customFormat="1" ht="14.4">
      <c r="A41" s="18"/>
      <c r="B41" s="118"/>
      <c r="C41" s="162"/>
      <c r="D41" s="108"/>
      <c r="E41" s="108"/>
      <c r="F41" s="108"/>
      <c r="G41" s="95"/>
      <c r="H41" s="92"/>
      <c r="I41" s="108"/>
      <c r="J41" s="108"/>
      <c r="K41" s="90"/>
      <c r="L41" s="169" t="s">
        <v>571</v>
      </c>
      <c r="M41" s="168">
        <v>2</v>
      </c>
      <c r="N41" s="264">
        <v>3.82</v>
      </c>
      <c r="O41" s="168">
        <v>2.7</v>
      </c>
      <c r="P41" s="92"/>
      <c r="Q41" s="92"/>
      <c r="R41" s="108">
        <f t="shared" si="2"/>
        <v>20.628</v>
      </c>
      <c r="S41" s="110"/>
      <c r="T41" s="108"/>
      <c r="U41" s="163"/>
      <c r="V41" s="90"/>
      <c r="W41" s="162"/>
      <c r="X41" s="108"/>
      <c r="Y41" s="108"/>
      <c r="Z41" s="108"/>
      <c r="AA41" s="108"/>
      <c r="AB41" s="108"/>
      <c r="AC41" s="108"/>
      <c r="AD41" s="90"/>
      <c r="AE41" s="92"/>
      <c r="AF41" s="108"/>
      <c r="AG41" s="90"/>
      <c r="AH41" s="90"/>
      <c r="AI41" s="90"/>
      <c r="AJ41" s="90"/>
    </row>
    <row r="42" spans="1:36" s="11" customFormat="1" ht="14.4">
      <c r="A42" s="18"/>
      <c r="B42" s="138" t="s">
        <v>117</v>
      </c>
      <c r="C42" s="162" t="s">
        <v>20</v>
      </c>
      <c r="D42" s="108">
        <v>1</v>
      </c>
      <c r="E42" s="108" t="s">
        <v>57</v>
      </c>
      <c r="F42" s="108" t="s">
        <v>57</v>
      </c>
      <c r="G42" s="145">
        <v>4.12</v>
      </c>
      <c r="H42" s="92"/>
      <c r="I42" s="108">
        <f t="shared" si="0"/>
        <v>4.12</v>
      </c>
      <c r="J42" s="108">
        <f t="shared" si="1"/>
        <v>4.12</v>
      </c>
      <c r="K42" s="90"/>
      <c r="L42" s="162" t="s">
        <v>18</v>
      </c>
      <c r="M42" s="108">
        <v>1</v>
      </c>
      <c r="N42" s="145">
        <v>8.3000000000000007</v>
      </c>
      <c r="O42" s="123">
        <v>2.7</v>
      </c>
      <c r="P42" s="92"/>
      <c r="Q42" s="92"/>
      <c r="R42" s="108">
        <f t="shared" si="2"/>
        <v>22.410000000000004</v>
      </c>
      <c r="S42" s="110"/>
      <c r="T42" s="108" t="s">
        <v>18</v>
      </c>
      <c r="U42" s="163">
        <f t="shared" si="53"/>
        <v>8.3000000000000007</v>
      </c>
      <c r="V42" s="90"/>
      <c r="W42" s="162" t="s">
        <v>18</v>
      </c>
      <c r="X42" s="108" t="str">
        <f t="shared" si="3"/>
        <v>cad</v>
      </c>
      <c r="Y42" s="108" t="str">
        <f t="shared" si="4"/>
        <v>cad</v>
      </c>
      <c r="Z42" s="108">
        <f t="shared" si="5"/>
        <v>4.12</v>
      </c>
      <c r="AA42" s="108">
        <f t="shared" si="6"/>
        <v>0</v>
      </c>
      <c r="AB42" s="108">
        <f t="shared" si="7"/>
        <v>4.12</v>
      </c>
      <c r="AC42" s="108">
        <f t="shared" si="8"/>
        <v>4.12</v>
      </c>
      <c r="AD42" s="90"/>
      <c r="AE42" s="92" t="s">
        <v>357</v>
      </c>
      <c r="AF42" s="108">
        <f t="shared" ref="AF42:AF46" si="61">N42*M42</f>
        <v>8.3000000000000007</v>
      </c>
      <c r="AG42" s="90"/>
      <c r="AH42" s="90"/>
      <c r="AI42" s="90"/>
      <c r="AJ42" s="90"/>
    </row>
    <row r="43" spans="1:36" s="11" customFormat="1" ht="14.4">
      <c r="A43" s="18"/>
      <c r="B43" s="201" t="s">
        <v>117</v>
      </c>
      <c r="C43" s="162" t="s">
        <v>20</v>
      </c>
      <c r="D43" s="108">
        <v>1</v>
      </c>
      <c r="E43" s="108" t="s">
        <v>57</v>
      </c>
      <c r="F43" s="108" t="s">
        <v>57</v>
      </c>
      <c r="G43" s="169">
        <v>4.51</v>
      </c>
      <c r="H43" s="92"/>
      <c r="I43" s="108">
        <f t="shared" ref="I43" si="62">(G43-H43)</f>
        <v>4.51</v>
      </c>
      <c r="J43" s="108">
        <f t="shared" ref="J43" si="63">I43*D43</f>
        <v>4.51</v>
      </c>
      <c r="K43" s="90"/>
      <c r="L43" s="162" t="s">
        <v>18</v>
      </c>
      <c r="M43" s="108">
        <v>1</v>
      </c>
      <c r="N43" s="169">
        <v>8.73</v>
      </c>
      <c r="O43" s="168">
        <v>2.7</v>
      </c>
      <c r="P43" s="92"/>
      <c r="Q43" s="92"/>
      <c r="R43" s="108">
        <f t="shared" si="2"/>
        <v>23.571000000000002</v>
      </c>
      <c r="S43" s="110"/>
      <c r="T43" s="108" t="s">
        <v>18</v>
      </c>
      <c r="U43" s="163">
        <f t="shared" si="53"/>
        <v>8.73</v>
      </c>
      <c r="V43" s="90"/>
      <c r="W43" s="162" t="s">
        <v>18</v>
      </c>
      <c r="X43" s="108"/>
      <c r="Y43" s="108"/>
      <c r="Z43" s="108">
        <f t="shared" ref="Z43" si="64">G43</f>
        <v>4.51</v>
      </c>
      <c r="AA43" s="108">
        <f t="shared" ref="AA43" si="65">H43</f>
        <v>0</v>
      </c>
      <c r="AB43" s="108">
        <f t="shared" ref="AB43" si="66">I43</f>
        <v>4.51</v>
      </c>
      <c r="AC43" s="108">
        <f t="shared" ref="AC43" si="67">J43</f>
        <v>4.51</v>
      </c>
      <c r="AD43" s="90"/>
      <c r="AE43" s="92" t="s">
        <v>17</v>
      </c>
      <c r="AF43" s="108">
        <f t="shared" si="61"/>
        <v>8.73</v>
      </c>
      <c r="AG43" s="90"/>
      <c r="AH43" s="90"/>
      <c r="AI43" s="90"/>
      <c r="AJ43" s="90"/>
    </row>
    <row r="44" spans="1:36" s="11" customFormat="1" ht="14.4">
      <c r="A44" s="18"/>
      <c r="B44" s="138" t="s">
        <v>118</v>
      </c>
      <c r="C44" s="162" t="s">
        <v>20</v>
      </c>
      <c r="D44" s="108">
        <v>2</v>
      </c>
      <c r="E44" s="108" t="s">
        <v>57</v>
      </c>
      <c r="F44" s="108" t="s">
        <v>57</v>
      </c>
      <c r="G44" s="145">
        <v>3.76</v>
      </c>
      <c r="H44" s="92"/>
      <c r="I44" s="108">
        <f t="shared" si="0"/>
        <v>3.76</v>
      </c>
      <c r="J44" s="108">
        <f t="shared" si="1"/>
        <v>7.52</v>
      </c>
      <c r="K44" s="90"/>
      <c r="L44" s="162" t="s">
        <v>18</v>
      </c>
      <c r="M44" s="108">
        <v>2</v>
      </c>
      <c r="N44" s="162">
        <v>8.1</v>
      </c>
      <c r="O44" s="123">
        <v>2.7</v>
      </c>
      <c r="P44" s="92"/>
      <c r="Q44" s="92"/>
      <c r="R44" s="108">
        <f t="shared" si="2"/>
        <v>43.74</v>
      </c>
      <c r="S44" s="110"/>
      <c r="T44" s="108" t="s">
        <v>18</v>
      </c>
      <c r="U44" s="163">
        <f t="shared" si="53"/>
        <v>16.2</v>
      </c>
      <c r="V44" s="90"/>
      <c r="W44" s="162" t="s">
        <v>18</v>
      </c>
      <c r="X44" s="108" t="str">
        <f t="shared" si="3"/>
        <v>cad</v>
      </c>
      <c r="Y44" s="108" t="str">
        <f t="shared" si="4"/>
        <v>cad</v>
      </c>
      <c r="Z44" s="108">
        <f t="shared" si="5"/>
        <v>3.76</v>
      </c>
      <c r="AA44" s="108">
        <f t="shared" si="6"/>
        <v>0</v>
      </c>
      <c r="AB44" s="108">
        <f t="shared" si="7"/>
        <v>3.76</v>
      </c>
      <c r="AC44" s="108">
        <f t="shared" si="8"/>
        <v>7.52</v>
      </c>
      <c r="AD44" s="90"/>
      <c r="AE44" s="92" t="s">
        <v>357</v>
      </c>
      <c r="AF44" s="108">
        <f t="shared" si="61"/>
        <v>16.2</v>
      </c>
      <c r="AG44" s="90"/>
      <c r="AH44" s="90"/>
      <c r="AI44" s="90"/>
      <c r="AJ44" s="90"/>
    </row>
    <row r="45" spans="1:36" s="11" customFormat="1" ht="14.4">
      <c r="A45" s="18"/>
      <c r="B45" s="138" t="s">
        <v>119</v>
      </c>
      <c r="C45" s="162" t="s">
        <v>120</v>
      </c>
      <c r="D45" s="108">
        <v>1</v>
      </c>
      <c r="E45" s="108" t="s">
        <v>57</v>
      </c>
      <c r="F45" s="108" t="s">
        <v>57</v>
      </c>
      <c r="G45" s="162">
        <v>8.0399999999999991</v>
      </c>
      <c r="H45" s="92"/>
      <c r="I45" s="108">
        <f t="shared" si="0"/>
        <v>8.0399999999999991</v>
      </c>
      <c r="J45" s="108">
        <f t="shared" si="1"/>
        <v>8.0399999999999991</v>
      </c>
      <c r="K45" s="90"/>
      <c r="L45" s="162" t="s">
        <v>22</v>
      </c>
      <c r="M45" s="108">
        <v>1</v>
      </c>
      <c r="N45" s="162">
        <v>11.5</v>
      </c>
      <c r="O45" s="123">
        <v>2.7</v>
      </c>
      <c r="P45" s="92"/>
      <c r="Q45" s="92"/>
      <c r="R45" s="108">
        <f t="shared" si="2"/>
        <v>31.05</v>
      </c>
      <c r="S45" s="110"/>
      <c r="T45" s="108"/>
      <c r="U45" s="108"/>
      <c r="V45" s="90"/>
      <c r="W45" s="162" t="s">
        <v>18</v>
      </c>
      <c r="X45" s="108" t="str">
        <f t="shared" si="3"/>
        <v>cad</v>
      </c>
      <c r="Y45" s="108" t="str">
        <f t="shared" si="4"/>
        <v>cad</v>
      </c>
      <c r="Z45" s="108">
        <f t="shared" si="5"/>
        <v>8.0399999999999991</v>
      </c>
      <c r="AA45" s="108">
        <f t="shared" si="6"/>
        <v>0</v>
      </c>
      <c r="AB45" s="108">
        <f t="shared" si="7"/>
        <v>8.0399999999999991</v>
      </c>
      <c r="AC45" s="108">
        <f t="shared" si="8"/>
        <v>8.0399999999999991</v>
      </c>
      <c r="AD45" s="90"/>
      <c r="AE45" s="92" t="s">
        <v>357</v>
      </c>
      <c r="AF45" s="108">
        <f t="shared" si="61"/>
        <v>11.5</v>
      </c>
      <c r="AG45" s="90"/>
      <c r="AH45" s="90"/>
      <c r="AI45" s="90"/>
      <c r="AJ45" s="90"/>
    </row>
    <row r="46" spans="1:36" s="11" customFormat="1" ht="14.4">
      <c r="A46" s="18"/>
      <c r="B46" s="138" t="s">
        <v>323</v>
      </c>
      <c r="C46" s="162" t="s">
        <v>28</v>
      </c>
      <c r="D46" s="108">
        <v>1</v>
      </c>
      <c r="E46" s="108" t="s">
        <v>57</v>
      </c>
      <c r="F46" s="108" t="s">
        <v>57</v>
      </c>
      <c r="G46" s="145">
        <v>8.89</v>
      </c>
      <c r="H46" s="92"/>
      <c r="I46" s="108">
        <f t="shared" si="0"/>
        <v>8.89</v>
      </c>
      <c r="J46" s="108">
        <f t="shared" si="1"/>
        <v>8.89</v>
      </c>
      <c r="K46" s="90"/>
      <c r="L46" s="162" t="s">
        <v>21</v>
      </c>
      <c r="M46" s="108">
        <v>1</v>
      </c>
      <c r="N46" s="145">
        <f>17.23-1.2</f>
        <v>16.03</v>
      </c>
      <c r="O46" s="108">
        <v>2.8</v>
      </c>
      <c r="P46" s="92"/>
      <c r="Q46" s="92"/>
      <c r="R46" s="108">
        <f t="shared" si="2"/>
        <v>44.884</v>
      </c>
      <c r="S46" s="110"/>
      <c r="T46" s="108" t="s">
        <v>22</v>
      </c>
      <c r="U46" s="92">
        <f>N46*M46</f>
        <v>16.03</v>
      </c>
      <c r="V46" s="90"/>
      <c r="W46" s="162" t="s">
        <v>17</v>
      </c>
      <c r="X46" s="108" t="str">
        <f t="shared" si="3"/>
        <v>cad</v>
      </c>
      <c r="Y46" s="108" t="str">
        <f t="shared" si="4"/>
        <v>cad</v>
      </c>
      <c r="Z46" s="108">
        <f t="shared" si="5"/>
        <v>8.89</v>
      </c>
      <c r="AA46" s="108">
        <f t="shared" si="6"/>
        <v>0</v>
      </c>
      <c r="AB46" s="108">
        <f t="shared" si="7"/>
        <v>8.89</v>
      </c>
      <c r="AC46" s="108">
        <f t="shared" si="8"/>
        <v>8.89</v>
      </c>
      <c r="AD46" s="90"/>
      <c r="AE46" s="92" t="s">
        <v>17</v>
      </c>
      <c r="AF46" s="108">
        <f t="shared" si="61"/>
        <v>16.03</v>
      </c>
      <c r="AG46" s="90"/>
      <c r="AH46" s="90"/>
      <c r="AI46" s="90"/>
      <c r="AJ46" s="90"/>
    </row>
    <row r="47" spans="1:36" s="11" customFormat="1" ht="14.4">
      <c r="A47" s="18"/>
      <c r="B47" s="118"/>
      <c r="C47" s="162"/>
      <c r="D47" s="108"/>
      <c r="E47" s="108"/>
      <c r="F47" s="108"/>
      <c r="G47" s="166"/>
      <c r="H47" s="92"/>
      <c r="I47" s="108"/>
      <c r="J47" s="108"/>
      <c r="K47" s="90"/>
      <c r="L47" s="162"/>
      <c r="M47" s="108"/>
      <c r="N47" s="162"/>
      <c r="O47" s="108"/>
      <c r="P47" s="92"/>
      <c r="Q47" s="92"/>
      <c r="R47" s="108"/>
      <c r="S47" s="110"/>
      <c r="T47" s="108"/>
      <c r="U47" s="92"/>
      <c r="V47" s="90"/>
      <c r="W47" s="162" t="s">
        <v>19</v>
      </c>
      <c r="X47" s="141">
        <f t="shared" si="3"/>
        <v>0</v>
      </c>
      <c r="Y47" s="141">
        <f t="shared" si="4"/>
        <v>0</v>
      </c>
      <c r="Z47" s="141">
        <v>3.16</v>
      </c>
      <c r="AA47" s="95">
        <f t="shared" si="6"/>
        <v>0</v>
      </c>
      <c r="AB47" s="141">
        <f>Z47</f>
        <v>3.16</v>
      </c>
      <c r="AC47" s="141">
        <f>Z47</f>
        <v>3.16</v>
      </c>
      <c r="AD47" s="90"/>
      <c r="AE47" s="92"/>
      <c r="AF47" s="108"/>
      <c r="AG47" s="90"/>
      <c r="AH47" s="90"/>
      <c r="AI47" s="90"/>
      <c r="AJ47" s="90"/>
    </row>
    <row r="48" spans="1:36" s="11" customFormat="1" ht="14.4">
      <c r="A48" s="18"/>
      <c r="B48" s="92" t="s">
        <v>121</v>
      </c>
      <c r="C48" s="108"/>
      <c r="D48" s="108"/>
      <c r="E48" s="108"/>
      <c r="F48" s="108"/>
      <c r="G48" s="108"/>
      <c r="H48" s="92"/>
      <c r="I48" s="108"/>
      <c r="J48" s="108"/>
      <c r="K48" s="90"/>
      <c r="L48" s="108"/>
      <c r="M48" s="108"/>
      <c r="N48" s="108"/>
      <c r="O48" s="108"/>
      <c r="P48" s="92"/>
      <c r="Q48" s="92"/>
      <c r="R48" s="108"/>
      <c r="S48" s="110"/>
      <c r="T48" s="108"/>
      <c r="U48" s="108"/>
      <c r="V48" s="90"/>
      <c r="W48" s="108"/>
      <c r="X48" s="108"/>
      <c r="Y48" s="108"/>
      <c r="Z48" s="108"/>
      <c r="AA48" s="108"/>
      <c r="AB48" s="108"/>
      <c r="AC48" s="108"/>
      <c r="AD48" s="90"/>
      <c r="AE48" s="92"/>
      <c r="AF48" s="108"/>
      <c r="AG48" s="90"/>
      <c r="AH48" s="90"/>
      <c r="AI48" s="90"/>
      <c r="AJ48" s="90"/>
    </row>
    <row r="49" spans="1:36" s="11" customFormat="1" ht="14.4">
      <c r="A49" s="18"/>
      <c r="B49" s="92" t="s">
        <v>122</v>
      </c>
      <c r="C49" s="108"/>
      <c r="D49" s="108"/>
      <c r="E49" s="108"/>
      <c r="F49" s="108"/>
      <c r="G49" s="108"/>
      <c r="H49" s="92"/>
      <c r="I49" s="108"/>
      <c r="J49" s="108"/>
      <c r="K49" s="90"/>
      <c r="L49" s="108"/>
      <c r="M49" s="108"/>
      <c r="N49" s="108"/>
      <c r="O49" s="108"/>
      <c r="P49" s="92"/>
      <c r="Q49" s="92"/>
      <c r="R49" s="108"/>
      <c r="S49" s="110"/>
      <c r="T49" s="108"/>
      <c r="U49" s="108"/>
      <c r="V49" s="90"/>
      <c r="W49" s="108"/>
      <c r="X49" s="108"/>
      <c r="Y49" s="108"/>
      <c r="Z49" s="108"/>
      <c r="AA49" s="108"/>
      <c r="AB49" s="108"/>
      <c r="AC49" s="108"/>
      <c r="AD49" s="90"/>
      <c r="AE49" s="92"/>
      <c r="AF49" s="108"/>
      <c r="AG49" s="90"/>
      <c r="AH49" s="90"/>
      <c r="AI49" s="90"/>
      <c r="AJ49" s="90"/>
    </row>
    <row r="50" spans="1:36" s="11" customFormat="1" ht="14.4">
      <c r="A50" s="18"/>
      <c r="B50" s="138" t="s">
        <v>73</v>
      </c>
      <c r="C50" s="162" t="s">
        <v>17</v>
      </c>
      <c r="D50" s="108">
        <v>1</v>
      </c>
      <c r="E50" s="108" t="s">
        <v>57</v>
      </c>
      <c r="F50" s="108" t="s">
        <v>57</v>
      </c>
      <c r="G50" s="162">
        <v>15.88</v>
      </c>
      <c r="H50" s="92"/>
      <c r="I50" s="108">
        <f t="shared" si="0"/>
        <v>15.88</v>
      </c>
      <c r="J50" s="108">
        <f t="shared" si="1"/>
        <v>15.88</v>
      </c>
      <c r="K50" s="90"/>
      <c r="L50" s="162" t="s">
        <v>17</v>
      </c>
      <c r="M50" s="108">
        <v>1</v>
      </c>
      <c r="N50" s="145">
        <v>21.9</v>
      </c>
      <c r="O50" s="95">
        <v>2.7</v>
      </c>
      <c r="P50" s="92"/>
      <c r="Q50" s="92"/>
      <c r="R50" s="108">
        <f t="shared" si="2"/>
        <v>59.13</v>
      </c>
      <c r="S50" s="110"/>
      <c r="T50" s="162" t="s">
        <v>357</v>
      </c>
      <c r="U50" s="92">
        <f>N50*M50</f>
        <v>21.9</v>
      </c>
      <c r="V50" s="90"/>
      <c r="W50" s="162" t="s">
        <v>24</v>
      </c>
      <c r="X50" s="108" t="str">
        <f t="shared" si="3"/>
        <v>cad</v>
      </c>
      <c r="Y50" s="108" t="str">
        <f t="shared" si="4"/>
        <v>cad</v>
      </c>
      <c r="Z50" s="108">
        <f t="shared" si="5"/>
        <v>15.88</v>
      </c>
      <c r="AA50" s="108">
        <f t="shared" si="6"/>
        <v>0</v>
      </c>
      <c r="AB50" s="108">
        <f t="shared" si="7"/>
        <v>15.88</v>
      </c>
      <c r="AC50" s="108">
        <f t="shared" si="8"/>
        <v>15.88</v>
      </c>
      <c r="AD50" s="90"/>
      <c r="AE50" s="92"/>
      <c r="AF50" s="108"/>
      <c r="AG50" s="90"/>
      <c r="AH50" s="90"/>
      <c r="AI50" s="90"/>
      <c r="AJ50" s="90"/>
    </row>
    <row r="51" spans="1:36" s="11" customFormat="1" ht="14.4">
      <c r="A51" s="18"/>
      <c r="B51" s="138" t="s">
        <v>123</v>
      </c>
      <c r="C51" s="162" t="s">
        <v>120</v>
      </c>
      <c r="D51" s="108">
        <v>1</v>
      </c>
      <c r="E51" s="108" t="s">
        <v>57</v>
      </c>
      <c r="F51" s="108" t="s">
        <v>57</v>
      </c>
      <c r="G51" s="162">
        <v>3.24</v>
      </c>
      <c r="H51" s="92"/>
      <c r="I51" s="108">
        <f t="shared" ref="I51:I92" si="68">(G51-H51)</f>
        <v>3.24</v>
      </c>
      <c r="J51" s="108">
        <f t="shared" ref="J51:J92" si="69">I51*D51</f>
        <v>3.24</v>
      </c>
      <c r="K51" s="90"/>
      <c r="L51" s="162" t="s">
        <v>22</v>
      </c>
      <c r="M51" s="108">
        <v>1</v>
      </c>
      <c r="N51" s="162">
        <v>7.35</v>
      </c>
      <c r="O51" s="123">
        <v>2.7</v>
      </c>
      <c r="P51" s="92"/>
      <c r="Q51" s="92"/>
      <c r="R51" s="108">
        <f t="shared" ref="R51:R92" si="70">(N51*O51-P51)*M51</f>
        <v>19.844999999999999</v>
      </c>
      <c r="S51" s="110"/>
      <c r="T51" s="108"/>
      <c r="U51" s="108"/>
      <c r="V51" s="90"/>
      <c r="W51" s="162" t="s">
        <v>18</v>
      </c>
      <c r="X51" s="108" t="str">
        <f t="shared" ref="X51:X92" si="71">E51</f>
        <v>cad</v>
      </c>
      <c r="Y51" s="108" t="str">
        <f t="shared" ref="Y51:Y92" si="72">F51</f>
        <v>cad</v>
      </c>
      <c r="Z51" s="108">
        <f t="shared" ref="Z51:Z92" si="73">G51</f>
        <v>3.24</v>
      </c>
      <c r="AA51" s="108">
        <f t="shared" ref="AA51:AA92" si="74">H51</f>
        <v>0</v>
      </c>
      <c r="AB51" s="108">
        <f t="shared" ref="AB51:AB92" si="75">I51</f>
        <v>3.24</v>
      </c>
      <c r="AC51" s="108">
        <f t="shared" ref="AC51:AC92" si="76">J51</f>
        <v>3.24</v>
      </c>
      <c r="AD51" s="90"/>
      <c r="AE51" s="92" t="s">
        <v>357</v>
      </c>
      <c r="AF51" s="108">
        <f t="shared" ref="AF51:AF57" si="77">N51*M51</f>
        <v>7.35</v>
      </c>
      <c r="AG51" s="90"/>
      <c r="AH51" s="90"/>
      <c r="AI51" s="90"/>
      <c r="AJ51" s="90"/>
    </row>
    <row r="52" spans="1:36" s="11" customFormat="1" ht="14.4">
      <c r="A52" s="18"/>
      <c r="B52" s="138" t="s">
        <v>76</v>
      </c>
      <c r="C52" s="162" t="s">
        <v>120</v>
      </c>
      <c r="D52" s="108">
        <v>1</v>
      </c>
      <c r="E52" s="108" t="s">
        <v>57</v>
      </c>
      <c r="F52" s="108" t="s">
        <v>57</v>
      </c>
      <c r="G52" s="162">
        <v>2.42</v>
      </c>
      <c r="H52" s="92"/>
      <c r="I52" s="108">
        <f t="shared" si="68"/>
        <v>2.42</v>
      </c>
      <c r="J52" s="108">
        <f t="shared" si="69"/>
        <v>2.42</v>
      </c>
      <c r="K52" s="90"/>
      <c r="L52" s="162" t="s">
        <v>22</v>
      </c>
      <c r="M52" s="108">
        <v>1</v>
      </c>
      <c r="N52" s="162">
        <v>6.6</v>
      </c>
      <c r="O52" s="123">
        <v>2.7</v>
      </c>
      <c r="P52" s="92"/>
      <c r="Q52" s="92"/>
      <c r="R52" s="108">
        <f t="shared" si="70"/>
        <v>17.82</v>
      </c>
      <c r="S52" s="110"/>
      <c r="T52" s="108"/>
      <c r="U52" s="108"/>
      <c r="V52" s="90"/>
      <c r="W52" s="162" t="s">
        <v>18</v>
      </c>
      <c r="X52" s="108" t="str">
        <f t="shared" si="71"/>
        <v>cad</v>
      </c>
      <c r="Y52" s="108" t="str">
        <f t="shared" si="72"/>
        <v>cad</v>
      </c>
      <c r="Z52" s="108">
        <f t="shared" si="73"/>
        <v>2.42</v>
      </c>
      <c r="AA52" s="108">
        <f t="shared" si="74"/>
        <v>0</v>
      </c>
      <c r="AB52" s="108">
        <f t="shared" si="75"/>
        <v>2.42</v>
      </c>
      <c r="AC52" s="108">
        <f t="shared" si="76"/>
        <v>2.42</v>
      </c>
      <c r="AD52" s="90"/>
      <c r="AE52" s="92" t="s">
        <v>357</v>
      </c>
      <c r="AF52" s="108">
        <f t="shared" si="77"/>
        <v>6.6</v>
      </c>
      <c r="AG52" s="90"/>
      <c r="AH52" s="90"/>
      <c r="AI52" s="90"/>
      <c r="AJ52" s="90"/>
    </row>
    <row r="53" spans="1:36" s="11" customFormat="1" ht="14.4">
      <c r="A53" s="18"/>
      <c r="B53" s="138" t="s">
        <v>124</v>
      </c>
      <c r="C53" s="162" t="s">
        <v>20</v>
      </c>
      <c r="D53" s="108">
        <v>1</v>
      </c>
      <c r="E53" s="108" t="s">
        <v>57</v>
      </c>
      <c r="F53" s="108" t="s">
        <v>57</v>
      </c>
      <c r="G53" s="162">
        <v>14.71</v>
      </c>
      <c r="H53" s="92"/>
      <c r="I53" s="108">
        <f t="shared" si="68"/>
        <v>14.71</v>
      </c>
      <c r="J53" s="108">
        <f t="shared" si="69"/>
        <v>14.71</v>
      </c>
      <c r="K53" s="90"/>
      <c r="L53" s="162" t="s">
        <v>18</v>
      </c>
      <c r="M53" s="108">
        <v>1</v>
      </c>
      <c r="N53" s="145">
        <v>15.89</v>
      </c>
      <c r="O53" s="123">
        <v>2.7</v>
      </c>
      <c r="P53" s="92"/>
      <c r="Q53" s="92"/>
      <c r="R53" s="108">
        <f t="shared" si="70"/>
        <v>42.903000000000006</v>
      </c>
      <c r="S53" s="110"/>
      <c r="T53" s="108" t="s">
        <v>18</v>
      </c>
      <c r="U53" s="92">
        <f>N53*M53</f>
        <v>15.89</v>
      </c>
      <c r="V53" s="90"/>
      <c r="W53" s="162" t="s">
        <v>18</v>
      </c>
      <c r="X53" s="108" t="str">
        <f t="shared" si="71"/>
        <v>cad</v>
      </c>
      <c r="Y53" s="108" t="str">
        <f t="shared" si="72"/>
        <v>cad</v>
      </c>
      <c r="Z53" s="108">
        <f t="shared" si="73"/>
        <v>14.71</v>
      </c>
      <c r="AA53" s="108">
        <f t="shared" si="74"/>
        <v>0</v>
      </c>
      <c r="AB53" s="108">
        <f t="shared" si="75"/>
        <v>14.71</v>
      </c>
      <c r="AC53" s="108">
        <f t="shared" si="76"/>
        <v>14.71</v>
      </c>
      <c r="AD53" s="90"/>
      <c r="AE53" s="92" t="s">
        <v>357</v>
      </c>
      <c r="AF53" s="108">
        <f t="shared" si="77"/>
        <v>15.89</v>
      </c>
      <c r="AG53" s="90"/>
      <c r="AH53" s="90"/>
      <c r="AI53" s="90"/>
      <c r="AJ53" s="90"/>
    </row>
    <row r="54" spans="1:36" s="11" customFormat="1" ht="14.4">
      <c r="A54" s="18"/>
      <c r="B54" s="138" t="s">
        <v>125</v>
      </c>
      <c r="C54" s="162" t="s">
        <v>20</v>
      </c>
      <c r="D54" s="108">
        <v>1</v>
      </c>
      <c r="E54" s="108" t="s">
        <v>57</v>
      </c>
      <c r="F54" s="108" t="s">
        <v>57</v>
      </c>
      <c r="G54" s="145">
        <v>12.61</v>
      </c>
      <c r="H54" s="92"/>
      <c r="I54" s="108">
        <f t="shared" si="68"/>
        <v>12.61</v>
      </c>
      <c r="J54" s="108">
        <f t="shared" si="69"/>
        <v>12.61</v>
      </c>
      <c r="K54" s="90"/>
      <c r="L54" s="162" t="s">
        <v>18</v>
      </c>
      <c r="M54" s="108">
        <v>1</v>
      </c>
      <c r="N54" s="145">
        <v>14.5</v>
      </c>
      <c r="O54" s="123">
        <v>2.7</v>
      </c>
      <c r="P54" s="92"/>
      <c r="Q54" s="92"/>
      <c r="R54" s="108">
        <f t="shared" si="70"/>
        <v>39.150000000000006</v>
      </c>
      <c r="S54" s="110"/>
      <c r="T54" s="108" t="s">
        <v>18</v>
      </c>
      <c r="U54" s="163">
        <f>N54*M54</f>
        <v>14.5</v>
      </c>
      <c r="V54" s="90"/>
      <c r="W54" s="162" t="s">
        <v>18</v>
      </c>
      <c r="X54" s="108" t="str">
        <f t="shared" si="71"/>
        <v>cad</v>
      </c>
      <c r="Y54" s="108" t="str">
        <f t="shared" si="72"/>
        <v>cad</v>
      </c>
      <c r="Z54" s="108">
        <f t="shared" si="73"/>
        <v>12.61</v>
      </c>
      <c r="AA54" s="108">
        <f t="shared" si="74"/>
        <v>0</v>
      </c>
      <c r="AB54" s="108">
        <f t="shared" si="75"/>
        <v>12.61</v>
      </c>
      <c r="AC54" s="108">
        <f t="shared" si="76"/>
        <v>12.61</v>
      </c>
      <c r="AD54" s="90"/>
      <c r="AE54" s="92" t="s">
        <v>357</v>
      </c>
      <c r="AF54" s="108">
        <f t="shared" si="77"/>
        <v>14.5</v>
      </c>
      <c r="AG54" s="90"/>
      <c r="AH54" s="90"/>
      <c r="AI54" s="90"/>
      <c r="AJ54" s="90"/>
    </row>
    <row r="55" spans="1:36" s="11" customFormat="1" ht="14.4">
      <c r="A55" s="18"/>
      <c r="B55" s="138" t="s">
        <v>104</v>
      </c>
      <c r="C55" s="162" t="s">
        <v>28</v>
      </c>
      <c r="D55" s="108">
        <v>1</v>
      </c>
      <c r="E55" s="108" t="s">
        <v>57</v>
      </c>
      <c r="F55" s="108" t="s">
        <v>57</v>
      </c>
      <c r="G55" s="145">
        <v>41.69</v>
      </c>
      <c r="H55" s="92"/>
      <c r="I55" s="108">
        <f t="shared" si="68"/>
        <v>41.69</v>
      </c>
      <c r="J55" s="108">
        <f t="shared" si="69"/>
        <v>41.69</v>
      </c>
      <c r="K55" s="90"/>
      <c r="L55" s="162" t="s">
        <v>21</v>
      </c>
      <c r="M55" s="108">
        <v>1</v>
      </c>
      <c r="N55" s="145">
        <f>49.19-1.8</f>
        <v>47.39</v>
      </c>
      <c r="O55" s="108">
        <v>2.8</v>
      </c>
      <c r="P55" s="92"/>
      <c r="Q55" s="92"/>
      <c r="R55" s="108">
        <f t="shared" si="70"/>
        <v>132.69200000000001</v>
      </c>
      <c r="S55" s="110"/>
      <c r="T55" s="108" t="s">
        <v>22</v>
      </c>
      <c r="U55" s="92">
        <f>N55*M55</f>
        <v>47.39</v>
      </c>
      <c r="V55" s="90"/>
      <c r="W55" s="162" t="s">
        <v>17</v>
      </c>
      <c r="X55" s="108" t="str">
        <f t="shared" si="71"/>
        <v>cad</v>
      </c>
      <c r="Y55" s="108" t="str">
        <f t="shared" si="72"/>
        <v>cad</v>
      </c>
      <c r="Z55" s="108">
        <f t="shared" si="73"/>
        <v>41.69</v>
      </c>
      <c r="AA55" s="108">
        <f t="shared" si="74"/>
        <v>0</v>
      </c>
      <c r="AB55" s="108">
        <f t="shared" si="75"/>
        <v>41.69</v>
      </c>
      <c r="AC55" s="108">
        <f t="shared" si="76"/>
        <v>41.69</v>
      </c>
      <c r="AD55" s="90"/>
      <c r="AE55" s="92" t="s">
        <v>357</v>
      </c>
      <c r="AF55" s="108">
        <f t="shared" si="77"/>
        <v>47.39</v>
      </c>
      <c r="AG55" s="90"/>
      <c r="AH55" s="90"/>
      <c r="AI55" s="90"/>
      <c r="AJ55" s="90"/>
    </row>
    <row r="56" spans="1:36" s="11" customFormat="1" ht="14.4">
      <c r="A56" s="18"/>
      <c r="B56" s="118"/>
      <c r="C56" s="162"/>
      <c r="D56" s="108"/>
      <c r="E56" s="108"/>
      <c r="F56" s="108"/>
      <c r="G56" s="166"/>
      <c r="H56" s="92"/>
      <c r="I56" s="108"/>
      <c r="J56" s="108"/>
      <c r="K56" s="90"/>
      <c r="L56" s="162"/>
      <c r="M56" s="108"/>
      <c r="N56" s="162"/>
      <c r="O56" s="108"/>
      <c r="P56" s="92"/>
      <c r="Q56" s="92"/>
      <c r="R56" s="108"/>
      <c r="S56" s="110"/>
      <c r="T56" s="108"/>
      <c r="U56" s="92"/>
      <c r="V56" s="90"/>
      <c r="W56" s="162" t="s">
        <v>19</v>
      </c>
      <c r="X56" s="141">
        <f t="shared" ref="X56" si="78">E56</f>
        <v>0</v>
      </c>
      <c r="Y56" s="141">
        <f t="shared" ref="Y56" si="79">F56</f>
        <v>0</v>
      </c>
      <c r="Z56" s="141">
        <v>12.48</v>
      </c>
      <c r="AA56" s="95">
        <f t="shared" ref="AA56" si="80">H56</f>
        <v>0</v>
      </c>
      <c r="AB56" s="141">
        <f>Z56</f>
        <v>12.48</v>
      </c>
      <c r="AC56" s="141">
        <f>Z56</f>
        <v>12.48</v>
      </c>
      <c r="AD56" s="90"/>
      <c r="AE56" s="92"/>
      <c r="AF56" s="108">
        <f t="shared" si="77"/>
        <v>0</v>
      </c>
      <c r="AG56" s="90"/>
      <c r="AH56" s="90"/>
      <c r="AI56" s="90"/>
      <c r="AJ56" s="90"/>
    </row>
    <row r="57" spans="1:36" s="11" customFormat="1" ht="14.4">
      <c r="A57" s="18"/>
      <c r="B57" s="138" t="s">
        <v>126</v>
      </c>
      <c r="C57" s="162" t="s">
        <v>28</v>
      </c>
      <c r="D57" s="108">
        <v>1</v>
      </c>
      <c r="E57" s="108" t="s">
        <v>57</v>
      </c>
      <c r="F57" s="108" t="s">
        <v>57</v>
      </c>
      <c r="G57" s="145">
        <v>3.44</v>
      </c>
      <c r="H57" s="92"/>
      <c r="I57" s="108">
        <f t="shared" si="68"/>
        <v>3.44</v>
      </c>
      <c r="J57" s="108">
        <f t="shared" si="69"/>
        <v>3.44</v>
      </c>
      <c r="K57" s="90"/>
      <c r="L57" s="162" t="s">
        <v>21</v>
      </c>
      <c r="M57" s="108">
        <v>1</v>
      </c>
      <c r="N57" s="145">
        <v>7.9</v>
      </c>
      <c r="O57" s="123">
        <v>2.7</v>
      </c>
      <c r="P57" s="92"/>
      <c r="Q57" s="92"/>
      <c r="R57" s="108">
        <f t="shared" si="70"/>
        <v>21.330000000000002</v>
      </c>
      <c r="S57" s="110"/>
      <c r="T57" s="108" t="s">
        <v>22</v>
      </c>
      <c r="U57" s="163">
        <f>N57*M57</f>
        <v>7.9</v>
      </c>
      <c r="V57" s="90"/>
      <c r="W57" s="162" t="s">
        <v>17</v>
      </c>
      <c r="X57" s="108" t="str">
        <f t="shared" si="71"/>
        <v>cad</v>
      </c>
      <c r="Y57" s="108" t="str">
        <f t="shared" si="72"/>
        <v>cad</v>
      </c>
      <c r="Z57" s="108">
        <f t="shared" si="73"/>
        <v>3.44</v>
      </c>
      <c r="AA57" s="108">
        <f t="shared" si="74"/>
        <v>0</v>
      </c>
      <c r="AB57" s="108">
        <f t="shared" si="75"/>
        <v>3.44</v>
      </c>
      <c r="AC57" s="108">
        <f t="shared" si="76"/>
        <v>3.44</v>
      </c>
      <c r="AD57" s="90"/>
      <c r="AE57" s="92" t="s">
        <v>357</v>
      </c>
      <c r="AF57" s="108">
        <f t="shared" si="77"/>
        <v>7.9</v>
      </c>
      <c r="AG57" s="90"/>
      <c r="AH57" s="90"/>
      <c r="AI57" s="90"/>
      <c r="AJ57" s="90"/>
    </row>
    <row r="58" spans="1:36" s="11" customFormat="1" ht="14.4">
      <c r="A58" s="18"/>
      <c r="B58" s="138" t="s">
        <v>127</v>
      </c>
      <c r="C58" s="162" t="s">
        <v>120</v>
      </c>
      <c r="D58" s="108">
        <v>1</v>
      </c>
      <c r="E58" s="108" t="s">
        <v>57</v>
      </c>
      <c r="F58" s="108" t="s">
        <v>57</v>
      </c>
      <c r="G58" s="162">
        <v>3.96</v>
      </c>
      <c r="H58" s="92"/>
      <c r="I58" s="108">
        <f t="shared" si="68"/>
        <v>3.96</v>
      </c>
      <c r="J58" s="108">
        <f t="shared" si="69"/>
        <v>3.96</v>
      </c>
      <c r="K58" s="90"/>
      <c r="L58" s="162" t="s">
        <v>22</v>
      </c>
      <c r="M58" s="108">
        <v>1</v>
      </c>
      <c r="N58" s="162">
        <v>8.4600000000000009</v>
      </c>
      <c r="O58" s="123">
        <v>2.7</v>
      </c>
      <c r="P58" s="92"/>
      <c r="Q58" s="92"/>
      <c r="R58" s="108">
        <f t="shared" si="70"/>
        <v>22.842000000000002</v>
      </c>
      <c r="S58" s="110"/>
      <c r="T58" s="108"/>
      <c r="U58" s="108"/>
      <c r="V58" s="90"/>
      <c r="W58" s="162" t="s">
        <v>18</v>
      </c>
      <c r="X58" s="108" t="str">
        <f t="shared" si="71"/>
        <v>cad</v>
      </c>
      <c r="Y58" s="108" t="str">
        <f t="shared" si="72"/>
        <v>cad</v>
      </c>
      <c r="Z58" s="108">
        <f t="shared" si="73"/>
        <v>3.96</v>
      </c>
      <c r="AA58" s="108">
        <f t="shared" si="74"/>
        <v>0</v>
      </c>
      <c r="AB58" s="108">
        <f t="shared" si="75"/>
        <v>3.96</v>
      </c>
      <c r="AC58" s="108">
        <f t="shared" si="76"/>
        <v>3.96</v>
      </c>
      <c r="AD58" s="90"/>
      <c r="AE58" s="92" t="s">
        <v>357</v>
      </c>
      <c r="AF58" s="108">
        <f t="shared" ref="AF58:AF89" si="81">N58*M58</f>
        <v>8.4600000000000009</v>
      </c>
      <c r="AG58" s="90"/>
      <c r="AH58" s="90"/>
      <c r="AI58" s="90"/>
      <c r="AJ58" s="90"/>
    </row>
    <row r="59" spans="1:36" s="11" customFormat="1" ht="14.4">
      <c r="A59" s="18"/>
      <c r="B59" s="138" t="s">
        <v>128</v>
      </c>
      <c r="C59" s="162" t="s">
        <v>120</v>
      </c>
      <c r="D59" s="108">
        <v>1</v>
      </c>
      <c r="E59" s="108" t="s">
        <v>57</v>
      </c>
      <c r="F59" s="108" t="s">
        <v>57</v>
      </c>
      <c r="G59" s="265">
        <v>5.51</v>
      </c>
      <c r="H59" s="92"/>
      <c r="I59" s="108">
        <f t="shared" si="68"/>
        <v>5.51</v>
      </c>
      <c r="J59" s="108">
        <f t="shared" si="69"/>
        <v>5.51</v>
      </c>
      <c r="K59" s="90"/>
      <c r="L59" s="162" t="s">
        <v>22</v>
      </c>
      <c r="M59" s="108">
        <v>1</v>
      </c>
      <c r="N59" s="162">
        <v>9.56</v>
      </c>
      <c r="O59" s="123">
        <v>2.7</v>
      </c>
      <c r="P59" s="92"/>
      <c r="Q59" s="92"/>
      <c r="R59" s="108">
        <f t="shared" si="70"/>
        <v>25.812000000000005</v>
      </c>
      <c r="S59" s="110"/>
      <c r="T59" s="108"/>
      <c r="U59" s="108"/>
      <c r="V59" s="90"/>
      <c r="W59" s="162" t="s">
        <v>18</v>
      </c>
      <c r="X59" s="108" t="str">
        <f t="shared" si="71"/>
        <v>cad</v>
      </c>
      <c r="Y59" s="108" t="str">
        <f t="shared" si="72"/>
        <v>cad</v>
      </c>
      <c r="Z59" s="108">
        <f t="shared" si="73"/>
        <v>5.51</v>
      </c>
      <c r="AA59" s="108">
        <f t="shared" si="74"/>
        <v>0</v>
      </c>
      <c r="AB59" s="108">
        <f t="shared" si="75"/>
        <v>5.51</v>
      </c>
      <c r="AC59" s="108">
        <f t="shared" si="76"/>
        <v>5.51</v>
      </c>
      <c r="AD59" s="90"/>
      <c r="AE59" s="92" t="s">
        <v>357</v>
      </c>
      <c r="AF59" s="108">
        <f t="shared" si="81"/>
        <v>9.56</v>
      </c>
      <c r="AG59" s="90"/>
      <c r="AH59" s="90"/>
      <c r="AI59" s="90"/>
      <c r="AJ59" s="90"/>
    </row>
    <row r="60" spans="1:36" s="11" customFormat="1" ht="14.4">
      <c r="A60" s="16"/>
      <c r="B60" s="201" t="s">
        <v>157</v>
      </c>
      <c r="C60" s="162" t="s">
        <v>28</v>
      </c>
      <c r="D60" s="108">
        <v>1</v>
      </c>
      <c r="E60" s="108" t="s">
        <v>57</v>
      </c>
      <c r="F60" s="108" t="s">
        <v>57</v>
      </c>
      <c r="G60" s="169">
        <v>20.6</v>
      </c>
      <c r="H60" s="92"/>
      <c r="I60" s="108">
        <f t="shared" si="68"/>
        <v>20.6</v>
      </c>
      <c r="J60" s="108">
        <f t="shared" si="69"/>
        <v>20.6</v>
      </c>
      <c r="K60" s="90"/>
      <c r="L60" s="162" t="s">
        <v>21</v>
      </c>
      <c r="M60" s="108">
        <v>1</v>
      </c>
      <c r="N60" s="162">
        <f>23.3-2.5</f>
        <v>20.8</v>
      </c>
      <c r="O60" s="108">
        <v>2.8</v>
      </c>
      <c r="P60" s="92"/>
      <c r="Q60" s="92"/>
      <c r="R60" s="108">
        <f t="shared" ref="R60" si="82">(N60*O60-P60)*M60</f>
        <v>58.239999999999995</v>
      </c>
      <c r="S60" s="110"/>
      <c r="T60" s="108" t="s">
        <v>22</v>
      </c>
      <c r="U60" s="163">
        <f>N60*M60</f>
        <v>20.8</v>
      </c>
      <c r="V60" s="90"/>
      <c r="W60" s="162" t="s">
        <v>17</v>
      </c>
      <c r="X60" s="108" t="str">
        <f t="shared" si="71"/>
        <v>cad</v>
      </c>
      <c r="Y60" s="108" t="str">
        <f t="shared" si="72"/>
        <v>cad</v>
      </c>
      <c r="Z60" s="108">
        <f t="shared" si="73"/>
        <v>20.6</v>
      </c>
      <c r="AA60" s="108">
        <f t="shared" si="74"/>
        <v>0</v>
      </c>
      <c r="AB60" s="108">
        <f t="shared" si="75"/>
        <v>20.6</v>
      </c>
      <c r="AC60" s="108">
        <f t="shared" si="76"/>
        <v>20.6</v>
      </c>
      <c r="AD60" s="90"/>
      <c r="AE60" s="92" t="s">
        <v>357</v>
      </c>
      <c r="AF60" s="108">
        <f t="shared" si="81"/>
        <v>20.8</v>
      </c>
      <c r="AG60" s="90"/>
      <c r="AH60" s="90"/>
      <c r="AI60" s="90"/>
      <c r="AJ60" s="90"/>
    </row>
    <row r="61" spans="1:36" s="11" customFormat="1" ht="14.4">
      <c r="A61" s="16"/>
      <c r="B61" s="201"/>
      <c r="C61" s="162"/>
      <c r="D61" s="108"/>
      <c r="E61" s="108"/>
      <c r="F61" s="108"/>
      <c r="G61" s="166"/>
      <c r="H61" s="92"/>
      <c r="I61" s="108"/>
      <c r="J61" s="108"/>
      <c r="K61" s="90"/>
      <c r="L61" s="162"/>
      <c r="M61" s="108"/>
      <c r="N61" s="162"/>
      <c r="O61" s="108"/>
      <c r="P61" s="92"/>
      <c r="Q61" s="92"/>
      <c r="R61" s="108"/>
      <c r="S61" s="110"/>
      <c r="T61" s="108"/>
      <c r="U61" s="92"/>
      <c r="V61" s="90"/>
      <c r="W61" s="162" t="s">
        <v>19</v>
      </c>
      <c r="X61" s="141">
        <f t="shared" si="71"/>
        <v>0</v>
      </c>
      <c r="Y61" s="141">
        <f t="shared" si="72"/>
        <v>0</v>
      </c>
      <c r="Z61" s="141">
        <v>5.13</v>
      </c>
      <c r="AA61" s="95">
        <f t="shared" si="74"/>
        <v>0</v>
      </c>
      <c r="AB61" s="141">
        <f>Z61</f>
        <v>5.13</v>
      </c>
      <c r="AC61" s="141">
        <f>Z61</f>
        <v>5.13</v>
      </c>
      <c r="AD61" s="90"/>
      <c r="AE61" s="92"/>
      <c r="AF61" s="108">
        <f t="shared" si="81"/>
        <v>0</v>
      </c>
      <c r="AG61" s="90"/>
      <c r="AH61" s="90"/>
      <c r="AI61" s="90"/>
      <c r="AJ61" s="90"/>
    </row>
    <row r="62" spans="1:36" s="11" customFormat="1" ht="14.4">
      <c r="A62" s="16"/>
      <c r="B62" s="201" t="s">
        <v>157</v>
      </c>
      <c r="C62" s="162" t="s">
        <v>28</v>
      </c>
      <c r="D62" s="108">
        <v>1</v>
      </c>
      <c r="E62" s="108" t="s">
        <v>57</v>
      </c>
      <c r="F62" s="108" t="s">
        <v>57</v>
      </c>
      <c r="G62" s="169">
        <v>23.19</v>
      </c>
      <c r="H62" s="92"/>
      <c r="I62" s="108">
        <f t="shared" si="68"/>
        <v>23.19</v>
      </c>
      <c r="J62" s="108">
        <f t="shared" si="69"/>
        <v>23.19</v>
      </c>
      <c r="K62" s="90"/>
      <c r="L62" s="162" t="s">
        <v>21</v>
      </c>
      <c r="M62" s="108">
        <v>1</v>
      </c>
      <c r="N62" s="169">
        <f>27.01-1.8</f>
        <v>25.21</v>
      </c>
      <c r="O62" s="168">
        <v>2.8</v>
      </c>
      <c r="P62" s="92"/>
      <c r="Q62" s="92"/>
      <c r="R62" s="108">
        <f t="shared" ref="R62" si="83">(N62*O62-P62)*M62</f>
        <v>70.587999999999994</v>
      </c>
      <c r="S62" s="110"/>
      <c r="T62" s="108" t="s">
        <v>22</v>
      </c>
      <c r="U62" s="163">
        <f>N62*M62</f>
        <v>25.21</v>
      </c>
      <c r="V62" s="90"/>
      <c r="W62" s="162" t="s">
        <v>17</v>
      </c>
      <c r="X62" s="108" t="str">
        <f t="shared" si="71"/>
        <v>cad</v>
      </c>
      <c r="Y62" s="108" t="str">
        <f t="shared" si="72"/>
        <v>cad</v>
      </c>
      <c r="Z62" s="108">
        <f t="shared" si="73"/>
        <v>23.19</v>
      </c>
      <c r="AA62" s="108">
        <f t="shared" si="74"/>
        <v>0</v>
      </c>
      <c r="AB62" s="108">
        <f t="shared" si="75"/>
        <v>23.19</v>
      </c>
      <c r="AC62" s="108">
        <f t="shared" si="76"/>
        <v>23.19</v>
      </c>
      <c r="AD62" s="90"/>
      <c r="AE62" s="92" t="s">
        <v>357</v>
      </c>
      <c r="AF62" s="108">
        <f t="shared" si="81"/>
        <v>25.21</v>
      </c>
      <c r="AG62" s="90"/>
      <c r="AH62" s="90"/>
      <c r="AI62" s="90"/>
      <c r="AJ62" s="90"/>
    </row>
    <row r="63" spans="1:36" s="11" customFormat="1" ht="14.4">
      <c r="A63" s="16"/>
      <c r="B63" s="201"/>
      <c r="C63" s="162"/>
      <c r="D63" s="108"/>
      <c r="E63" s="108"/>
      <c r="F63" s="108"/>
      <c r="G63" s="166"/>
      <c r="H63" s="92"/>
      <c r="I63" s="108"/>
      <c r="J63" s="108"/>
      <c r="K63" s="90"/>
      <c r="L63" s="162"/>
      <c r="M63" s="108"/>
      <c r="N63" s="162"/>
      <c r="O63" s="108"/>
      <c r="P63" s="92"/>
      <c r="Q63" s="92"/>
      <c r="R63" s="108"/>
      <c r="S63" s="110"/>
      <c r="T63" s="108"/>
      <c r="U63" s="92"/>
      <c r="V63" s="90"/>
      <c r="W63" s="162" t="s">
        <v>19</v>
      </c>
      <c r="X63" s="141">
        <f t="shared" si="71"/>
        <v>0</v>
      </c>
      <c r="Y63" s="141">
        <f t="shared" si="72"/>
        <v>0</v>
      </c>
      <c r="Z63" s="141">
        <v>5.5</v>
      </c>
      <c r="AA63" s="95">
        <f t="shared" si="74"/>
        <v>0</v>
      </c>
      <c r="AB63" s="141">
        <f>Z63</f>
        <v>5.5</v>
      </c>
      <c r="AC63" s="141">
        <f>Z63</f>
        <v>5.5</v>
      </c>
      <c r="AD63" s="90"/>
      <c r="AE63" s="92"/>
      <c r="AF63" s="108">
        <f t="shared" si="81"/>
        <v>0</v>
      </c>
      <c r="AG63" s="90"/>
      <c r="AH63" s="90"/>
      <c r="AI63" s="90"/>
      <c r="AJ63" s="90"/>
    </row>
    <row r="64" spans="1:36" s="11" customFormat="1" ht="14.4">
      <c r="A64" s="16"/>
      <c r="B64" s="201" t="s">
        <v>157</v>
      </c>
      <c r="C64" s="162" t="s">
        <v>28</v>
      </c>
      <c r="D64" s="108">
        <v>1</v>
      </c>
      <c r="E64" s="108" t="s">
        <v>57</v>
      </c>
      <c r="F64" s="108" t="s">
        <v>57</v>
      </c>
      <c r="G64" s="169">
        <v>47.17</v>
      </c>
      <c r="H64" s="92"/>
      <c r="I64" s="108">
        <f t="shared" si="68"/>
        <v>47.17</v>
      </c>
      <c r="J64" s="108">
        <f t="shared" si="69"/>
        <v>47.17</v>
      </c>
      <c r="K64" s="90"/>
      <c r="L64" s="162" t="s">
        <v>21</v>
      </c>
      <c r="M64" s="108">
        <v>1</v>
      </c>
      <c r="N64" s="169">
        <f>-50.89-4.18</f>
        <v>-55.07</v>
      </c>
      <c r="O64" s="168">
        <v>2.8</v>
      </c>
      <c r="P64" s="92"/>
      <c r="Q64" s="92"/>
      <c r="R64" s="108">
        <f t="shared" ref="R64" si="84">(N64*O64-P64)*M64</f>
        <v>-154.196</v>
      </c>
      <c r="S64" s="110"/>
      <c r="T64" s="108" t="s">
        <v>22</v>
      </c>
      <c r="U64" s="163">
        <f>N64*M64</f>
        <v>-55.07</v>
      </c>
      <c r="V64" s="90"/>
      <c r="W64" s="162" t="s">
        <v>17</v>
      </c>
      <c r="X64" s="108" t="str">
        <f t="shared" si="71"/>
        <v>cad</v>
      </c>
      <c r="Y64" s="108" t="str">
        <f t="shared" si="72"/>
        <v>cad</v>
      </c>
      <c r="Z64" s="108">
        <f t="shared" si="73"/>
        <v>47.17</v>
      </c>
      <c r="AA64" s="108">
        <f t="shared" si="74"/>
        <v>0</v>
      </c>
      <c r="AB64" s="108">
        <f t="shared" si="75"/>
        <v>47.17</v>
      </c>
      <c r="AC64" s="108">
        <f t="shared" si="76"/>
        <v>47.17</v>
      </c>
      <c r="AD64" s="90"/>
      <c r="AE64" s="92" t="s">
        <v>357</v>
      </c>
      <c r="AF64" s="108">
        <f t="shared" si="81"/>
        <v>-55.07</v>
      </c>
      <c r="AG64" s="90"/>
      <c r="AH64" s="90"/>
      <c r="AI64" s="90"/>
      <c r="AJ64" s="90"/>
    </row>
    <row r="65" spans="1:36" s="11" customFormat="1" ht="14.4">
      <c r="A65" s="16"/>
      <c r="B65" s="201"/>
      <c r="C65" s="162"/>
      <c r="D65" s="108"/>
      <c r="E65" s="108"/>
      <c r="F65" s="108"/>
      <c r="G65" s="166"/>
      <c r="H65" s="92"/>
      <c r="I65" s="108"/>
      <c r="J65" s="108"/>
      <c r="K65" s="90"/>
      <c r="L65" s="162"/>
      <c r="M65" s="108"/>
      <c r="N65" s="162"/>
      <c r="O65" s="108"/>
      <c r="P65" s="92"/>
      <c r="Q65" s="92"/>
      <c r="R65" s="108"/>
      <c r="S65" s="110"/>
      <c r="T65" s="108"/>
      <c r="U65" s="92"/>
      <c r="V65" s="90"/>
      <c r="W65" s="162" t="s">
        <v>19</v>
      </c>
      <c r="X65" s="141">
        <f t="shared" si="71"/>
        <v>0</v>
      </c>
      <c r="Y65" s="141">
        <f t="shared" si="72"/>
        <v>0</v>
      </c>
      <c r="Z65" s="141">
        <v>10.66</v>
      </c>
      <c r="AA65" s="95">
        <f t="shared" si="74"/>
        <v>0</v>
      </c>
      <c r="AB65" s="141">
        <f t="shared" ref="AB65:AB68" si="85">Z65</f>
        <v>10.66</v>
      </c>
      <c r="AC65" s="141">
        <f t="shared" ref="AC65:AC68" si="86">Z65</f>
        <v>10.66</v>
      </c>
      <c r="AD65" s="90"/>
      <c r="AE65" s="92"/>
      <c r="AF65" s="108">
        <f t="shared" si="81"/>
        <v>0</v>
      </c>
      <c r="AG65" s="90"/>
      <c r="AH65" s="90"/>
      <c r="AI65" s="90"/>
      <c r="AJ65" s="90"/>
    </row>
    <row r="66" spans="1:36" s="11" customFormat="1" ht="14.4">
      <c r="A66" s="16"/>
      <c r="B66" s="201" t="s">
        <v>157</v>
      </c>
      <c r="C66" s="162" t="s">
        <v>28</v>
      </c>
      <c r="D66" s="108">
        <v>1</v>
      </c>
      <c r="E66" s="108" t="s">
        <v>57</v>
      </c>
      <c r="F66" s="108" t="s">
        <v>57</v>
      </c>
      <c r="G66" s="169">
        <v>30.27</v>
      </c>
      <c r="H66" s="92"/>
      <c r="I66" s="108">
        <f t="shared" si="68"/>
        <v>30.27</v>
      </c>
      <c r="J66" s="108">
        <f t="shared" si="69"/>
        <v>30.27</v>
      </c>
      <c r="K66" s="90"/>
      <c r="L66" s="162" t="s">
        <v>21</v>
      </c>
      <c r="M66" s="108">
        <v>1</v>
      </c>
      <c r="N66" s="169">
        <f>26.82-1.78</f>
        <v>25.04</v>
      </c>
      <c r="O66" s="168">
        <v>2.8</v>
      </c>
      <c r="P66" s="92"/>
      <c r="Q66" s="92"/>
      <c r="R66" s="108">
        <f t="shared" ref="R66" si="87">(N66*O66-P66)*M66</f>
        <v>70.111999999999995</v>
      </c>
      <c r="S66" s="110"/>
      <c r="T66" s="108" t="s">
        <v>22</v>
      </c>
      <c r="U66" s="163">
        <f>N66*M66</f>
        <v>25.04</v>
      </c>
      <c r="V66" s="90"/>
      <c r="W66" s="162" t="s">
        <v>17</v>
      </c>
      <c r="X66" s="141" t="str">
        <f t="shared" si="71"/>
        <v>cad</v>
      </c>
      <c r="Y66" s="141" t="str">
        <f t="shared" si="72"/>
        <v>cad</v>
      </c>
      <c r="Z66" s="141">
        <v>30.27</v>
      </c>
      <c r="AA66" s="95">
        <f t="shared" si="74"/>
        <v>0</v>
      </c>
      <c r="AB66" s="141">
        <f t="shared" si="85"/>
        <v>30.27</v>
      </c>
      <c r="AC66" s="141">
        <f t="shared" si="86"/>
        <v>30.27</v>
      </c>
      <c r="AD66" s="90"/>
      <c r="AE66" s="92" t="s">
        <v>357</v>
      </c>
      <c r="AF66" s="108">
        <f t="shared" si="81"/>
        <v>25.04</v>
      </c>
      <c r="AG66" s="90"/>
      <c r="AH66" s="90"/>
      <c r="AI66" s="90"/>
      <c r="AJ66" s="90"/>
    </row>
    <row r="67" spans="1:36" s="11" customFormat="1" ht="14.4">
      <c r="A67" s="16"/>
      <c r="B67" s="201"/>
      <c r="C67" s="162"/>
      <c r="D67" s="108"/>
      <c r="E67" s="108"/>
      <c r="F67" s="108"/>
      <c r="G67" s="166"/>
      <c r="H67" s="92"/>
      <c r="I67" s="108"/>
      <c r="J67" s="108"/>
      <c r="K67" s="90"/>
      <c r="L67" s="162"/>
      <c r="M67" s="108"/>
      <c r="N67" s="162"/>
      <c r="O67" s="108"/>
      <c r="P67" s="92"/>
      <c r="Q67" s="92"/>
      <c r="R67" s="108"/>
      <c r="S67" s="110"/>
      <c r="T67" s="108"/>
      <c r="U67" s="92"/>
      <c r="V67" s="90"/>
      <c r="W67" s="162" t="s">
        <v>24</v>
      </c>
      <c r="X67" s="141">
        <f t="shared" si="71"/>
        <v>0</v>
      </c>
      <c r="Y67" s="141">
        <f t="shared" si="72"/>
        <v>0</v>
      </c>
      <c r="Z67" s="141">
        <v>7.81</v>
      </c>
      <c r="AA67" s="95">
        <f t="shared" si="74"/>
        <v>0</v>
      </c>
      <c r="AB67" s="141">
        <f t="shared" si="85"/>
        <v>7.81</v>
      </c>
      <c r="AC67" s="141">
        <f t="shared" si="86"/>
        <v>7.81</v>
      </c>
      <c r="AD67" s="90"/>
      <c r="AE67" s="92"/>
      <c r="AF67" s="108">
        <f t="shared" si="81"/>
        <v>0</v>
      </c>
      <c r="AG67" s="90"/>
      <c r="AH67" s="90"/>
      <c r="AI67" s="90"/>
      <c r="AJ67" s="90"/>
    </row>
    <row r="68" spans="1:36" s="11" customFormat="1" ht="14.4">
      <c r="A68" s="16"/>
      <c r="B68" s="201"/>
      <c r="C68" s="162"/>
      <c r="D68" s="108"/>
      <c r="E68" s="108"/>
      <c r="F68" s="108"/>
      <c r="G68" s="166"/>
      <c r="H68" s="92"/>
      <c r="I68" s="108"/>
      <c r="J68" s="108"/>
      <c r="K68" s="90"/>
      <c r="L68" s="162"/>
      <c r="M68" s="108"/>
      <c r="N68" s="162"/>
      <c r="O68" s="108"/>
      <c r="P68" s="92"/>
      <c r="Q68" s="92"/>
      <c r="R68" s="108"/>
      <c r="S68" s="110"/>
      <c r="T68" s="108"/>
      <c r="U68" s="92"/>
      <c r="V68" s="90"/>
      <c r="W68" s="162" t="s">
        <v>19</v>
      </c>
      <c r="X68" s="141">
        <f t="shared" si="71"/>
        <v>0</v>
      </c>
      <c r="Y68" s="141">
        <f t="shared" si="72"/>
        <v>0</v>
      </c>
      <c r="Z68" s="141">
        <v>1.56</v>
      </c>
      <c r="AA68" s="95">
        <f t="shared" si="74"/>
        <v>0</v>
      </c>
      <c r="AB68" s="141">
        <f t="shared" si="85"/>
        <v>1.56</v>
      </c>
      <c r="AC68" s="141">
        <f t="shared" si="86"/>
        <v>1.56</v>
      </c>
      <c r="AD68" s="90"/>
      <c r="AE68" s="92"/>
      <c r="AF68" s="108">
        <f t="shared" si="81"/>
        <v>0</v>
      </c>
      <c r="AG68" s="90"/>
      <c r="AH68" s="90"/>
      <c r="AI68" s="90"/>
      <c r="AJ68" s="90"/>
    </row>
    <row r="69" spans="1:36" s="11" customFormat="1" ht="14.4">
      <c r="A69" s="16"/>
      <c r="B69" s="201" t="s">
        <v>602</v>
      </c>
      <c r="C69" s="162" t="s">
        <v>28</v>
      </c>
      <c r="D69" s="108">
        <v>1</v>
      </c>
      <c r="E69" s="108" t="s">
        <v>57</v>
      </c>
      <c r="F69" s="108" t="s">
        <v>57</v>
      </c>
      <c r="G69" s="169">
        <v>51.18</v>
      </c>
      <c r="H69" s="92"/>
      <c r="I69" s="108">
        <f t="shared" si="68"/>
        <v>51.18</v>
      </c>
      <c r="J69" s="108">
        <f t="shared" si="69"/>
        <v>51.18</v>
      </c>
      <c r="K69" s="90"/>
      <c r="L69" s="162" t="s">
        <v>21</v>
      </c>
      <c r="M69" s="108">
        <v>1</v>
      </c>
      <c r="N69" s="262">
        <v>37.79</v>
      </c>
      <c r="O69" s="169">
        <v>2.8</v>
      </c>
      <c r="P69" s="92"/>
      <c r="Q69" s="92"/>
      <c r="R69" s="108">
        <f t="shared" ref="R69" si="88">(N69*O69-P69)*M69</f>
        <v>105.812</v>
      </c>
      <c r="S69" s="110"/>
      <c r="T69" s="108" t="s">
        <v>22</v>
      </c>
      <c r="U69" s="163">
        <f>N69*M69</f>
        <v>37.79</v>
      </c>
      <c r="V69" s="90"/>
      <c r="W69" s="162" t="s">
        <v>17</v>
      </c>
      <c r="X69" s="108" t="str">
        <f t="shared" si="71"/>
        <v>cad</v>
      </c>
      <c r="Y69" s="108" t="str">
        <f t="shared" si="72"/>
        <v>cad</v>
      </c>
      <c r="Z69" s="108">
        <f t="shared" si="73"/>
        <v>51.18</v>
      </c>
      <c r="AA69" s="108">
        <f t="shared" si="74"/>
        <v>0</v>
      </c>
      <c r="AB69" s="108">
        <f t="shared" si="75"/>
        <v>51.18</v>
      </c>
      <c r="AC69" s="108">
        <f t="shared" si="76"/>
        <v>51.18</v>
      </c>
      <c r="AD69" s="90"/>
      <c r="AE69" s="92" t="s">
        <v>17</v>
      </c>
      <c r="AF69" s="108">
        <f t="shared" si="81"/>
        <v>37.79</v>
      </c>
      <c r="AG69" s="90"/>
      <c r="AH69" s="90"/>
      <c r="AI69" s="90"/>
      <c r="AJ69" s="90"/>
    </row>
    <row r="70" spans="1:36" s="11" customFormat="1" ht="14.4">
      <c r="A70" s="16"/>
      <c r="B70" s="201"/>
      <c r="C70" s="162"/>
      <c r="D70" s="108"/>
      <c r="E70" s="108"/>
      <c r="F70" s="108"/>
      <c r="G70" s="166"/>
      <c r="H70" s="92"/>
      <c r="I70" s="108"/>
      <c r="J70" s="108"/>
      <c r="K70" s="90"/>
      <c r="L70" s="162"/>
      <c r="M70" s="108"/>
      <c r="N70" s="162"/>
      <c r="O70" s="108"/>
      <c r="P70" s="92"/>
      <c r="Q70" s="92"/>
      <c r="R70" s="108"/>
      <c r="S70" s="110"/>
      <c r="T70" s="108"/>
      <c r="U70" s="92"/>
      <c r="V70" s="90"/>
      <c r="W70" s="162" t="s">
        <v>24</v>
      </c>
      <c r="X70" s="141">
        <f t="shared" si="71"/>
        <v>0</v>
      </c>
      <c r="Y70" s="141">
        <f t="shared" si="72"/>
        <v>0</v>
      </c>
      <c r="Z70" s="141">
        <v>7.81</v>
      </c>
      <c r="AA70" s="95">
        <f t="shared" si="74"/>
        <v>0</v>
      </c>
      <c r="AB70" s="141">
        <f t="shared" ref="AB70:AB71" si="89">Z70</f>
        <v>7.81</v>
      </c>
      <c r="AC70" s="141">
        <f t="shared" ref="AC70:AC71" si="90">Z70</f>
        <v>7.81</v>
      </c>
      <c r="AD70" s="90"/>
      <c r="AE70" s="92"/>
      <c r="AF70" s="108">
        <f t="shared" si="81"/>
        <v>0</v>
      </c>
      <c r="AG70" s="90"/>
      <c r="AH70" s="90"/>
      <c r="AI70" s="90"/>
      <c r="AJ70" s="90"/>
    </row>
    <row r="71" spans="1:36" s="11" customFormat="1" ht="14.4">
      <c r="A71" s="16"/>
      <c r="B71" s="201"/>
      <c r="C71" s="162"/>
      <c r="D71" s="108"/>
      <c r="E71" s="108"/>
      <c r="F71" s="108"/>
      <c r="G71" s="166"/>
      <c r="H71" s="92"/>
      <c r="I71" s="108"/>
      <c r="J71" s="108"/>
      <c r="K71" s="90"/>
      <c r="L71" s="162"/>
      <c r="M71" s="108"/>
      <c r="N71" s="162"/>
      <c r="O71" s="108"/>
      <c r="P71" s="92"/>
      <c r="Q71" s="92"/>
      <c r="R71" s="108"/>
      <c r="S71" s="110"/>
      <c r="T71" s="108"/>
      <c r="U71" s="92"/>
      <c r="V71" s="90"/>
      <c r="W71" s="162" t="s">
        <v>19</v>
      </c>
      <c r="X71" s="141">
        <f t="shared" si="71"/>
        <v>0</v>
      </c>
      <c r="Y71" s="141">
        <f t="shared" si="72"/>
        <v>0</v>
      </c>
      <c r="Z71" s="141">
        <v>1.56</v>
      </c>
      <c r="AA71" s="95">
        <f t="shared" si="74"/>
        <v>0</v>
      </c>
      <c r="AB71" s="141">
        <f t="shared" si="89"/>
        <v>1.56</v>
      </c>
      <c r="AC71" s="141">
        <f t="shared" si="90"/>
        <v>1.56</v>
      </c>
      <c r="AD71" s="90"/>
      <c r="AE71" s="92"/>
      <c r="AF71" s="108">
        <f t="shared" si="81"/>
        <v>0</v>
      </c>
      <c r="AG71" s="90"/>
      <c r="AH71" s="90"/>
      <c r="AI71" s="90"/>
      <c r="AJ71" s="90"/>
    </row>
    <row r="72" spans="1:36" s="11" customFormat="1" ht="14.4">
      <c r="A72" s="16"/>
      <c r="B72" s="201" t="s">
        <v>603</v>
      </c>
      <c r="C72" s="162" t="s">
        <v>28</v>
      </c>
      <c r="D72" s="108">
        <v>1</v>
      </c>
      <c r="E72" s="108" t="s">
        <v>57</v>
      </c>
      <c r="F72" s="108" t="s">
        <v>57</v>
      </c>
      <c r="G72" s="168">
        <v>3.75</v>
      </c>
      <c r="H72" s="92"/>
      <c r="I72" s="108">
        <f t="shared" si="68"/>
        <v>3.75</v>
      </c>
      <c r="J72" s="108">
        <f t="shared" si="69"/>
        <v>3.75</v>
      </c>
      <c r="K72" s="90"/>
      <c r="L72" s="162" t="s">
        <v>21</v>
      </c>
      <c r="M72" s="108">
        <v>1</v>
      </c>
      <c r="N72" s="263">
        <v>8.3000000000000007</v>
      </c>
      <c r="O72" s="169">
        <v>2.7</v>
      </c>
      <c r="P72" s="92"/>
      <c r="Q72" s="92"/>
      <c r="R72" s="108">
        <f t="shared" ref="R72:R89" si="91">(N72*O72-P72)*M72</f>
        <v>22.410000000000004</v>
      </c>
      <c r="S72" s="110"/>
      <c r="T72" s="108" t="s">
        <v>22</v>
      </c>
      <c r="U72" s="163">
        <f>N72*M72</f>
        <v>8.3000000000000007</v>
      </c>
      <c r="V72" s="90"/>
      <c r="W72" s="162" t="s">
        <v>17</v>
      </c>
      <c r="X72" s="108" t="str">
        <f t="shared" si="71"/>
        <v>cad</v>
      </c>
      <c r="Y72" s="108" t="str">
        <f t="shared" si="72"/>
        <v>cad</v>
      </c>
      <c r="Z72" s="108">
        <f t="shared" si="73"/>
        <v>3.75</v>
      </c>
      <c r="AA72" s="108">
        <f t="shared" si="74"/>
        <v>0</v>
      </c>
      <c r="AB72" s="108">
        <f t="shared" si="75"/>
        <v>3.75</v>
      </c>
      <c r="AC72" s="108">
        <f t="shared" si="76"/>
        <v>3.75</v>
      </c>
      <c r="AD72" s="90"/>
      <c r="AE72" s="92" t="s">
        <v>17</v>
      </c>
      <c r="AF72" s="108">
        <f t="shared" si="81"/>
        <v>8.3000000000000007</v>
      </c>
      <c r="AG72" s="90"/>
      <c r="AH72" s="90"/>
      <c r="AI72" s="90"/>
      <c r="AJ72" s="90"/>
    </row>
    <row r="73" spans="1:36" s="11" customFormat="1" ht="14.4">
      <c r="A73" s="16"/>
      <c r="B73" s="201" t="s">
        <v>604</v>
      </c>
      <c r="C73" s="162" t="s">
        <v>28</v>
      </c>
      <c r="D73" s="108">
        <v>1</v>
      </c>
      <c r="E73" s="108" t="s">
        <v>57</v>
      </c>
      <c r="F73" s="108" t="s">
        <v>57</v>
      </c>
      <c r="G73" s="168">
        <v>9.59</v>
      </c>
      <c r="H73" s="92"/>
      <c r="I73" s="108">
        <f t="shared" si="68"/>
        <v>9.59</v>
      </c>
      <c r="J73" s="108">
        <f t="shared" si="69"/>
        <v>9.59</v>
      </c>
      <c r="K73" s="90"/>
      <c r="L73" s="162" t="s">
        <v>21</v>
      </c>
      <c r="M73" s="108">
        <v>1</v>
      </c>
      <c r="N73" s="201">
        <v>12.92</v>
      </c>
      <c r="O73" s="169">
        <v>2.7</v>
      </c>
      <c r="P73" s="92"/>
      <c r="Q73" s="92"/>
      <c r="R73" s="108">
        <f t="shared" si="91"/>
        <v>34.884</v>
      </c>
      <c r="S73" s="110"/>
      <c r="T73" s="108" t="s">
        <v>22</v>
      </c>
      <c r="U73" s="163">
        <f t="shared" ref="U73:U89" si="92">N73*M73</f>
        <v>12.92</v>
      </c>
      <c r="V73" s="90"/>
      <c r="W73" s="162" t="s">
        <v>17</v>
      </c>
      <c r="X73" s="108" t="str">
        <f t="shared" si="71"/>
        <v>cad</v>
      </c>
      <c r="Y73" s="108" t="str">
        <f t="shared" si="72"/>
        <v>cad</v>
      </c>
      <c r="Z73" s="108">
        <f t="shared" si="73"/>
        <v>9.59</v>
      </c>
      <c r="AA73" s="108">
        <f t="shared" si="74"/>
        <v>0</v>
      </c>
      <c r="AB73" s="108">
        <f t="shared" si="75"/>
        <v>9.59</v>
      </c>
      <c r="AC73" s="108">
        <f t="shared" si="76"/>
        <v>9.59</v>
      </c>
      <c r="AD73" s="90"/>
      <c r="AE73" s="92" t="s">
        <v>17</v>
      </c>
      <c r="AF73" s="108">
        <f t="shared" si="81"/>
        <v>12.92</v>
      </c>
      <c r="AG73" s="90"/>
      <c r="AH73" s="90"/>
      <c r="AI73" s="90"/>
      <c r="AJ73" s="90"/>
    </row>
    <row r="74" spans="1:36" s="11" customFormat="1" ht="14.4">
      <c r="A74" s="16"/>
      <c r="B74" s="201" t="s">
        <v>394</v>
      </c>
      <c r="C74" s="162" t="s">
        <v>28</v>
      </c>
      <c r="D74" s="108">
        <v>1</v>
      </c>
      <c r="E74" s="108" t="s">
        <v>57</v>
      </c>
      <c r="F74" s="108" t="s">
        <v>57</v>
      </c>
      <c r="G74" s="168">
        <v>5.91</v>
      </c>
      <c r="H74" s="92"/>
      <c r="I74" s="108">
        <f t="shared" si="68"/>
        <v>5.91</v>
      </c>
      <c r="J74" s="108">
        <f t="shared" si="69"/>
        <v>5.91</v>
      </c>
      <c r="K74" s="90"/>
      <c r="L74" s="162" t="s">
        <v>21</v>
      </c>
      <c r="M74" s="108">
        <v>1</v>
      </c>
      <c r="N74" s="201">
        <v>10.19</v>
      </c>
      <c r="O74" s="169">
        <v>2.7</v>
      </c>
      <c r="P74" s="92"/>
      <c r="Q74" s="92"/>
      <c r="R74" s="108">
        <f t="shared" si="91"/>
        <v>27.513000000000002</v>
      </c>
      <c r="S74" s="110"/>
      <c r="T74" s="108" t="s">
        <v>22</v>
      </c>
      <c r="U74" s="163">
        <f t="shared" si="92"/>
        <v>10.19</v>
      </c>
      <c r="V74" s="90"/>
      <c r="W74" s="162" t="s">
        <v>17</v>
      </c>
      <c r="X74" s="108" t="str">
        <f t="shared" si="71"/>
        <v>cad</v>
      </c>
      <c r="Y74" s="108" t="str">
        <f t="shared" si="72"/>
        <v>cad</v>
      </c>
      <c r="Z74" s="108">
        <f t="shared" si="73"/>
        <v>5.91</v>
      </c>
      <c r="AA74" s="108">
        <f t="shared" si="74"/>
        <v>0</v>
      </c>
      <c r="AB74" s="108">
        <f t="shared" si="75"/>
        <v>5.91</v>
      </c>
      <c r="AC74" s="108">
        <f t="shared" si="76"/>
        <v>5.91</v>
      </c>
      <c r="AD74" s="90"/>
      <c r="AE74" s="92" t="s">
        <v>17</v>
      </c>
      <c r="AF74" s="108">
        <f t="shared" si="81"/>
        <v>10.19</v>
      </c>
      <c r="AG74" s="90"/>
      <c r="AH74" s="90"/>
      <c r="AI74" s="90"/>
      <c r="AJ74" s="90"/>
    </row>
    <row r="75" spans="1:36" s="11" customFormat="1" ht="14.4">
      <c r="A75" s="16"/>
      <c r="B75" s="201" t="s">
        <v>605</v>
      </c>
      <c r="C75" s="162" t="s">
        <v>28</v>
      </c>
      <c r="D75" s="108">
        <v>1</v>
      </c>
      <c r="E75" s="108" t="s">
        <v>57</v>
      </c>
      <c r="F75" s="108" t="s">
        <v>57</v>
      </c>
      <c r="G75" s="168">
        <v>6.24</v>
      </c>
      <c r="H75" s="92"/>
      <c r="I75" s="108">
        <f t="shared" si="68"/>
        <v>6.24</v>
      </c>
      <c r="J75" s="108">
        <f t="shared" si="69"/>
        <v>6.24</v>
      </c>
      <c r="K75" s="90"/>
      <c r="L75" s="162" t="s">
        <v>21</v>
      </c>
      <c r="M75" s="108">
        <v>1</v>
      </c>
      <c r="N75" s="264">
        <v>10</v>
      </c>
      <c r="O75" s="169">
        <v>2.7</v>
      </c>
      <c r="P75" s="92"/>
      <c r="Q75" s="92"/>
      <c r="R75" s="108">
        <f t="shared" si="91"/>
        <v>27</v>
      </c>
      <c r="S75" s="110"/>
      <c r="T75" s="108" t="s">
        <v>22</v>
      </c>
      <c r="U75" s="163">
        <f t="shared" si="92"/>
        <v>10</v>
      </c>
      <c r="V75" s="90"/>
      <c r="W75" s="162" t="s">
        <v>17</v>
      </c>
      <c r="X75" s="108" t="str">
        <f t="shared" si="71"/>
        <v>cad</v>
      </c>
      <c r="Y75" s="108" t="str">
        <f t="shared" si="72"/>
        <v>cad</v>
      </c>
      <c r="Z75" s="108">
        <f t="shared" si="73"/>
        <v>6.24</v>
      </c>
      <c r="AA75" s="108">
        <f t="shared" si="74"/>
        <v>0</v>
      </c>
      <c r="AB75" s="108">
        <f t="shared" si="75"/>
        <v>6.24</v>
      </c>
      <c r="AC75" s="108">
        <f t="shared" si="76"/>
        <v>6.24</v>
      </c>
      <c r="AD75" s="90"/>
      <c r="AE75" s="92" t="s">
        <v>17</v>
      </c>
      <c r="AF75" s="108">
        <f t="shared" si="81"/>
        <v>10</v>
      </c>
      <c r="AG75" s="90"/>
      <c r="AH75" s="90"/>
      <c r="AI75" s="90"/>
      <c r="AJ75" s="90"/>
    </row>
    <row r="76" spans="1:36" s="11" customFormat="1" ht="14.4">
      <c r="A76" s="16"/>
      <c r="B76" s="201" t="s">
        <v>606</v>
      </c>
      <c r="C76" s="162" t="s">
        <v>28</v>
      </c>
      <c r="D76" s="108">
        <v>1</v>
      </c>
      <c r="E76" s="108" t="s">
        <v>57</v>
      </c>
      <c r="F76" s="108" t="s">
        <v>57</v>
      </c>
      <c r="G76" s="168">
        <v>7.07</v>
      </c>
      <c r="H76" s="92"/>
      <c r="I76" s="108">
        <f t="shared" si="68"/>
        <v>7.07</v>
      </c>
      <c r="J76" s="108">
        <f t="shared" si="69"/>
        <v>7.07</v>
      </c>
      <c r="K76" s="90"/>
      <c r="L76" s="162" t="s">
        <v>21</v>
      </c>
      <c r="M76" s="108">
        <v>1</v>
      </c>
      <c r="N76" s="264">
        <v>11.12</v>
      </c>
      <c r="O76" s="169">
        <v>2.7</v>
      </c>
      <c r="P76" s="92"/>
      <c r="Q76" s="92"/>
      <c r="R76" s="108">
        <f t="shared" si="91"/>
        <v>30.024000000000001</v>
      </c>
      <c r="S76" s="110"/>
      <c r="T76" s="108" t="s">
        <v>22</v>
      </c>
      <c r="U76" s="163">
        <f t="shared" si="92"/>
        <v>11.12</v>
      </c>
      <c r="V76" s="90"/>
      <c r="W76" s="162" t="s">
        <v>17</v>
      </c>
      <c r="X76" s="108" t="str">
        <f t="shared" si="71"/>
        <v>cad</v>
      </c>
      <c r="Y76" s="108" t="str">
        <f t="shared" si="72"/>
        <v>cad</v>
      </c>
      <c r="Z76" s="108">
        <f t="shared" si="73"/>
        <v>7.07</v>
      </c>
      <c r="AA76" s="108">
        <f t="shared" si="74"/>
        <v>0</v>
      </c>
      <c r="AB76" s="108">
        <f t="shared" si="75"/>
        <v>7.07</v>
      </c>
      <c r="AC76" s="108">
        <f t="shared" si="76"/>
        <v>7.07</v>
      </c>
      <c r="AD76" s="90"/>
      <c r="AE76" s="92" t="s">
        <v>17</v>
      </c>
      <c r="AF76" s="108">
        <f t="shared" si="81"/>
        <v>11.12</v>
      </c>
      <c r="AG76" s="90"/>
      <c r="AH76" s="90"/>
      <c r="AI76" s="90"/>
      <c r="AJ76" s="90"/>
    </row>
    <row r="77" spans="1:36" s="11" customFormat="1" ht="14.4">
      <c r="A77" s="16"/>
      <c r="B77" s="201" t="s">
        <v>380</v>
      </c>
      <c r="C77" s="162" t="s">
        <v>28</v>
      </c>
      <c r="D77" s="108">
        <v>1</v>
      </c>
      <c r="E77" s="108" t="s">
        <v>57</v>
      </c>
      <c r="F77" s="108" t="s">
        <v>57</v>
      </c>
      <c r="G77" s="168">
        <v>11.2</v>
      </c>
      <c r="H77" s="92"/>
      <c r="I77" s="108">
        <f t="shared" si="68"/>
        <v>11.2</v>
      </c>
      <c r="J77" s="108">
        <f t="shared" si="69"/>
        <v>11.2</v>
      </c>
      <c r="K77" s="90"/>
      <c r="L77" s="162" t="s">
        <v>21</v>
      </c>
      <c r="M77" s="108">
        <v>1</v>
      </c>
      <c r="N77" s="264">
        <v>15.34</v>
      </c>
      <c r="O77" s="169">
        <v>2.7</v>
      </c>
      <c r="P77" s="92"/>
      <c r="Q77" s="92"/>
      <c r="R77" s="108">
        <f t="shared" si="91"/>
        <v>41.417999999999999</v>
      </c>
      <c r="S77" s="110"/>
      <c r="T77" s="108" t="s">
        <v>22</v>
      </c>
      <c r="U77" s="163">
        <f t="shared" si="92"/>
        <v>15.34</v>
      </c>
      <c r="V77" s="90"/>
      <c r="W77" s="162" t="s">
        <v>17</v>
      </c>
      <c r="X77" s="108" t="str">
        <f t="shared" si="71"/>
        <v>cad</v>
      </c>
      <c r="Y77" s="108" t="str">
        <f t="shared" si="72"/>
        <v>cad</v>
      </c>
      <c r="Z77" s="108">
        <f t="shared" si="73"/>
        <v>11.2</v>
      </c>
      <c r="AA77" s="108">
        <f t="shared" si="74"/>
        <v>0</v>
      </c>
      <c r="AB77" s="108">
        <f t="shared" si="75"/>
        <v>11.2</v>
      </c>
      <c r="AC77" s="108">
        <f t="shared" si="76"/>
        <v>11.2</v>
      </c>
      <c r="AD77" s="90"/>
      <c r="AE77" s="92" t="s">
        <v>17</v>
      </c>
      <c r="AF77" s="108">
        <f t="shared" si="81"/>
        <v>15.34</v>
      </c>
      <c r="AG77" s="90"/>
      <c r="AH77" s="90"/>
      <c r="AI77" s="90"/>
      <c r="AJ77" s="90"/>
    </row>
    <row r="78" spans="1:36" s="11" customFormat="1" ht="14.4">
      <c r="A78" s="16"/>
      <c r="B78" s="201" t="s">
        <v>608</v>
      </c>
      <c r="C78" s="162" t="s">
        <v>28</v>
      </c>
      <c r="D78" s="108">
        <v>1</v>
      </c>
      <c r="E78" s="108" t="s">
        <v>57</v>
      </c>
      <c r="F78" s="108" t="s">
        <v>57</v>
      </c>
      <c r="G78" s="169">
        <v>11.97</v>
      </c>
      <c r="H78" s="92"/>
      <c r="I78" s="108">
        <f t="shared" si="68"/>
        <v>11.97</v>
      </c>
      <c r="J78" s="108">
        <f t="shared" si="69"/>
        <v>11.97</v>
      </c>
      <c r="K78" s="90"/>
      <c r="L78" s="162" t="s">
        <v>21</v>
      </c>
      <c r="M78" s="108">
        <v>1</v>
      </c>
      <c r="N78" s="264">
        <v>14.65</v>
      </c>
      <c r="O78" s="169">
        <v>2.7</v>
      </c>
      <c r="P78" s="92"/>
      <c r="Q78" s="92"/>
      <c r="R78" s="108">
        <f t="shared" si="91"/>
        <v>39.555000000000007</v>
      </c>
      <c r="S78" s="110"/>
      <c r="T78" s="108" t="s">
        <v>22</v>
      </c>
      <c r="U78" s="92">
        <f t="shared" si="92"/>
        <v>14.65</v>
      </c>
      <c r="V78" s="90"/>
      <c r="W78" s="162" t="s">
        <v>17</v>
      </c>
      <c r="X78" s="108" t="str">
        <f t="shared" si="71"/>
        <v>cad</v>
      </c>
      <c r="Y78" s="108" t="str">
        <f t="shared" si="72"/>
        <v>cad</v>
      </c>
      <c r="Z78" s="108">
        <f t="shared" si="73"/>
        <v>11.97</v>
      </c>
      <c r="AA78" s="108"/>
      <c r="AB78" s="108">
        <f t="shared" si="75"/>
        <v>11.97</v>
      </c>
      <c r="AC78" s="108">
        <f t="shared" si="76"/>
        <v>11.97</v>
      </c>
      <c r="AD78" s="90"/>
      <c r="AE78" s="92" t="s">
        <v>17</v>
      </c>
      <c r="AF78" s="108">
        <f t="shared" si="81"/>
        <v>14.65</v>
      </c>
      <c r="AG78" s="90"/>
      <c r="AH78" s="90"/>
      <c r="AI78" s="90"/>
      <c r="AJ78" s="90"/>
    </row>
    <row r="79" spans="1:36" s="11" customFormat="1" ht="14.4">
      <c r="A79" s="16"/>
      <c r="B79" s="201" t="s">
        <v>609</v>
      </c>
      <c r="C79" s="162" t="s">
        <v>28</v>
      </c>
      <c r="D79" s="108">
        <v>1</v>
      </c>
      <c r="E79" s="108" t="s">
        <v>57</v>
      </c>
      <c r="F79" s="108" t="s">
        <v>57</v>
      </c>
      <c r="G79" s="169">
        <v>7.7</v>
      </c>
      <c r="H79" s="92"/>
      <c r="I79" s="108">
        <f t="shared" si="68"/>
        <v>7.7</v>
      </c>
      <c r="J79" s="108">
        <f t="shared" si="69"/>
        <v>7.7</v>
      </c>
      <c r="K79" s="90"/>
      <c r="L79" s="162" t="s">
        <v>21</v>
      </c>
      <c r="M79" s="108">
        <v>1</v>
      </c>
      <c r="N79" s="264">
        <v>11.4</v>
      </c>
      <c r="O79" s="169">
        <v>2.7</v>
      </c>
      <c r="P79" s="92"/>
      <c r="Q79" s="92"/>
      <c r="R79" s="108">
        <f t="shared" si="91"/>
        <v>30.780000000000005</v>
      </c>
      <c r="S79" s="110"/>
      <c r="T79" s="108" t="s">
        <v>22</v>
      </c>
      <c r="U79" s="163">
        <f t="shared" si="92"/>
        <v>11.4</v>
      </c>
      <c r="V79" s="90"/>
      <c r="W79" s="162" t="s">
        <v>17</v>
      </c>
      <c r="X79" s="108" t="str">
        <f t="shared" si="71"/>
        <v>cad</v>
      </c>
      <c r="Y79" s="108" t="str">
        <f t="shared" si="72"/>
        <v>cad</v>
      </c>
      <c r="Z79" s="108">
        <f t="shared" si="73"/>
        <v>7.7</v>
      </c>
      <c r="AA79" s="108"/>
      <c r="AB79" s="108">
        <f t="shared" si="75"/>
        <v>7.7</v>
      </c>
      <c r="AC79" s="108">
        <f t="shared" si="76"/>
        <v>7.7</v>
      </c>
      <c r="AD79" s="90"/>
      <c r="AE79" s="92" t="s">
        <v>17</v>
      </c>
      <c r="AF79" s="108">
        <f t="shared" si="81"/>
        <v>11.4</v>
      </c>
      <c r="AG79" s="90"/>
      <c r="AH79" s="90"/>
      <c r="AI79" s="90"/>
      <c r="AJ79" s="90"/>
    </row>
    <row r="80" spans="1:36" s="11" customFormat="1" ht="14.4">
      <c r="A80" s="16"/>
      <c r="B80" s="201" t="s">
        <v>609</v>
      </c>
      <c r="C80" s="162" t="s">
        <v>28</v>
      </c>
      <c r="D80" s="108">
        <v>1</v>
      </c>
      <c r="E80" s="108" t="s">
        <v>57</v>
      </c>
      <c r="F80" s="108" t="s">
        <v>57</v>
      </c>
      <c r="G80" s="169">
        <v>10.28</v>
      </c>
      <c r="H80" s="92"/>
      <c r="I80" s="108">
        <f t="shared" si="68"/>
        <v>10.28</v>
      </c>
      <c r="J80" s="108">
        <f t="shared" si="69"/>
        <v>10.28</v>
      </c>
      <c r="K80" s="90"/>
      <c r="L80" s="162" t="s">
        <v>21</v>
      </c>
      <c r="M80" s="108">
        <v>1</v>
      </c>
      <c r="N80" s="264">
        <v>14.1</v>
      </c>
      <c r="O80" s="169">
        <v>2.7</v>
      </c>
      <c r="P80" s="92"/>
      <c r="Q80" s="92"/>
      <c r="R80" s="108">
        <f t="shared" si="91"/>
        <v>38.07</v>
      </c>
      <c r="S80" s="110"/>
      <c r="T80" s="108" t="s">
        <v>22</v>
      </c>
      <c r="U80" s="163">
        <f t="shared" si="92"/>
        <v>14.1</v>
      </c>
      <c r="V80" s="90"/>
      <c r="W80" s="162" t="s">
        <v>17</v>
      </c>
      <c r="X80" s="108" t="str">
        <f t="shared" si="71"/>
        <v>cad</v>
      </c>
      <c r="Y80" s="108" t="str">
        <f t="shared" si="72"/>
        <v>cad</v>
      </c>
      <c r="Z80" s="108">
        <f t="shared" si="73"/>
        <v>10.28</v>
      </c>
      <c r="AA80" s="108"/>
      <c r="AB80" s="108">
        <f t="shared" si="75"/>
        <v>10.28</v>
      </c>
      <c r="AC80" s="108">
        <f t="shared" si="76"/>
        <v>10.28</v>
      </c>
      <c r="AD80" s="90"/>
      <c r="AE80" s="92" t="s">
        <v>17</v>
      </c>
      <c r="AF80" s="108">
        <f t="shared" si="81"/>
        <v>14.1</v>
      </c>
      <c r="AG80" s="90"/>
      <c r="AH80" s="90"/>
      <c r="AI80" s="90"/>
      <c r="AJ80" s="90"/>
    </row>
    <row r="81" spans="1:36" s="11" customFormat="1" ht="14.4">
      <c r="A81" s="16"/>
      <c r="B81" s="201" t="s">
        <v>567</v>
      </c>
      <c r="C81" s="162" t="s">
        <v>28</v>
      </c>
      <c r="D81" s="108">
        <v>1</v>
      </c>
      <c r="E81" s="108" t="s">
        <v>57</v>
      </c>
      <c r="F81" s="108" t="s">
        <v>57</v>
      </c>
      <c r="G81" s="169">
        <v>9.23</v>
      </c>
      <c r="H81" s="92"/>
      <c r="I81" s="108">
        <f t="shared" si="68"/>
        <v>9.23</v>
      </c>
      <c r="J81" s="108">
        <f t="shared" si="69"/>
        <v>9.23</v>
      </c>
      <c r="K81" s="90"/>
      <c r="L81" s="162" t="s">
        <v>21</v>
      </c>
      <c r="M81" s="108">
        <v>1</v>
      </c>
      <c r="N81" s="264">
        <f>12.77-1.2</f>
        <v>11.57</v>
      </c>
      <c r="O81" s="169">
        <v>2.7</v>
      </c>
      <c r="P81" s="92"/>
      <c r="Q81" s="92"/>
      <c r="R81" s="108">
        <f t="shared" si="91"/>
        <v>31.239000000000004</v>
      </c>
      <c r="S81" s="110"/>
      <c r="T81" s="108" t="s">
        <v>22</v>
      </c>
      <c r="U81" s="163">
        <f t="shared" si="92"/>
        <v>11.57</v>
      </c>
      <c r="V81" s="90"/>
      <c r="W81" s="162" t="s">
        <v>27</v>
      </c>
      <c r="X81" s="108" t="str">
        <f t="shared" si="71"/>
        <v>cad</v>
      </c>
      <c r="Y81" s="108" t="str">
        <f t="shared" si="72"/>
        <v>cad</v>
      </c>
      <c r="Z81" s="108">
        <f t="shared" si="73"/>
        <v>9.23</v>
      </c>
      <c r="AA81" s="108"/>
      <c r="AB81" s="108">
        <f t="shared" si="75"/>
        <v>9.23</v>
      </c>
      <c r="AC81" s="108">
        <f t="shared" si="76"/>
        <v>9.23</v>
      </c>
      <c r="AD81" s="90"/>
      <c r="AE81" s="92"/>
      <c r="AF81" s="108">
        <f t="shared" si="81"/>
        <v>11.57</v>
      </c>
      <c r="AG81" s="90"/>
      <c r="AH81" s="90"/>
      <c r="AI81" s="90"/>
      <c r="AJ81" s="90"/>
    </row>
    <row r="82" spans="1:36" s="11" customFormat="1" ht="14.4">
      <c r="A82" s="16"/>
      <c r="B82" s="201" t="s">
        <v>567</v>
      </c>
      <c r="C82" s="162" t="s">
        <v>28</v>
      </c>
      <c r="D82" s="108">
        <v>1</v>
      </c>
      <c r="E82" s="108" t="s">
        <v>57</v>
      </c>
      <c r="F82" s="108" t="s">
        <v>57</v>
      </c>
      <c r="G82" s="169">
        <v>9.41</v>
      </c>
      <c r="H82" s="92"/>
      <c r="I82" s="108">
        <f t="shared" si="68"/>
        <v>9.41</v>
      </c>
      <c r="J82" s="108">
        <f t="shared" si="69"/>
        <v>9.41</v>
      </c>
      <c r="K82" s="90"/>
      <c r="L82" s="162" t="s">
        <v>21</v>
      </c>
      <c r="M82" s="108">
        <v>1</v>
      </c>
      <c r="N82" s="264">
        <f>13.07-1.2</f>
        <v>11.870000000000001</v>
      </c>
      <c r="O82" s="169">
        <v>2.7</v>
      </c>
      <c r="P82" s="92"/>
      <c r="Q82" s="92"/>
      <c r="R82" s="108">
        <f t="shared" si="91"/>
        <v>32.049000000000007</v>
      </c>
      <c r="S82" s="110"/>
      <c r="T82" s="108" t="s">
        <v>22</v>
      </c>
      <c r="U82" s="163">
        <f t="shared" si="92"/>
        <v>11.870000000000001</v>
      </c>
      <c r="V82" s="90"/>
      <c r="W82" s="162" t="s">
        <v>27</v>
      </c>
      <c r="X82" s="108" t="str">
        <f t="shared" si="71"/>
        <v>cad</v>
      </c>
      <c r="Y82" s="108" t="str">
        <f t="shared" si="72"/>
        <v>cad</v>
      </c>
      <c r="Z82" s="108">
        <f t="shared" si="73"/>
        <v>9.41</v>
      </c>
      <c r="AA82" s="108"/>
      <c r="AB82" s="108">
        <f t="shared" si="75"/>
        <v>9.41</v>
      </c>
      <c r="AC82" s="108">
        <f t="shared" si="76"/>
        <v>9.41</v>
      </c>
      <c r="AD82" s="90"/>
      <c r="AE82" s="92"/>
      <c r="AF82" s="108">
        <f t="shared" si="81"/>
        <v>11.870000000000001</v>
      </c>
      <c r="AG82" s="90"/>
      <c r="AH82" s="90"/>
      <c r="AI82" s="90"/>
      <c r="AJ82" s="90"/>
    </row>
    <row r="83" spans="1:36" s="11" customFormat="1" ht="14.4">
      <c r="A83" s="16"/>
      <c r="B83" s="201" t="s">
        <v>613</v>
      </c>
      <c r="C83" s="162" t="s">
        <v>20</v>
      </c>
      <c r="D83" s="108">
        <v>2</v>
      </c>
      <c r="E83" s="108" t="s">
        <v>57</v>
      </c>
      <c r="F83" s="108" t="s">
        <v>57</v>
      </c>
      <c r="G83" s="169">
        <v>3.96</v>
      </c>
      <c r="H83" s="92"/>
      <c r="I83" s="108">
        <f t="shared" ref="I83:I89" si="93">(G83-H83)</f>
        <v>3.96</v>
      </c>
      <c r="J83" s="108">
        <f t="shared" ref="J83:J89" si="94">I83*D83</f>
        <v>7.92</v>
      </c>
      <c r="K83" s="90"/>
      <c r="L83" s="162" t="s">
        <v>18</v>
      </c>
      <c r="M83" s="108">
        <v>2</v>
      </c>
      <c r="N83" s="169">
        <v>8.1</v>
      </c>
      <c r="O83" s="168">
        <v>2.7</v>
      </c>
      <c r="P83" s="92"/>
      <c r="Q83" s="92"/>
      <c r="R83" s="108">
        <f t="shared" si="91"/>
        <v>43.74</v>
      </c>
      <c r="S83" s="110"/>
      <c r="T83" s="108" t="s">
        <v>18</v>
      </c>
      <c r="U83" s="163">
        <f t="shared" si="92"/>
        <v>16.2</v>
      </c>
      <c r="V83" s="90"/>
      <c r="W83" s="162" t="s">
        <v>18</v>
      </c>
      <c r="X83" s="108" t="str">
        <f t="shared" ref="X83:Z89" si="95">E83</f>
        <v>cad</v>
      </c>
      <c r="Y83" s="108" t="str">
        <f t="shared" si="95"/>
        <v>cad</v>
      </c>
      <c r="Z83" s="108">
        <f t="shared" si="95"/>
        <v>3.96</v>
      </c>
      <c r="AA83" s="108"/>
      <c r="AB83" s="108">
        <f t="shared" ref="AB83:AC89" si="96">I83</f>
        <v>3.96</v>
      </c>
      <c r="AC83" s="108">
        <f t="shared" si="96"/>
        <v>7.92</v>
      </c>
      <c r="AD83" s="90"/>
      <c r="AE83" s="92" t="s">
        <v>17</v>
      </c>
      <c r="AF83" s="108">
        <f t="shared" si="81"/>
        <v>16.2</v>
      </c>
      <c r="AG83" s="90"/>
      <c r="AH83" s="90"/>
      <c r="AI83" s="90"/>
      <c r="AJ83" s="90"/>
    </row>
    <row r="84" spans="1:36" s="11" customFormat="1" ht="14.4">
      <c r="A84" s="16"/>
      <c r="B84" s="201" t="s">
        <v>613</v>
      </c>
      <c r="C84" s="162" t="s">
        <v>20</v>
      </c>
      <c r="D84" s="108">
        <v>1</v>
      </c>
      <c r="E84" s="108" t="s">
        <v>57</v>
      </c>
      <c r="F84" s="108" t="s">
        <v>57</v>
      </c>
      <c r="G84" s="169">
        <v>3.79</v>
      </c>
      <c r="H84" s="92"/>
      <c r="I84" s="108">
        <f t="shared" si="93"/>
        <v>3.79</v>
      </c>
      <c r="J84" s="108">
        <f t="shared" si="94"/>
        <v>3.79</v>
      </c>
      <c r="K84" s="90"/>
      <c r="L84" s="162" t="s">
        <v>18</v>
      </c>
      <c r="M84" s="108">
        <v>1</v>
      </c>
      <c r="N84" s="169">
        <v>8.09</v>
      </c>
      <c r="O84" s="168">
        <v>2.7</v>
      </c>
      <c r="P84" s="92"/>
      <c r="Q84" s="92"/>
      <c r="R84" s="108">
        <f t="shared" si="91"/>
        <v>21.843</v>
      </c>
      <c r="S84" s="110"/>
      <c r="T84" s="108" t="s">
        <v>18</v>
      </c>
      <c r="U84" s="163">
        <f t="shared" si="92"/>
        <v>8.09</v>
      </c>
      <c r="V84" s="90"/>
      <c r="W84" s="162" t="s">
        <v>18</v>
      </c>
      <c r="X84" s="108" t="str">
        <f t="shared" si="95"/>
        <v>cad</v>
      </c>
      <c r="Y84" s="108" t="str">
        <f t="shared" si="95"/>
        <v>cad</v>
      </c>
      <c r="Z84" s="108">
        <f t="shared" si="95"/>
        <v>3.79</v>
      </c>
      <c r="AA84" s="108"/>
      <c r="AB84" s="108">
        <f t="shared" si="96"/>
        <v>3.79</v>
      </c>
      <c r="AC84" s="108">
        <f t="shared" si="96"/>
        <v>3.79</v>
      </c>
      <c r="AD84" s="90"/>
      <c r="AE84" s="92" t="s">
        <v>17</v>
      </c>
      <c r="AF84" s="108">
        <f t="shared" si="81"/>
        <v>8.09</v>
      </c>
      <c r="AG84" s="90"/>
      <c r="AH84" s="90"/>
      <c r="AI84" s="90"/>
      <c r="AJ84" s="90"/>
    </row>
    <row r="85" spans="1:36" s="11" customFormat="1" ht="14.4">
      <c r="A85" s="16"/>
      <c r="B85" s="201" t="s">
        <v>613</v>
      </c>
      <c r="C85" s="162" t="s">
        <v>20</v>
      </c>
      <c r="D85" s="108">
        <v>1</v>
      </c>
      <c r="E85" s="108" t="s">
        <v>57</v>
      </c>
      <c r="F85" s="108" t="s">
        <v>57</v>
      </c>
      <c r="G85" s="169">
        <v>4.12</v>
      </c>
      <c r="H85" s="92"/>
      <c r="I85" s="108">
        <f t="shared" si="93"/>
        <v>4.12</v>
      </c>
      <c r="J85" s="108">
        <f t="shared" si="94"/>
        <v>4.12</v>
      </c>
      <c r="K85" s="90"/>
      <c r="L85" s="162" t="s">
        <v>18</v>
      </c>
      <c r="M85" s="108">
        <v>1</v>
      </c>
      <c r="N85" s="169">
        <v>8.3000000000000007</v>
      </c>
      <c r="O85" s="168">
        <v>2.7</v>
      </c>
      <c r="P85" s="92"/>
      <c r="Q85" s="92"/>
      <c r="R85" s="108">
        <f t="shared" si="91"/>
        <v>22.410000000000004</v>
      </c>
      <c r="S85" s="110"/>
      <c r="T85" s="108" t="s">
        <v>18</v>
      </c>
      <c r="U85" s="163">
        <f t="shared" si="92"/>
        <v>8.3000000000000007</v>
      </c>
      <c r="V85" s="90"/>
      <c r="W85" s="162" t="s">
        <v>18</v>
      </c>
      <c r="X85" s="108" t="str">
        <f t="shared" si="95"/>
        <v>cad</v>
      </c>
      <c r="Y85" s="108" t="str">
        <f t="shared" si="95"/>
        <v>cad</v>
      </c>
      <c r="Z85" s="108">
        <f t="shared" si="95"/>
        <v>4.12</v>
      </c>
      <c r="AA85" s="108"/>
      <c r="AB85" s="108">
        <f t="shared" si="96"/>
        <v>4.12</v>
      </c>
      <c r="AC85" s="108">
        <f t="shared" si="96"/>
        <v>4.12</v>
      </c>
      <c r="AD85" s="90"/>
      <c r="AE85" s="92" t="s">
        <v>17</v>
      </c>
      <c r="AF85" s="108">
        <f t="shared" si="81"/>
        <v>8.3000000000000007</v>
      </c>
      <c r="AG85" s="90"/>
      <c r="AH85" s="90"/>
      <c r="AI85" s="90"/>
      <c r="AJ85" s="90"/>
    </row>
    <row r="86" spans="1:36" s="11" customFormat="1" ht="14.4">
      <c r="A86" s="16"/>
      <c r="B86" s="201" t="s">
        <v>614</v>
      </c>
      <c r="C86" s="162" t="s">
        <v>20</v>
      </c>
      <c r="D86" s="108">
        <v>2</v>
      </c>
      <c r="E86" s="108" t="s">
        <v>57</v>
      </c>
      <c r="F86" s="108" t="s">
        <v>57</v>
      </c>
      <c r="G86" s="169">
        <v>3.76</v>
      </c>
      <c r="H86" s="92"/>
      <c r="I86" s="108">
        <f t="shared" si="93"/>
        <v>3.76</v>
      </c>
      <c r="J86" s="108">
        <f t="shared" si="94"/>
        <v>7.52</v>
      </c>
      <c r="K86" s="90"/>
      <c r="L86" s="162" t="s">
        <v>18</v>
      </c>
      <c r="M86" s="108">
        <v>2</v>
      </c>
      <c r="N86" s="169">
        <v>8.1</v>
      </c>
      <c r="O86" s="168">
        <v>2.7</v>
      </c>
      <c r="P86" s="92"/>
      <c r="Q86" s="92"/>
      <c r="R86" s="108">
        <f t="shared" si="91"/>
        <v>43.74</v>
      </c>
      <c r="S86" s="110"/>
      <c r="T86" s="108" t="s">
        <v>18</v>
      </c>
      <c r="U86" s="163">
        <f t="shared" si="92"/>
        <v>16.2</v>
      </c>
      <c r="V86" s="90"/>
      <c r="W86" s="162" t="s">
        <v>18</v>
      </c>
      <c r="X86" s="108" t="str">
        <f t="shared" si="95"/>
        <v>cad</v>
      </c>
      <c r="Y86" s="108" t="str">
        <f t="shared" si="95"/>
        <v>cad</v>
      </c>
      <c r="Z86" s="108">
        <f t="shared" si="95"/>
        <v>3.76</v>
      </c>
      <c r="AA86" s="108"/>
      <c r="AB86" s="108">
        <f t="shared" si="96"/>
        <v>3.76</v>
      </c>
      <c r="AC86" s="108">
        <f t="shared" si="96"/>
        <v>7.52</v>
      </c>
      <c r="AD86" s="90"/>
      <c r="AE86" s="92" t="s">
        <v>17</v>
      </c>
      <c r="AF86" s="108">
        <f t="shared" si="81"/>
        <v>16.2</v>
      </c>
      <c r="AG86" s="90"/>
      <c r="AH86" s="90"/>
      <c r="AI86" s="90"/>
      <c r="AJ86" s="90"/>
    </row>
    <row r="87" spans="1:36" s="11" customFormat="1" ht="14.4">
      <c r="A87" s="16"/>
      <c r="B87" s="201" t="s">
        <v>617</v>
      </c>
      <c r="C87" s="162" t="s">
        <v>20</v>
      </c>
      <c r="D87" s="108">
        <v>1</v>
      </c>
      <c r="E87" s="108" t="s">
        <v>57</v>
      </c>
      <c r="F87" s="108" t="s">
        <v>57</v>
      </c>
      <c r="G87" s="169">
        <v>2.4900000000000002</v>
      </c>
      <c r="H87" s="92"/>
      <c r="I87" s="108">
        <f t="shared" si="93"/>
        <v>2.4900000000000002</v>
      </c>
      <c r="J87" s="108">
        <f t="shared" si="94"/>
        <v>2.4900000000000002</v>
      </c>
      <c r="K87" s="90"/>
      <c r="L87" s="162" t="s">
        <v>18</v>
      </c>
      <c r="M87" s="108">
        <v>1</v>
      </c>
      <c r="N87" s="169">
        <v>6.49</v>
      </c>
      <c r="O87" s="168">
        <v>2.7</v>
      </c>
      <c r="P87" s="92"/>
      <c r="Q87" s="92"/>
      <c r="R87" s="108">
        <f t="shared" si="91"/>
        <v>17.523000000000003</v>
      </c>
      <c r="S87" s="110"/>
      <c r="T87" s="108" t="s">
        <v>18</v>
      </c>
      <c r="U87" s="163">
        <f t="shared" si="92"/>
        <v>6.49</v>
      </c>
      <c r="V87" s="90"/>
      <c r="W87" s="162" t="s">
        <v>18</v>
      </c>
      <c r="X87" s="108" t="str">
        <f t="shared" si="95"/>
        <v>cad</v>
      </c>
      <c r="Y87" s="108" t="str">
        <f t="shared" si="95"/>
        <v>cad</v>
      </c>
      <c r="Z87" s="108">
        <f t="shared" si="95"/>
        <v>2.4900000000000002</v>
      </c>
      <c r="AA87" s="108"/>
      <c r="AB87" s="108">
        <f t="shared" si="96"/>
        <v>2.4900000000000002</v>
      </c>
      <c r="AC87" s="108">
        <f t="shared" si="96"/>
        <v>2.4900000000000002</v>
      </c>
      <c r="AD87" s="90"/>
      <c r="AE87" s="92" t="s">
        <v>17</v>
      </c>
      <c r="AF87" s="108">
        <f t="shared" si="81"/>
        <v>6.49</v>
      </c>
      <c r="AG87" s="90"/>
      <c r="AH87" s="90"/>
      <c r="AI87" s="90"/>
      <c r="AJ87" s="90"/>
    </row>
    <row r="88" spans="1:36" s="11" customFormat="1" ht="14.4">
      <c r="A88" s="16"/>
      <c r="B88" s="201" t="s">
        <v>617</v>
      </c>
      <c r="C88" s="162" t="s">
        <v>20</v>
      </c>
      <c r="D88" s="108">
        <v>1</v>
      </c>
      <c r="E88" s="108" t="s">
        <v>57</v>
      </c>
      <c r="F88" s="108" t="s">
        <v>57</v>
      </c>
      <c r="G88" s="169">
        <v>2.4500000000000002</v>
      </c>
      <c r="H88" s="92"/>
      <c r="I88" s="108">
        <f t="shared" si="93"/>
        <v>2.4500000000000002</v>
      </c>
      <c r="J88" s="108">
        <f t="shared" si="94"/>
        <v>2.4500000000000002</v>
      </c>
      <c r="K88" s="90"/>
      <c r="L88" s="162" t="s">
        <v>18</v>
      </c>
      <c r="M88" s="108">
        <v>1</v>
      </c>
      <c r="N88" s="169">
        <v>6.36</v>
      </c>
      <c r="O88" s="168">
        <v>2.7</v>
      </c>
      <c r="P88" s="92"/>
      <c r="Q88" s="92"/>
      <c r="R88" s="108">
        <f t="shared" si="91"/>
        <v>17.172000000000001</v>
      </c>
      <c r="S88" s="110"/>
      <c r="T88" s="108" t="s">
        <v>18</v>
      </c>
      <c r="U88" s="163">
        <f t="shared" si="92"/>
        <v>6.36</v>
      </c>
      <c r="V88" s="90"/>
      <c r="W88" s="162" t="s">
        <v>18</v>
      </c>
      <c r="X88" s="108" t="str">
        <f t="shared" si="95"/>
        <v>cad</v>
      </c>
      <c r="Y88" s="108" t="str">
        <f t="shared" si="95"/>
        <v>cad</v>
      </c>
      <c r="Z88" s="108">
        <f t="shared" si="95"/>
        <v>2.4500000000000002</v>
      </c>
      <c r="AA88" s="108"/>
      <c r="AB88" s="108">
        <f t="shared" si="96"/>
        <v>2.4500000000000002</v>
      </c>
      <c r="AC88" s="108">
        <f t="shared" si="96"/>
        <v>2.4500000000000002</v>
      </c>
      <c r="AD88" s="90"/>
      <c r="AE88" s="92" t="s">
        <v>17</v>
      </c>
      <c r="AF88" s="108">
        <f t="shared" si="81"/>
        <v>6.36</v>
      </c>
      <c r="AG88" s="90"/>
      <c r="AH88" s="90"/>
      <c r="AI88" s="90"/>
      <c r="AJ88" s="90"/>
    </row>
    <row r="89" spans="1:36" s="11" customFormat="1" ht="14.4">
      <c r="A89" s="16"/>
      <c r="B89" s="201" t="s">
        <v>618</v>
      </c>
      <c r="C89" s="162" t="s">
        <v>20</v>
      </c>
      <c r="D89" s="108">
        <v>2</v>
      </c>
      <c r="E89" s="108" t="s">
        <v>57</v>
      </c>
      <c r="F89" s="108" t="s">
        <v>57</v>
      </c>
      <c r="G89" s="169">
        <v>2.76</v>
      </c>
      <c r="H89" s="92"/>
      <c r="I89" s="108">
        <f t="shared" si="93"/>
        <v>2.76</v>
      </c>
      <c r="J89" s="108">
        <f t="shared" si="94"/>
        <v>5.52</v>
      </c>
      <c r="K89" s="90"/>
      <c r="L89" s="162" t="s">
        <v>18</v>
      </c>
      <c r="M89" s="108">
        <v>2</v>
      </c>
      <c r="N89" s="169">
        <v>6.65</v>
      </c>
      <c r="O89" s="168">
        <v>2.7</v>
      </c>
      <c r="P89" s="92"/>
      <c r="Q89" s="92"/>
      <c r="R89" s="108">
        <f t="shared" si="91"/>
        <v>35.910000000000004</v>
      </c>
      <c r="S89" s="110"/>
      <c r="T89" s="108" t="s">
        <v>18</v>
      </c>
      <c r="U89" s="163">
        <f t="shared" si="92"/>
        <v>13.3</v>
      </c>
      <c r="V89" s="90"/>
      <c r="W89" s="162" t="s">
        <v>18</v>
      </c>
      <c r="X89" s="108" t="str">
        <f t="shared" si="95"/>
        <v>cad</v>
      </c>
      <c r="Y89" s="108" t="str">
        <f t="shared" si="95"/>
        <v>cad</v>
      </c>
      <c r="Z89" s="108">
        <f t="shared" si="95"/>
        <v>2.76</v>
      </c>
      <c r="AA89" s="108"/>
      <c r="AB89" s="108">
        <f t="shared" si="96"/>
        <v>2.76</v>
      </c>
      <c r="AC89" s="108">
        <f t="shared" si="96"/>
        <v>5.52</v>
      </c>
      <c r="AD89" s="90"/>
      <c r="AE89" s="92" t="s">
        <v>17</v>
      </c>
      <c r="AF89" s="108">
        <f t="shared" si="81"/>
        <v>13.3</v>
      </c>
      <c r="AG89" s="90"/>
      <c r="AH89" s="90"/>
      <c r="AI89" s="90"/>
      <c r="AJ89" s="90"/>
    </row>
    <row r="90" spans="1:36" s="11" customFormat="1" ht="14.4">
      <c r="A90" s="18"/>
      <c r="B90" s="138" t="s">
        <v>129</v>
      </c>
      <c r="C90" s="162" t="s">
        <v>28</v>
      </c>
      <c r="D90" s="108">
        <v>1</v>
      </c>
      <c r="E90" s="108" t="s">
        <v>57</v>
      </c>
      <c r="F90" s="108" t="s">
        <v>57</v>
      </c>
      <c r="G90" s="145">
        <v>14.32</v>
      </c>
      <c r="H90" s="92"/>
      <c r="I90" s="108">
        <f t="shared" si="68"/>
        <v>14.32</v>
      </c>
      <c r="J90" s="108">
        <f t="shared" si="69"/>
        <v>14.32</v>
      </c>
      <c r="K90" s="90"/>
      <c r="L90" s="162" t="s">
        <v>21</v>
      </c>
      <c r="M90" s="108">
        <v>1</v>
      </c>
      <c r="N90" s="145">
        <v>16.5</v>
      </c>
      <c r="O90" s="123">
        <v>2.7</v>
      </c>
      <c r="P90" s="92"/>
      <c r="Q90" s="92"/>
      <c r="R90" s="108">
        <f t="shared" si="70"/>
        <v>44.550000000000004</v>
      </c>
      <c r="S90" s="110"/>
      <c r="T90" s="108" t="s">
        <v>22</v>
      </c>
      <c r="U90" s="163">
        <f>N90*M90</f>
        <v>16.5</v>
      </c>
      <c r="V90" s="90"/>
      <c r="W90" s="162" t="s">
        <v>17</v>
      </c>
      <c r="X90" s="108" t="str">
        <f t="shared" si="71"/>
        <v>cad</v>
      </c>
      <c r="Y90" s="108" t="str">
        <f t="shared" si="72"/>
        <v>cad</v>
      </c>
      <c r="Z90" s="108">
        <f t="shared" si="73"/>
        <v>14.32</v>
      </c>
      <c r="AA90" s="108">
        <f t="shared" si="74"/>
        <v>0</v>
      </c>
      <c r="AB90" s="108">
        <f t="shared" si="75"/>
        <v>14.32</v>
      </c>
      <c r="AC90" s="108">
        <f t="shared" si="76"/>
        <v>14.32</v>
      </c>
      <c r="AD90" s="90"/>
      <c r="AE90" s="92" t="s">
        <v>357</v>
      </c>
      <c r="AF90" s="108">
        <f t="shared" ref="AF90:AF91" si="97">N90*M90</f>
        <v>16.5</v>
      </c>
      <c r="AG90" s="90"/>
      <c r="AH90" s="90"/>
      <c r="AI90" s="90"/>
      <c r="AJ90" s="90"/>
    </row>
    <row r="91" spans="1:36" s="11" customFormat="1" ht="14.4">
      <c r="A91" s="18"/>
      <c r="B91" s="138" t="s">
        <v>79</v>
      </c>
      <c r="C91" s="162" t="s">
        <v>28</v>
      </c>
      <c r="D91" s="108">
        <v>1</v>
      </c>
      <c r="E91" s="108" t="s">
        <v>57</v>
      </c>
      <c r="F91" s="108" t="s">
        <v>57</v>
      </c>
      <c r="G91" s="145">
        <v>16.78</v>
      </c>
      <c r="H91" s="92"/>
      <c r="I91" s="108">
        <f t="shared" si="68"/>
        <v>16.78</v>
      </c>
      <c r="J91" s="108">
        <f t="shared" si="69"/>
        <v>16.78</v>
      </c>
      <c r="K91" s="90"/>
      <c r="L91" s="162" t="s">
        <v>21</v>
      </c>
      <c r="M91" s="108">
        <v>1</v>
      </c>
      <c r="N91" s="145">
        <v>16.899999999999999</v>
      </c>
      <c r="O91" s="123">
        <v>2.7</v>
      </c>
      <c r="P91" s="92"/>
      <c r="Q91" s="92"/>
      <c r="R91" s="108">
        <f t="shared" si="70"/>
        <v>45.63</v>
      </c>
      <c r="S91" s="110"/>
      <c r="T91" s="162" t="s">
        <v>22</v>
      </c>
      <c r="U91" s="163">
        <f>N91*M91</f>
        <v>16.899999999999999</v>
      </c>
      <c r="V91" s="90"/>
      <c r="W91" s="162" t="s">
        <v>17</v>
      </c>
      <c r="X91" s="108" t="str">
        <f t="shared" si="71"/>
        <v>cad</v>
      </c>
      <c r="Y91" s="108" t="str">
        <f t="shared" si="72"/>
        <v>cad</v>
      </c>
      <c r="Z91" s="108">
        <f t="shared" si="73"/>
        <v>16.78</v>
      </c>
      <c r="AA91" s="108">
        <f t="shared" si="74"/>
        <v>0</v>
      </c>
      <c r="AB91" s="108">
        <f t="shared" si="75"/>
        <v>16.78</v>
      </c>
      <c r="AC91" s="108">
        <f t="shared" si="76"/>
        <v>16.78</v>
      </c>
      <c r="AD91" s="90"/>
      <c r="AE91" s="92" t="s">
        <v>17</v>
      </c>
      <c r="AF91" s="108">
        <f t="shared" si="97"/>
        <v>16.899999999999999</v>
      </c>
      <c r="AG91" s="90"/>
      <c r="AH91" s="90"/>
      <c r="AI91" s="90"/>
      <c r="AJ91" s="90"/>
    </row>
    <row r="92" spans="1:36" s="11" customFormat="1" ht="14.4">
      <c r="A92" s="18"/>
      <c r="B92" s="138" t="s">
        <v>119</v>
      </c>
      <c r="C92" s="162" t="s">
        <v>120</v>
      </c>
      <c r="D92" s="108">
        <v>1</v>
      </c>
      <c r="E92" s="108" t="s">
        <v>57</v>
      </c>
      <c r="F92" s="108" t="s">
        <v>57</v>
      </c>
      <c r="G92" s="145">
        <v>8.27</v>
      </c>
      <c r="H92" s="92"/>
      <c r="I92" s="108">
        <f t="shared" si="68"/>
        <v>8.27</v>
      </c>
      <c r="J92" s="108">
        <f t="shared" si="69"/>
        <v>8.27</v>
      </c>
      <c r="K92" s="90"/>
      <c r="L92" s="162" t="s">
        <v>22</v>
      </c>
      <c r="M92" s="108">
        <v>1</v>
      </c>
      <c r="N92" s="145">
        <v>11.69</v>
      </c>
      <c r="O92" s="123">
        <v>2.7</v>
      </c>
      <c r="P92" s="92"/>
      <c r="Q92" s="92"/>
      <c r="R92" s="108">
        <f t="shared" si="70"/>
        <v>31.563000000000002</v>
      </c>
      <c r="S92" s="110"/>
      <c r="T92" s="108"/>
      <c r="U92" s="108"/>
      <c r="V92" s="90"/>
      <c r="W92" s="162" t="s">
        <v>18</v>
      </c>
      <c r="X92" s="108" t="str">
        <f t="shared" si="71"/>
        <v>cad</v>
      </c>
      <c r="Y92" s="108" t="str">
        <f t="shared" si="72"/>
        <v>cad</v>
      </c>
      <c r="Z92" s="108">
        <f t="shared" si="73"/>
        <v>8.27</v>
      </c>
      <c r="AA92" s="108">
        <f t="shared" si="74"/>
        <v>0</v>
      </c>
      <c r="AB92" s="108">
        <f t="shared" si="75"/>
        <v>8.27</v>
      </c>
      <c r="AC92" s="108">
        <f t="shared" si="76"/>
        <v>8.27</v>
      </c>
      <c r="AD92" s="90"/>
      <c r="AE92" s="92" t="s">
        <v>357</v>
      </c>
      <c r="AF92" s="108">
        <f>N92*M92</f>
        <v>11.69</v>
      </c>
      <c r="AG92" s="90"/>
      <c r="AH92" s="90"/>
      <c r="AI92" s="90"/>
      <c r="AJ92" s="90"/>
    </row>
    <row r="93" spans="1:36" s="11" customFormat="1" ht="14.4">
      <c r="A93" s="18"/>
      <c r="B93" s="138" t="s">
        <v>132</v>
      </c>
      <c r="C93" s="162" t="s">
        <v>20</v>
      </c>
      <c r="D93" s="108">
        <v>1</v>
      </c>
      <c r="E93" s="108" t="s">
        <v>57</v>
      </c>
      <c r="F93" s="108" t="s">
        <v>57</v>
      </c>
      <c r="G93" s="145">
        <v>5.0999999999999996</v>
      </c>
      <c r="H93" s="92"/>
      <c r="I93" s="108">
        <f t="shared" ref="I93" si="98">(G93-H93)</f>
        <v>5.0999999999999996</v>
      </c>
      <c r="J93" s="108">
        <f t="shared" ref="J93" si="99">I93*D93</f>
        <v>5.0999999999999996</v>
      </c>
      <c r="K93" s="90"/>
      <c r="L93" s="162" t="s">
        <v>18</v>
      </c>
      <c r="M93" s="108">
        <v>1</v>
      </c>
      <c r="N93" s="145">
        <v>9.4</v>
      </c>
      <c r="O93" s="123">
        <v>2.7</v>
      </c>
      <c r="P93" s="92"/>
      <c r="Q93" s="92"/>
      <c r="R93" s="108">
        <f t="shared" ref="R93" si="100">(N93*O93-P93)*M93</f>
        <v>25.380000000000003</v>
      </c>
      <c r="S93" s="110"/>
      <c r="T93" s="108" t="s">
        <v>18</v>
      </c>
      <c r="U93" s="163">
        <f t="shared" ref="U93" si="101">N93*M93</f>
        <v>9.4</v>
      </c>
      <c r="V93" s="90"/>
      <c r="W93" s="162" t="s">
        <v>18</v>
      </c>
      <c r="X93" s="108" t="str">
        <f t="shared" ref="X93" si="102">E93</f>
        <v>cad</v>
      </c>
      <c r="Y93" s="108" t="str">
        <f t="shared" ref="Y93" si="103">F93</f>
        <v>cad</v>
      </c>
      <c r="Z93" s="108">
        <f t="shared" ref="Z93" si="104">G93</f>
        <v>5.0999999999999996</v>
      </c>
      <c r="AA93" s="108"/>
      <c r="AB93" s="108">
        <f t="shared" ref="AB93" si="105">I93</f>
        <v>5.0999999999999996</v>
      </c>
      <c r="AC93" s="108">
        <f t="shared" ref="AC93" si="106">J93</f>
        <v>5.0999999999999996</v>
      </c>
      <c r="AD93" s="90"/>
      <c r="AE93" s="92" t="s">
        <v>17</v>
      </c>
      <c r="AF93" s="108">
        <f>N93*M93</f>
        <v>9.4</v>
      </c>
      <c r="AG93" s="90"/>
      <c r="AH93" s="90"/>
      <c r="AI93" s="90"/>
      <c r="AJ93" s="90"/>
    </row>
    <row r="94" spans="1:36" s="11" customFormat="1" ht="14.4">
      <c r="A94" s="18"/>
      <c r="B94" s="138" t="s">
        <v>133</v>
      </c>
      <c r="C94" s="162" t="s">
        <v>17</v>
      </c>
      <c r="D94" s="108">
        <v>1</v>
      </c>
      <c r="E94" s="108" t="s">
        <v>57</v>
      </c>
      <c r="F94" s="108" t="s">
        <v>57</v>
      </c>
      <c r="G94" s="145">
        <v>31.64</v>
      </c>
      <c r="H94" s="92"/>
      <c r="I94" s="108">
        <f t="shared" ref="I94:I95" si="107">(G94-H94)</f>
        <v>31.64</v>
      </c>
      <c r="J94" s="108">
        <f t="shared" ref="J94:J95" si="108">I94*D94</f>
        <v>31.64</v>
      </c>
      <c r="K94" s="90"/>
      <c r="L94" s="162" t="s">
        <v>17</v>
      </c>
      <c r="M94" s="108">
        <v>1</v>
      </c>
      <c r="N94" s="162">
        <v>29.82</v>
      </c>
      <c r="O94" s="123">
        <v>2.7</v>
      </c>
      <c r="P94" s="92"/>
      <c r="Q94" s="92"/>
      <c r="R94" s="108">
        <f t="shared" ref="R94:R95" si="109">(N94*O94-P94)*M94</f>
        <v>80.51400000000001</v>
      </c>
      <c r="S94" s="110"/>
      <c r="T94" s="162" t="s">
        <v>357</v>
      </c>
      <c r="U94" s="92">
        <f>N94*M94</f>
        <v>29.82</v>
      </c>
      <c r="V94" s="90"/>
      <c r="W94" s="162" t="s">
        <v>17</v>
      </c>
      <c r="X94" s="108" t="str">
        <f t="shared" ref="X94:X95" si="110">E94</f>
        <v>cad</v>
      </c>
      <c r="Y94" s="108" t="str">
        <f t="shared" ref="Y94:Y95" si="111">F94</f>
        <v>cad</v>
      </c>
      <c r="Z94" s="108">
        <f t="shared" ref="Z94:Z95" si="112">G94</f>
        <v>31.64</v>
      </c>
      <c r="AA94" s="108">
        <f t="shared" ref="AA94:AA95" si="113">H94</f>
        <v>0</v>
      </c>
      <c r="AB94" s="108">
        <f t="shared" ref="AB94:AB95" si="114">I94</f>
        <v>31.64</v>
      </c>
      <c r="AC94" s="108">
        <f t="shared" ref="AC94:AC95" si="115">J94</f>
        <v>31.64</v>
      </c>
      <c r="AD94" s="90"/>
      <c r="AE94" s="92" t="s">
        <v>357</v>
      </c>
      <c r="AF94" s="108">
        <f>N94*M94</f>
        <v>29.82</v>
      </c>
      <c r="AG94" s="90"/>
      <c r="AH94" s="90"/>
      <c r="AI94" s="90"/>
      <c r="AJ94" s="90"/>
    </row>
    <row r="95" spans="1:36" s="11" customFormat="1" ht="14.4">
      <c r="A95" s="18"/>
      <c r="B95" s="138" t="s">
        <v>101</v>
      </c>
      <c r="C95" s="162" t="s">
        <v>24</v>
      </c>
      <c r="D95" s="108">
        <v>1</v>
      </c>
      <c r="E95" s="108" t="s">
        <v>57</v>
      </c>
      <c r="F95" s="108" t="s">
        <v>57</v>
      </c>
      <c r="G95" s="162">
        <v>40.909999999999997</v>
      </c>
      <c r="H95" s="92"/>
      <c r="I95" s="108">
        <f t="shared" si="107"/>
        <v>40.909999999999997</v>
      </c>
      <c r="J95" s="108">
        <f t="shared" si="108"/>
        <v>40.909999999999997</v>
      </c>
      <c r="K95" s="90"/>
      <c r="L95" s="162" t="s">
        <v>24</v>
      </c>
      <c r="M95" s="108">
        <v>1</v>
      </c>
      <c r="N95" s="162">
        <v>26.71</v>
      </c>
      <c r="O95" s="123">
        <v>3.9</v>
      </c>
      <c r="P95" s="92"/>
      <c r="Q95" s="92"/>
      <c r="R95" s="108">
        <f t="shared" si="109"/>
        <v>104.169</v>
      </c>
      <c r="S95" s="110"/>
      <c r="T95" s="162" t="s">
        <v>20</v>
      </c>
      <c r="U95" s="92">
        <f>N95*M95</f>
        <v>26.71</v>
      </c>
      <c r="V95" s="90"/>
      <c r="W95" s="162" t="s">
        <v>20</v>
      </c>
      <c r="X95" s="108" t="str">
        <f t="shared" si="110"/>
        <v>cad</v>
      </c>
      <c r="Y95" s="108" t="str">
        <f t="shared" si="111"/>
        <v>cad</v>
      </c>
      <c r="Z95" s="108">
        <f t="shared" si="112"/>
        <v>40.909999999999997</v>
      </c>
      <c r="AA95" s="108">
        <f t="shared" si="113"/>
        <v>0</v>
      </c>
      <c r="AB95" s="108">
        <f t="shared" si="114"/>
        <v>40.909999999999997</v>
      </c>
      <c r="AC95" s="108">
        <f t="shared" si="115"/>
        <v>40.909999999999997</v>
      </c>
      <c r="AD95" s="90"/>
      <c r="AE95" s="92"/>
      <c r="AF95" s="108"/>
      <c r="AG95" s="90"/>
      <c r="AH95" s="90"/>
      <c r="AI95" s="90"/>
      <c r="AJ95" s="90"/>
    </row>
    <row r="96" spans="1:36" s="11" customFormat="1" ht="14.4">
      <c r="A96" s="18"/>
      <c r="B96" s="138"/>
      <c r="C96" s="162" t="s">
        <v>24</v>
      </c>
      <c r="D96" s="108">
        <v>1</v>
      </c>
      <c r="E96" s="108" t="s">
        <v>57</v>
      </c>
      <c r="F96" s="108" t="s">
        <v>57</v>
      </c>
      <c r="G96" s="162">
        <v>9.7100000000000009</v>
      </c>
      <c r="H96" s="92"/>
      <c r="I96" s="108"/>
      <c r="J96" s="108"/>
      <c r="K96" s="90"/>
      <c r="L96" s="162"/>
      <c r="M96" s="108"/>
      <c r="N96" s="162"/>
      <c r="O96" s="123"/>
      <c r="P96" s="92"/>
      <c r="Q96" s="92"/>
      <c r="R96" s="108"/>
      <c r="S96" s="110"/>
      <c r="T96" s="162"/>
      <c r="U96" s="92"/>
      <c r="V96" s="90"/>
      <c r="W96" s="162"/>
      <c r="X96" s="108"/>
      <c r="Y96" s="108"/>
      <c r="Z96" s="108"/>
      <c r="AA96" s="108"/>
      <c r="AB96" s="108"/>
      <c r="AC96" s="108"/>
      <c r="AD96" s="90"/>
      <c r="AE96" s="92"/>
      <c r="AF96" s="108"/>
      <c r="AG96" s="90"/>
      <c r="AH96" s="90"/>
      <c r="AI96" s="90"/>
      <c r="AJ96" s="90"/>
    </row>
    <row r="97" spans="1:36" s="11" customFormat="1" ht="14.4">
      <c r="A97" s="18"/>
      <c r="B97" s="92" t="s">
        <v>134</v>
      </c>
      <c r="C97" s="108"/>
      <c r="D97" s="108"/>
      <c r="E97" s="108"/>
      <c r="F97" s="108"/>
      <c r="G97" s="108"/>
      <c r="H97" s="92"/>
      <c r="I97" s="108"/>
      <c r="J97" s="108"/>
      <c r="K97" s="90"/>
      <c r="L97" s="108"/>
      <c r="M97" s="108"/>
      <c r="N97" s="108"/>
      <c r="O97" s="108"/>
      <c r="P97" s="92"/>
      <c r="Q97" s="92"/>
      <c r="R97" s="108"/>
      <c r="S97" s="110"/>
      <c r="T97" s="108"/>
      <c r="U97" s="108"/>
      <c r="V97" s="90"/>
      <c r="W97" s="108"/>
      <c r="X97" s="108"/>
      <c r="Y97" s="108"/>
      <c r="Z97" s="108"/>
      <c r="AA97" s="108"/>
      <c r="AB97" s="108"/>
      <c r="AC97" s="108"/>
      <c r="AD97" s="90"/>
      <c r="AE97" s="92"/>
      <c r="AF97" s="108"/>
      <c r="AG97" s="90"/>
      <c r="AH97" s="90"/>
      <c r="AI97" s="90"/>
      <c r="AJ97" s="90"/>
    </row>
    <row r="98" spans="1:36" s="11" customFormat="1" ht="14.4">
      <c r="A98" s="18"/>
      <c r="B98" s="92" t="s">
        <v>135</v>
      </c>
      <c r="C98" s="108"/>
      <c r="D98" s="108"/>
      <c r="E98" s="108"/>
      <c r="F98" s="108"/>
      <c r="G98" s="108"/>
      <c r="H98" s="92"/>
      <c r="I98" s="108"/>
      <c r="J98" s="108"/>
      <c r="K98" s="90"/>
      <c r="L98" s="108"/>
      <c r="M98" s="108"/>
      <c r="N98" s="108"/>
      <c r="O98" s="108"/>
      <c r="P98" s="92"/>
      <c r="Q98" s="92"/>
      <c r="R98" s="108"/>
      <c r="S98" s="110"/>
      <c r="T98" s="108"/>
      <c r="U98" s="108"/>
      <c r="V98" s="90"/>
      <c r="W98" s="108"/>
      <c r="X98" s="108"/>
      <c r="Y98" s="108"/>
      <c r="Z98" s="108"/>
      <c r="AA98" s="108"/>
      <c r="AB98" s="108"/>
      <c r="AC98" s="108"/>
      <c r="AD98" s="90"/>
      <c r="AE98" s="92"/>
      <c r="AF98" s="108"/>
      <c r="AG98" s="90"/>
      <c r="AH98" s="90"/>
      <c r="AI98" s="90"/>
      <c r="AJ98" s="90"/>
    </row>
    <row r="99" spans="1:36" s="11" customFormat="1" ht="14.4">
      <c r="A99" s="18"/>
      <c r="B99" s="138" t="s">
        <v>328</v>
      </c>
      <c r="C99" s="162" t="s">
        <v>28</v>
      </c>
      <c r="D99" s="108">
        <v>1</v>
      </c>
      <c r="E99" s="108" t="s">
        <v>57</v>
      </c>
      <c r="F99" s="108" t="s">
        <v>57</v>
      </c>
      <c r="G99" s="123">
        <v>4.75</v>
      </c>
      <c r="H99" s="92"/>
      <c r="I99" s="108">
        <f t="shared" ref="I99:I100" si="116">(G99-H99)</f>
        <v>4.75</v>
      </c>
      <c r="J99" s="108">
        <f t="shared" ref="J99:J100" si="117">I99*D99</f>
        <v>4.75</v>
      </c>
      <c r="K99" s="90"/>
      <c r="L99" s="162" t="s">
        <v>21</v>
      </c>
      <c r="M99" s="108">
        <v>1</v>
      </c>
      <c r="N99" s="267">
        <f>8.8-2.5</f>
        <v>6.3000000000000007</v>
      </c>
      <c r="O99" s="145">
        <v>2.7</v>
      </c>
      <c r="P99" s="92"/>
      <c r="Q99" s="92"/>
      <c r="R99" s="108">
        <f t="shared" ref="R99:R100" si="118">(N99*O99-P99)*M99</f>
        <v>17.010000000000002</v>
      </c>
      <c r="S99" s="110"/>
      <c r="T99" s="108" t="s">
        <v>22</v>
      </c>
      <c r="U99" s="163">
        <f t="shared" ref="U99:U100" si="119">N99*M99</f>
        <v>6.3000000000000007</v>
      </c>
      <c r="V99" s="90"/>
      <c r="W99" s="162" t="s">
        <v>17</v>
      </c>
      <c r="X99" s="108" t="str">
        <f t="shared" ref="X99:X100" si="120">E99</f>
        <v>cad</v>
      </c>
      <c r="Y99" s="108" t="str">
        <f t="shared" ref="Y99:Y100" si="121">F99</f>
        <v>cad</v>
      </c>
      <c r="Z99" s="108">
        <f t="shared" ref="Z99:Z100" si="122">G99</f>
        <v>4.75</v>
      </c>
      <c r="AA99" s="108">
        <f t="shared" ref="AA99:AA100" si="123">H99</f>
        <v>0</v>
      </c>
      <c r="AB99" s="108">
        <f t="shared" ref="AB99:AB100" si="124">I99</f>
        <v>4.75</v>
      </c>
      <c r="AC99" s="108">
        <f t="shared" ref="AC99:AC100" si="125">J99</f>
        <v>4.75</v>
      </c>
      <c r="AD99" s="90"/>
      <c r="AE99" s="92" t="s">
        <v>17</v>
      </c>
      <c r="AF99" s="108">
        <f t="shared" ref="AF99:AF100" si="126">N99*M99</f>
        <v>6.3000000000000007</v>
      </c>
      <c r="AG99" s="90"/>
      <c r="AH99" s="90"/>
      <c r="AI99" s="90"/>
      <c r="AJ99" s="90"/>
    </row>
    <row r="100" spans="1:36" s="11" customFormat="1" ht="14.4">
      <c r="A100" s="18"/>
      <c r="B100" s="138" t="s">
        <v>329</v>
      </c>
      <c r="C100" s="162" t="s">
        <v>28</v>
      </c>
      <c r="D100" s="108">
        <v>1</v>
      </c>
      <c r="E100" s="108" t="s">
        <v>57</v>
      </c>
      <c r="F100" s="108" t="s">
        <v>57</v>
      </c>
      <c r="G100" s="123">
        <v>4.5599999999999996</v>
      </c>
      <c r="H100" s="92"/>
      <c r="I100" s="108">
        <f t="shared" si="116"/>
        <v>4.5599999999999996</v>
      </c>
      <c r="J100" s="108">
        <f t="shared" si="117"/>
        <v>4.5599999999999996</v>
      </c>
      <c r="K100" s="90"/>
      <c r="L100" s="162" t="s">
        <v>21</v>
      </c>
      <c r="M100" s="108">
        <v>1</v>
      </c>
      <c r="N100" s="267">
        <f>8.6-2.4</f>
        <v>6.1999999999999993</v>
      </c>
      <c r="O100" s="145">
        <v>2.7</v>
      </c>
      <c r="P100" s="92"/>
      <c r="Q100" s="92"/>
      <c r="R100" s="108">
        <f t="shared" si="118"/>
        <v>16.739999999999998</v>
      </c>
      <c r="S100" s="110"/>
      <c r="T100" s="108" t="s">
        <v>22</v>
      </c>
      <c r="U100" s="163">
        <f t="shared" si="119"/>
        <v>6.1999999999999993</v>
      </c>
      <c r="V100" s="90"/>
      <c r="W100" s="162" t="s">
        <v>17</v>
      </c>
      <c r="X100" s="108" t="str">
        <f t="shared" si="120"/>
        <v>cad</v>
      </c>
      <c r="Y100" s="108" t="str">
        <f t="shared" si="121"/>
        <v>cad</v>
      </c>
      <c r="Z100" s="108">
        <f t="shared" si="122"/>
        <v>4.5599999999999996</v>
      </c>
      <c r="AA100" s="108">
        <f t="shared" si="123"/>
        <v>0</v>
      </c>
      <c r="AB100" s="108">
        <f t="shared" si="124"/>
        <v>4.5599999999999996</v>
      </c>
      <c r="AC100" s="108">
        <f t="shared" si="125"/>
        <v>4.5599999999999996</v>
      </c>
      <c r="AD100" s="90"/>
      <c r="AE100" s="92" t="s">
        <v>17</v>
      </c>
      <c r="AF100" s="108">
        <f t="shared" si="126"/>
        <v>6.1999999999999993</v>
      </c>
      <c r="AG100" s="90"/>
      <c r="AH100" s="90"/>
      <c r="AI100" s="90"/>
      <c r="AJ100" s="90"/>
    </row>
    <row r="101" spans="1:36" s="11" customFormat="1" ht="27.6">
      <c r="A101" s="18"/>
      <c r="B101" s="265" t="s">
        <v>600</v>
      </c>
      <c r="C101" s="162" t="s">
        <v>28</v>
      </c>
      <c r="D101" s="108">
        <v>1</v>
      </c>
      <c r="E101" s="108" t="s">
        <v>57</v>
      </c>
      <c r="F101" s="108" t="s">
        <v>57</v>
      </c>
      <c r="G101" s="145">
        <v>69.900000000000006</v>
      </c>
      <c r="H101" s="92"/>
      <c r="I101" s="108">
        <v>69.900000000000006</v>
      </c>
      <c r="J101" s="108">
        <v>69.900000000000006</v>
      </c>
      <c r="K101" s="90"/>
      <c r="L101" s="162" t="s">
        <v>21</v>
      </c>
      <c r="M101" s="108">
        <v>1</v>
      </c>
      <c r="N101" s="145">
        <v>43.839999999999996</v>
      </c>
      <c r="O101" s="123">
        <v>2.7</v>
      </c>
      <c r="P101" s="92"/>
      <c r="Q101" s="92"/>
      <c r="R101" s="108">
        <v>118.36799999999999</v>
      </c>
      <c r="S101" s="110"/>
      <c r="T101" s="108" t="s">
        <v>22</v>
      </c>
      <c r="U101" s="92">
        <v>43.839999999999996</v>
      </c>
      <c r="V101" s="90"/>
      <c r="W101" s="162" t="s">
        <v>27</v>
      </c>
      <c r="X101" s="108" t="s">
        <v>57</v>
      </c>
      <c r="Y101" s="108" t="s">
        <v>57</v>
      </c>
      <c r="Z101" s="108">
        <v>69.900000000000006</v>
      </c>
      <c r="AA101" s="108">
        <v>0</v>
      </c>
      <c r="AB101" s="108">
        <v>69.900000000000006</v>
      </c>
      <c r="AC101" s="108">
        <v>69.900000000000006</v>
      </c>
      <c r="AD101" s="90"/>
      <c r="AE101" s="92"/>
      <c r="AF101" s="108"/>
      <c r="AG101" s="90"/>
      <c r="AH101" s="90"/>
      <c r="AI101" s="90"/>
      <c r="AJ101" s="90"/>
    </row>
    <row r="102" spans="1:36" s="11" customFormat="1" ht="14.4">
      <c r="A102" s="18"/>
      <c r="B102" s="265"/>
      <c r="C102" s="162"/>
      <c r="D102" s="108"/>
      <c r="E102" s="108"/>
      <c r="F102" s="108"/>
      <c r="G102" s="162"/>
      <c r="H102" s="92"/>
      <c r="I102" s="108">
        <v>0</v>
      </c>
      <c r="J102" s="108">
        <v>0</v>
      </c>
      <c r="K102" s="90"/>
      <c r="L102" s="266" t="s">
        <v>21</v>
      </c>
      <c r="M102" s="108">
        <v>1</v>
      </c>
      <c r="N102" s="169">
        <v>17.47</v>
      </c>
      <c r="O102" s="168">
        <v>1</v>
      </c>
      <c r="P102" s="92"/>
      <c r="Q102" s="92"/>
      <c r="R102" s="165">
        <v>17.47</v>
      </c>
      <c r="S102" s="110"/>
      <c r="T102" s="108"/>
      <c r="U102" s="92"/>
      <c r="V102" s="90"/>
      <c r="W102" s="162"/>
      <c r="X102" s="108"/>
      <c r="Y102" s="108"/>
      <c r="Z102" s="108"/>
      <c r="AA102" s="108"/>
      <c r="AB102" s="108"/>
      <c r="AC102" s="108"/>
      <c r="AD102" s="90"/>
      <c r="AE102" s="92"/>
      <c r="AF102" s="108"/>
      <c r="AG102" s="90"/>
      <c r="AH102" s="90"/>
      <c r="AI102" s="90"/>
      <c r="AJ102" s="90"/>
    </row>
    <row r="103" spans="1:36" s="11" customFormat="1" ht="27.6">
      <c r="A103" s="18"/>
      <c r="B103" s="265" t="s">
        <v>601</v>
      </c>
      <c r="C103" s="162" t="s">
        <v>28</v>
      </c>
      <c r="D103" s="108">
        <v>1</v>
      </c>
      <c r="E103" s="108" t="s">
        <v>57</v>
      </c>
      <c r="F103" s="108" t="s">
        <v>57</v>
      </c>
      <c r="G103" s="145">
        <v>71.959999999999994</v>
      </c>
      <c r="H103" s="92"/>
      <c r="I103" s="108">
        <v>71.959999999999994</v>
      </c>
      <c r="J103" s="108">
        <v>71.959999999999994</v>
      </c>
      <c r="K103" s="90"/>
      <c r="L103" s="162" t="s">
        <v>21</v>
      </c>
      <c r="M103" s="108">
        <v>1</v>
      </c>
      <c r="N103" s="145">
        <v>45.839999999999996</v>
      </c>
      <c r="O103" s="123">
        <v>2.7</v>
      </c>
      <c r="P103" s="92"/>
      <c r="Q103" s="92"/>
      <c r="R103" s="108">
        <v>123.768</v>
      </c>
      <c r="S103" s="110"/>
      <c r="T103" s="108" t="s">
        <v>22</v>
      </c>
      <c r="U103" s="92">
        <v>45.839999999999996</v>
      </c>
      <c r="V103" s="90"/>
      <c r="W103" s="162" t="s">
        <v>27</v>
      </c>
      <c r="X103" s="108" t="s">
        <v>57</v>
      </c>
      <c r="Y103" s="108" t="s">
        <v>57</v>
      </c>
      <c r="Z103" s="108">
        <v>71.959999999999994</v>
      </c>
      <c r="AA103" s="108">
        <v>0</v>
      </c>
      <c r="AB103" s="108">
        <v>71.959999999999994</v>
      </c>
      <c r="AC103" s="108">
        <v>71.959999999999994</v>
      </c>
      <c r="AD103" s="90"/>
      <c r="AE103" s="92"/>
      <c r="AF103" s="108"/>
      <c r="AG103" s="90"/>
      <c r="AH103" s="90"/>
      <c r="AI103" s="90"/>
      <c r="AJ103" s="90"/>
    </row>
    <row r="104" spans="1:36" ht="15.75" customHeight="1">
      <c r="A104" s="19"/>
      <c r="B104" s="265"/>
      <c r="C104" s="162"/>
      <c r="D104" s="108"/>
      <c r="E104" s="108"/>
      <c r="F104" s="108"/>
      <c r="G104" s="162"/>
      <c r="H104" s="92"/>
      <c r="I104" s="108"/>
      <c r="J104" s="108"/>
      <c r="K104" s="90"/>
      <c r="L104" s="266" t="s">
        <v>21</v>
      </c>
      <c r="M104" s="108">
        <v>1</v>
      </c>
      <c r="N104" s="169">
        <v>17.47</v>
      </c>
      <c r="O104" s="168">
        <v>1</v>
      </c>
      <c r="P104" s="92"/>
      <c r="Q104" s="92"/>
      <c r="R104" s="165">
        <v>17.47</v>
      </c>
      <c r="S104" s="110"/>
      <c r="T104" s="108"/>
      <c r="U104" s="92"/>
      <c r="V104" s="90"/>
      <c r="W104" s="162"/>
      <c r="X104" s="108"/>
      <c r="Y104" s="108"/>
      <c r="Z104" s="108"/>
      <c r="AA104" s="108"/>
      <c r="AB104" s="108"/>
      <c r="AC104" s="108"/>
      <c r="AD104" s="90"/>
      <c r="AE104" s="92"/>
      <c r="AF104" s="108"/>
      <c r="AG104" s="83"/>
      <c r="AH104" s="83"/>
      <c r="AI104" s="83"/>
      <c r="AJ104" s="83"/>
    </row>
    <row r="105" spans="1:36" ht="15.75" customHeight="1">
      <c r="B105" s="85"/>
      <c r="C105" s="85"/>
      <c r="D105" s="85"/>
      <c r="E105" s="85"/>
      <c r="F105" s="85"/>
      <c r="G105" s="87"/>
      <c r="H105" s="85"/>
      <c r="I105" s="85"/>
      <c r="J105" s="189">
        <f>SUM(J13:J103)</f>
        <v>1082.97</v>
      </c>
      <c r="K105" s="83"/>
      <c r="L105" s="85"/>
      <c r="M105" s="87"/>
      <c r="N105" s="189">
        <f>SUM(N13:N103)</f>
        <v>933.06000000000017</v>
      </c>
      <c r="O105" s="87"/>
      <c r="P105" s="87"/>
      <c r="Q105" s="85"/>
      <c r="R105" s="189">
        <f>SUM(R13:R104)</f>
        <v>3305.8079999999995</v>
      </c>
      <c r="S105" s="248"/>
      <c r="T105" s="83"/>
      <c r="U105" s="189">
        <f>SUM(U13:U103)</f>
        <v>1056.45</v>
      </c>
      <c r="V105" s="85"/>
      <c r="W105" s="85"/>
      <c r="X105" s="85"/>
      <c r="Y105" s="85"/>
      <c r="Z105" s="85"/>
      <c r="AA105" s="85"/>
      <c r="AB105" s="85"/>
      <c r="AC105" s="189">
        <f>SUM(AC13:AC103)</f>
        <v>1138.6399999999999</v>
      </c>
      <c r="AD105" s="85"/>
      <c r="AE105" s="85"/>
      <c r="AF105" s="189">
        <f>SUM(AF13:AF34,AF35,AF42:AF46,AF51:AF57,AF58:AF89,AF90:AF91,AF92,AF93,AF94,AF99:AF100)</f>
        <v>610.01</v>
      </c>
      <c r="AG105" s="83"/>
      <c r="AH105" s="83"/>
      <c r="AI105" s="83"/>
      <c r="AJ105" s="83"/>
    </row>
    <row r="106" spans="1:36" ht="15.75" customHeight="1">
      <c r="B106" s="227" t="s">
        <v>5</v>
      </c>
      <c r="C106" s="83"/>
      <c r="D106" s="83"/>
      <c r="E106" s="83"/>
      <c r="F106" s="83"/>
      <c r="G106" s="83"/>
      <c r="H106" s="83"/>
      <c r="I106" s="83"/>
      <c r="J106" s="170"/>
      <c r="K106" s="83"/>
      <c r="L106" s="80"/>
      <c r="M106" s="170"/>
      <c r="N106" s="170"/>
      <c r="O106" s="170"/>
      <c r="P106" s="170"/>
      <c r="Q106" s="83"/>
      <c r="R106" s="83"/>
      <c r="S106" s="83"/>
      <c r="T106" s="83"/>
      <c r="U106" s="226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</row>
    <row r="107" spans="1:36" ht="15.75" customHeight="1">
      <c r="B107" s="227"/>
      <c r="C107" s="83"/>
      <c r="D107" s="83"/>
      <c r="E107" s="83"/>
      <c r="F107" s="83"/>
      <c r="G107" s="83"/>
      <c r="H107" s="83"/>
      <c r="I107" s="83"/>
      <c r="J107" s="170"/>
      <c r="K107" s="83"/>
      <c r="L107" s="83"/>
      <c r="M107" s="170"/>
      <c r="N107" s="170"/>
      <c r="O107" s="170"/>
      <c r="P107" s="170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</row>
    <row r="108" spans="1:36" ht="15.75" customHeight="1">
      <c r="B108" s="227" t="s">
        <v>3</v>
      </c>
      <c r="C108" s="83"/>
      <c r="D108" s="83"/>
      <c r="E108" s="83"/>
      <c r="F108" s="83"/>
      <c r="G108" s="83"/>
      <c r="H108" s="83"/>
      <c r="I108" s="83"/>
      <c r="J108" s="170"/>
      <c r="K108" s="83"/>
      <c r="L108" s="83"/>
      <c r="M108" s="227" t="s">
        <v>2</v>
      </c>
      <c r="N108" s="83"/>
      <c r="O108" s="170"/>
      <c r="P108" s="170"/>
      <c r="Q108" s="83"/>
      <c r="R108" s="83"/>
      <c r="S108" s="83"/>
      <c r="T108" s="83"/>
      <c r="U108" s="83"/>
      <c r="V108" s="83"/>
      <c r="W108" s="83"/>
      <c r="X108" s="83"/>
      <c r="Y108" s="83"/>
      <c r="Z108" s="227" t="s">
        <v>4</v>
      </c>
      <c r="AA108" s="83"/>
      <c r="AB108" s="83"/>
      <c r="AC108" s="83"/>
      <c r="AD108" s="83"/>
      <c r="AE108" s="227" t="s">
        <v>34</v>
      </c>
      <c r="AF108" s="80"/>
      <c r="AG108" s="80"/>
      <c r="AH108" s="80"/>
      <c r="AI108" s="188"/>
      <c r="AJ108" s="83"/>
    </row>
    <row r="109" spans="1:36" ht="15.75" customHeight="1">
      <c r="B109" s="162" t="s">
        <v>17</v>
      </c>
      <c r="C109" s="218">
        <f>SUMIF(C$13:C$103,B109,J$13:J$103)</f>
        <v>79.16</v>
      </c>
      <c r="D109" s="83"/>
      <c r="E109" s="83"/>
      <c r="F109" s="83"/>
      <c r="G109" s="83"/>
      <c r="H109" s="83"/>
      <c r="I109" s="83"/>
      <c r="J109" s="170"/>
      <c r="K109" s="83"/>
      <c r="L109" s="83"/>
      <c r="M109" s="162" t="s">
        <v>17</v>
      </c>
      <c r="N109" s="219">
        <f>SUMIF(L$13:L$104,M109,R$13:R$104)</f>
        <v>220.15800000000002</v>
      </c>
      <c r="O109" s="170"/>
      <c r="P109" s="170"/>
      <c r="Q109" s="83"/>
      <c r="R109" s="83"/>
      <c r="S109" s="83"/>
      <c r="T109" s="83"/>
      <c r="U109" s="83"/>
      <c r="V109" s="83"/>
      <c r="W109" s="83"/>
      <c r="X109" s="83"/>
      <c r="Y109" s="83"/>
      <c r="Z109" s="228" t="s">
        <v>17</v>
      </c>
      <c r="AA109" s="221">
        <f>SUMIF(W$13:W$103,Z109,AC$13:AC$103)</f>
        <v>403.83</v>
      </c>
      <c r="AB109" s="83"/>
      <c r="AC109" s="83"/>
      <c r="AD109" s="83"/>
      <c r="AE109" s="118" t="s">
        <v>39</v>
      </c>
      <c r="AF109" s="324" t="s">
        <v>364</v>
      </c>
      <c r="AG109" s="324"/>
      <c r="AH109" s="324"/>
      <c r="AI109" s="118" t="s">
        <v>365</v>
      </c>
      <c r="AJ109" s="83"/>
    </row>
    <row r="110" spans="1:36" ht="15.75" customHeight="1">
      <c r="B110" s="162" t="s">
        <v>18</v>
      </c>
      <c r="C110" s="218">
        <f t="shared" ref="C110:C123" si="127">SUMIF(C$13:C$104,B110,J$13:J$104)</f>
        <v>0</v>
      </c>
      <c r="D110" s="83"/>
      <c r="E110" s="83"/>
      <c r="F110" s="83"/>
      <c r="G110" s="83"/>
      <c r="H110" s="83"/>
      <c r="I110" s="83"/>
      <c r="J110" s="170"/>
      <c r="K110" s="83"/>
      <c r="L110" s="83"/>
      <c r="M110" s="162" t="s">
        <v>18</v>
      </c>
      <c r="N110" s="219">
        <f t="shared" ref="N110:N123" si="128">SUMIF(L$13:L$104,M110,R$13:R$104)</f>
        <v>520.45200000000023</v>
      </c>
      <c r="O110" s="170"/>
      <c r="P110" s="170"/>
      <c r="Q110" s="83"/>
      <c r="R110" s="83"/>
      <c r="S110" s="83"/>
      <c r="T110" s="83"/>
      <c r="U110" s="83"/>
      <c r="V110" s="83"/>
      <c r="W110" s="83"/>
      <c r="X110" s="83"/>
      <c r="Y110" s="83"/>
      <c r="Z110" s="228" t="s">
        <v>18</v>
      </c>
      <c r="AA110" s="221">
        <f t="shared" ref="AA110:AA119" si="129">SUMIF(W$13:W$103,Z110,AC$13:AC$103)</f>
        <v>134.4</v>
      </c>
      <c r="AB110" s="83"/>
      <c r="AC110" s="83"/>
      <c r="AD110" s="83"/>
      <c r="AE110" s="118" t="s">
        <v>357</v>
      </c>
      <c r="AF110" s="323" t="s">
        <v>363</v>
      </c>
      <c r="AG110" s="323"/>
      <c r="AH110" s="323"/>
      <c r="AI110" s="95">
        <f>AF105</f>
        <v>610.01</v>
      </c>
      <c r="AJ110" s="83"/>
    </row>
    <row r="111" spans="1:36" ht="15.75" customHeight="1">
      <c r="B111" s="162" t="s">
        <v>19</v>
      </c>
      <c r="C111" s="218">
        <f t="shared" si="127"/>
        <v>0</v>
      </c>
      <c r="D111" s="83"/>
      <c r="E111" s="83"/>
      <c r="F111" s="83"/>
      <c r="G111" s="83"/>
      <c r="H111" s="83"/>
      <c r="I111" s="83"/>
      <c r="J111" s="170"/>
      <c r="K111" s="83"/>
      <c r="L111" s="83"/>
      <c r="M111" s="162" t="s">
        <v>19</v>
      </c>
      <c r="N111" s="219">
        <f t="shared" si="128"/>
        <v>817.88400000000001</v>
      </c>
      <c r="O111" s="170"/>
      <c r="P111" s="170"/>
      <c r="Q111" s="83"/>
      <c r="R111" s="83"/>
      <c r="S111" s="83"/>
      <c r="T111" s="83"/>
      <c r="U111" s="83"/>
      <c r="V111" s="83"/>
      <c r="W111" s="83"/>
      <c r="X111" s="83"/>
      <c r="Y111" s="83"/>
      <c r="Z111" s="228" t="s">
        <v>19</v>
      </c>
      <c r="AA111" s="221">
        <f t="shared" si="129"/>
        <v>40.050000000000004</v>
      </c>
      <c r="AB111" s="83"/>
      <c r="AC111" s="83"/>
      <c r="AD111" s="83"/>
      <c r="AE111" s="83"/>
      <c r="AF111" s="83"/>
      <c r="AG111" s="83"/>
      <c r="AH111" s="83"/>
      <c r="AI111" s="83"/>
      <c r="AJ111" s="83"/>
    </row>
    <row r="112" spans="1:36" ht="15.75" customHeight="1">
      <c r="B112" s="162" t="s">
        <v>20</v>
      </c>
      <c r="C112" s="218">
        <f t="shared" si="127"/>
        <v>102.96000000000001</v>
      </c>
      <c r="D112" s="83"/>
      <c r="E112" s="83"/>
      <c r="F112" s="83"/>
      <c r="G112" s="83"/>
      <c r="H112" s="83"/>
      <c r="I112" s="83"/>
      <c r="J112" s="170"/>
      <c r="K112" s="83"/>
      <c r="L112" s="83"/>
      <c r="M112" s="162" t="s">
        <v>20</v>
      </c>
      <c r="N112" s="219">
        <f t="shared" si="128"/>
        <v>0</v>
      </c>
      <c r="O112" s="170"/>
      <c r="P112" s="170"/>
      <c r="Q112" s="83"/>
      <c r="R112" s="83"/>
      <c r="S112" s="83"/>
      <c r="T112" s="83"/>
      <c r="U112" s="83"/>
      <c r="V112" s="83"/>
      <c r="W112" s="83"/>
      <c r="X112" s="83"/>
      <c r="Y112" s="83"/>
      <c r="Z112" s="228" t="s">
        <v>20</v>
      </c>
      <c r="AA112" s="221">
        <f t="shared" si="129"/>
        <v>81.819999999999993</v>
      </c>
      <c r="AB112" s="83"/>
      <c r="AC112" s="83"/>
      <c r="AD112" s="83"/>
      <c r="AE112" s="83"/>
      <c r="AF112" s="83"/>
      <c r="AG112" s="83"/>
      <c r="AH112" s="83"/>
      <c r="AI112" s="83"/>
      <c r="AJ112" s="83"/>
    </row>
    <row r="113" spans="2:36" ht="15.75" customHeight="1">
      <c r="B113" s="162" t="s">
        <v>21</v>
      </c>
      <c r="C113" s="218">
        <f t="shared" si="127"/>
        <v>268.85999999999996</v>
      </c>
      <c r="D113" s="83"/>
      <c r="E113" s="83"/>
      <c r="F113" s="83"/>
      <c r="G113" s="83"/>
      <c r="H113" s="83"/>
      <c r="I113" s="83"/>
      <c r="J113" s="170"/>
      <c r="K113" s="83"/>
      <c r="L113" s="83"/>
      <c r="M113" s="162" t="s">
        <v>21</v>
      </c>
      <c r="N113" s="219">
        <f t="shared" si="128"/>
        <v>1196.346</v>
      </c>
      <c r="O113" s="170"/>
      <c r="P113" s="170"/>
      <c r="Q113" s="83"/>
      <c r="R113" s="83"/>
      <c r="S113" s="83"/>
      <c r="T113" s="83"/>
      <c r="U113" s="83"/>
      <c r="V113" s="83"/>
      <c r="W113" s="83"/>
      <c r="X113" s="83"/>
      <c r="Y113" s="83"/>
      <c r="Z113" s="228" t="s">
        <v>21</v>
      </c>
      <c r="AA113" s="221">
        <f t="shared" si="129"/>
        <v>0</v>
      </c>
      <c r="AB113" s="83"/>
      <c r="AC113" s="83"/>
      <c r="AD113" s="83"/>
      <c r="AE113" s="83"/>
      <c r="AF113" s="83"/>
      <c r="AG113" s="83"/>
      <c r="AH113" s="83"/>
      <c r="AI113" s="83"/>
      <c r="AJ113" s="83"/>
    </row>
    <row r="114" spans="2:36" ht="15.75" customHeight="1">
      <c r="B114" s="162" t="s">
        <v>120</v>
      </c>
      <c r="C114" s="218">
        <f t="shared" si="127"/>
        <v>31.44</v>
      </c>
      <c r="D114" s="83"/>
      <c r="E114" s="83"/>
      <c r="F114" s="83"/>
      <c r="G114" s="83"/>
      <c r="H114" s="83"/>
      <c r="I114" s="83"/>
      <c r="J114" s="170"/>
      <c r="K114" s="83"/>
      <c r="L114" s="83"/>
      <c r="M114" s="162" t="s">
        <v>22</v>
      </c>
      <c r="N114" s="219">
        <f t="shared" si="128"/>
        <v>148.93200000000002</v>
      </c>
      <c r="O114" s="170"/>
      <c r="P114" s="170"/>
      <c r="Q114" s="83"/>
      <c r="R114" s="83"/>
      <c r="S114" s="83"/>
      <c r="T114" s="83"/>
      <c r="U114" s="83"/>
      <c r="V114" s="83"/>
      <c r="W114" s="83"/>
      <c r="X114" s="83"/>
      <c r="Y114" s="83"/>
      <c r="Z114" s="228" t="s">
        <v>22</v>
      </c>
      <c r="AA114" s="221">
        <f t="shared" si="129"/>
        <v>0</v>
      </c>
      <c r="AB114" s="83"/>
      <c r="AC114" s="83"/>
      <c r="AD114" s="83"/>
      <c r="AE114" s="83"/>
      <c r="AF114" s="83"/>
      <c r="AG114" s="83"/>
      <c r="AH114" s="83"/>
      <c r="AI114" s="83"/>
      <c r="AJ114" s="83"/>
    </row>
    <row r="115" spans="2:36" ht="15.75" customHeight="1">
      <c r="B115" s="162" t="s">
        <v>23</v>
      </c>
      <c r="C115" s="218">
        <f t="shared" si="127"/>
        <v>0</v>
      </c>
      <c r="D115" s="83"/>
      <c r="E115" s="83"/>
      <c r="F115" s="83"/>
      <c r="G115" s="83"/>
      <c r="H115" s="83"/>
      <c r="I115" s="83"/>
      <c r="J115" s="170"/>
      <c r="K115" s="83"/>
      <c r="L115" s="83"/>
      <c r="M115" s="162" t="s">
        <v>23</v>
      </c>
      <c r="N115" s="219">
        <f t="shared" si="128"/>
        <v>0</v>
      </c>
      <c r="O115" s="170"/>
      <c r="P115" s="170"/>
      <c r="Q115" s="83"/>
      <c r="R115" s="83"/>
      <c r="S115" s="83"/>
      <c r="T115" s="83"/>
      <c r="U115" s="83"/>
      <c r="V115" s="83"/>
      <c r="W115" s="83"/>
      <c r="X115" s="83"/>
      <c r="Y115" s="83"/>
      <c r="Z115" s="228" t="s">
        <v>23</v>
      </c>
      <c r="AA115" s="221">
        <f t="shared" si="129"/>
        <v>0</v>
      </c>
      <c r="AB115" s="83"/>
      <c r="AC115" s="83"/>
      <c r="AD115" s="83"/>
      <c r="AE115" s="83"/>
      <c r="AF115" s="83"/>
      <c r="AG115" s="83"/>
      <c r="AH115" s="83"/>
      <c r="AI115" s="83"/>
      <c r="AJ115" s="83"/>
    </row>
    <row r="116" spans="2:36" ht="15.75" customHeight="1">
      <c r="B116" s="162" t="s">
        <v>24</v>
      </c>
      <c r="C116" s="218">
        <f t="shared" si="127"/>
        <v>81.819999999999993</v>
      </c>
      <c r="D116" s="83"/>
      <c r="E116" s="83"/>
      <c r="F116" s="83"/>
      <c r="G116" s="83"/>
      <c r="H116" s="83"/>
      <c r="I116" s="83"/>
      <c r="J116" s="170"/>
      <c r="K116" s="83"/>
      <c r="L116" s="83"/>
      <c r="M116" s="162" t="s">
        <v>24</v>
      </c>
      <c r="N116" s="219">
        <f t="shared" si="128"/>
        <v>208.33799999999999</v>
      </c>
      <c r="O116" s="170"/>
      <c r="P116" s="170"/>
      <c r="Q116" s="83"/>
      <c r="R116" s="83"/>
      <c r="S116" s="83"/>
      <c r="T116" s="83"/>
      <c r="U116" s="83"/>
      <c r="V116" s="83"/>
      <c r="W116" s="83"/>
      <c r="X116" s="83"/>
      <c r="Y116" s="83"/>
      <c r="Z116" s="228" t="s">
        <v>24</v>
      </c>
      <c r="AA116" s="221">
        <f t="shared" si="129"/>
        <v>31.5</v>
      </c>
      <c r="AB116" s="83"/>
      <c r="AC116" s="83"/>
      <c r="AD116" s="83"/>
      <c r="AE116" s="83"/>
      <c r="AF116" s="83"/>
      <c r="AG116" s="83"/>
      <c r="AH116" s="83"/>
      <c r="AI116" s="83"/>
      <c r="AJ116" s="83"/>
    </row>
    <row r="117" spans="2:36" ht="15.75" customHeight="1">
      <c r="B117" s="162" t="s">
        <v>25</v>
      </c>
      <c r="C117" s="218">
        <f t="shared" si="127"/>
        <v>0</v>
      </c>
      <c r="D117" s="83"/>
      <c r="E117" s="83"/>
      <c r="F117" s="83"/>
      <c r="G117" s="83"/>
      <c r="H117" s="83"/>
      <c r="I117" s="83"/>
      <c r="J117" s="170"/>
      <c r="K117" s="83"/>
      <c r="L117" s="83"/>
      <c r="M117" s="162" t="s">
        <v>25</v>
      </c>
      <c r="N117" s="219">
        <f t="shared" si="128"/>
        <v>0</v>
      </c>
      <c r="O117" s="170"/>
      <c r="P117" s="170"/>
      <c r="Q117" s="83"/>
      <c r="R117" s="83"/>
      <c r="S117" s="83"/>
      <c r="T117" s="83"/>
      <c r="U117" s="83"/>
      <c r="V117" s="83"/>
      <c r="W117" s="83"/>
      <c r="X117" s="83"/>
      <c r="Y117" s="83"/>
      <c r="Z117" s="228" t="s">
        <v>25</v>
      </c>
      <c r="AA117" s="221">
        <f t="shared" si="129"/>
        <v>0</v>
      </c>
      <c r="AB117" s="83"/>
      <c r="AC117" s="83"/>
      <c r="AD117" s="83"/>
      <c r="AE117" s="83"/>
      <c r="AF117" s="83"/>
      <c r="AG117" s="83"/>
      <c r="AH117" s="83"/>
      <c r="AI117" s="83"/>
      <c r="AJ117" s="83"/>
    </row>
    <row r="118" spans="2:36" ht="15.75" customHeight="1">
      <c r="B118" s="162" t="s">
        <v>107</v>
      </c>
      <c r="C118" s="218">
        <f t="shared" si="127"/>
        <v>0</v>
      </c>
      <c r="D118" s="83"/>
      <c r="E118" s="83"/>
      <c r="F118" s="83"/>
      <c r="G118" s="83"/>
      <c r="H118" s="83"/>
      <c r="I118" s="83"/>
      <c r="J118" s="170"/>
      <c r="K118" s="83"/>
      <c r="L118" s="83"/>
      <c r="M118" s="162" t="s">
        <v>26</v>
      </c>
      <c r="N118" s="219">
        <f t="shared" si="128"/>
        <v>0</v>
      </c>
      <c r="O118" s="170"/>
      <c r="P118" s="170"/>
      <c r="Q118" s="83"/>
      <c r="R118" s="83"/>
      <c r="S118" s="83"/>
      <c r="T118" s="83"/>
      <c r="U118" s="83"/>
      <c r="V118" s="83"/>
      <c r="W118" s="83"/>
      <c r="X118" s="83"/>
      <c r="Y118" s="83"/>
      <c r="Z118" s="228" t="s">
        <v>26</v>
      </c>
      <c r="AA118" s="221">
        <f t="shared" si="129"/>
        <v>0</v>
      </c>
      <c r="AB118" s="83"/>
      <c r="AC118" s="83"/>
      <c r="AD118" s="83"/>
      <c r="AE118" s="83"/>
      <c r="AF118" s="83"/>
      <c r="AG118" s="83"/>
      <c r="AH118" s="83"/>
      <c r="AI118" s="83"/>
      <c r="AJ118" s="83"/>
    </row>
    <row r="119" spans="2:36" ht="15.75" customHeight="1">
      <c r="B119" s="162" t="s">
        <v>27</v>
      </c>
      <c r="C119" s="218">
        <f t="shared" si="127"/>
        <v>0</v>
      </c>
      <c r="D119" s="83"/>
      <c r="E119" s="83"/>
      <c r="F119" s="83"/>
      <c r="G119" s="83"/>
      <c r="H119" s="83"/>
      <c r="I119" s="83"/>
      <c r="J119" s="170"/>
      <c r="K119" s="83"/>
      <c r="L119" s="83"/>
      <c r="M119" s="162" t="s">
        <v>27</v>
      </c>
      <c r="N119" s="219">
        <f t="shared" si="128"/>
        <v>0</v>
      </c>
      <c r="O119" s="170"/>
      <c r="P119" s="170"/>
      <c r="Q119" s="83"/>
      <c r="R119" s="83"/>
      <c r="S119" s="83"/>
      <c r="T119" s="83"/>
      <c r="U119" s="83"/>
      <c r="V119" s="83"/>
      <c r="W119" s="83"/>
      <c r="X119" s="83"/>
      <c r="Y119" s="83"/>
      <c r="Z119" s="228" t="s">
        <v>27</v>
      </c>
      <c r="AA119" s="221">
        <f t="shared" si="129"/>
        <v>447.04</v>
      </c>
      <c r="AB119" s="83"/>
      <c r="AC119" s="83"/>
      <c r="AD119" s="83"/>
      <c r="AE119" s="83"/>
      <c r="AF119" s="83"/>
      <c r="AG119" s="83"/>
      <c r="AH119" s="83"/>
      <c r="AI119" s="83"/>
      <c r="AJ119" s="83"/>
    </row>
    <row r="120" spans="2:36" ht="15.75" customHeight="1">
      <c r="B120" s="162" t="s">
        <v>337</v>
      </c>
      <c r="C120" s="218">
        <f t="shared" si="127"/>
        <v>0</v>
      </c>
      <c r="D120" s="83"/>
      <c r="E120" s="83"/>
      <c r="F120" s="83"/>
      <c r="G120" s="83"/>
      <c r="H120" s="83"/>
      <c r="I120" s="83"/>
      <c r="J120" s="170"/>
      <c r="K120" s="83"/>
      <c r="L120" s="83"/>
      <c r="M120" s="162" t="s">
        <v>337</v>
      </c>
      <c r="N120" s="219">
        <f t="shared" si="128"/>
        <v>0</v>
      </c>
      <c r="O120" s="170"/>
      <c r="P120" s="170"/>
      <c r="Q120" s="83"/>
      <c r="R120" s="83"/>
      <c r="S120" s="83"/>
      <c r="T120" s="83"/>
      <c r="U120" s="83"/>
      <c r="V120" s="83"/>
      <c r="W120" s="83"/>
      <c r="X120" s="83"/>
      <c r="Y120" s="83"/>
      <c r="Z120" s="85"/>
      <c r="AA120" s="189">
        <f>SUM(AA109:AA119)</f>
        <v>1138.6399999999999</v>
      </c>
      <c r="AB120" s="83"/>
      <c r="AC120" s="83"/>
      <c r="AD120" s="83"/>
      <c r="AE120" s="83"/>
      <c r="AF120" s="83"/>
      <c r="AG120" s="83"/>
      <c r="AH120" s="83"/>
      <c r="AI120" s="83"/>
      <c r="AJ120" s="83"/>
    </row>
    <row r="121" spans="2:36" ht="15.75" customHeight="1">
      <c r="B121" s="162" t="s">
        <v>338</v>
      </c>
      <c r="C121" s="218">
        <f t="shared" si="127"/>
        <v>0</v>
      </c>
      <c r="D121" s="83"/>
      <c r="E121" s="83"/>
      <c r="F121" s="83"/>
      <c r="G121" s="83"/>
      <c r="H121" s="83"/>
      <c r="I121" s="83"/>
      <c r="J121" s="170"/>
      <c r="K121" s="83"/>
      <c r="L121" s="83"/>
      <c r="M121" s="162" t="s">
        <v>338</v>
      </c>
      <c r="N121" s="219">
        <f t="shared" si="128"/>
        <v>0</v>
      </c>
      <c r="O121" s="170"/>
      <c r="P121" s="170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</row>
    <row r="122" spans="2:36" ht="15.75" customHeight="1">
      <c r="B122" s="162" t="s">
        <v>339</v>
      </c>
      <c r="C122" s="218">
        <f t="shared" si="127"/>
        <v>0</v>
      </c>
      <c r="D122" s="83"/>
      <c r="E122" s="83"/>
      <c r="F122" s="83"/>
      <c r="G122" s="83"/>
      <c r="H122" s="83"/>
      <c r="I122" s="83"/>
      <c r="J122" s="170"/>
      <c r="K122" s="83"/>
      <c r="L122" s="83"/>
      <c r="M122" s="162" t="s">
        <v>339</v>
      </c>
      <c r="N122" s="219">
        <f t="shared" si="128"/>
        <v>0</v>
      </c>
      <c r="O122" s="170"/>
      <c r="P122" s="170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</row>
    <row r="123" spans="2:36" ht="15.75" customHeight="1">
      <c r="B123" s="162" t="s">
        <v>28</v>
      </c>
      <c r="C123" s="218">
        <f t="shared" si="127"/>
        <v>518.73000000000013</v>
      </c>
      <c r="D123" s="83"/>
      <c r="E123" s="83"/>
      <c r="F123" s="83"/>
      <c r="G123" s="83"/>
      <c r="H123" s="83"/>
      <c r="I123" s="83"/>
      <c r="J123" s="170"/>
      <c r="K123" s="83"/>
      <c r="L123" s="83"/>
      <c r="M123" s="162" t="s">
        <v>28</v>
      </c>
      <c r="N123" s="219">
        <f t="shared" si="128"/>
        <v>0</v>
      </c>
      <c r="O123" s="170"/>
      <c r="P123" s="170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</row>
    <row r="124" spans="2:36" ht="15.75" customHeight="1">
      <c r="B124" s="87"/>
      <c r="C124" s="224">
        <f>SUM(C109:C123)</f>
        <v>1082.9700000000003</v>
      </c>
      <c r="D124" s="83"/>
      <c r="E124" s="83"/>
      <c r="F124" s="83"/>
      <c r="G124" s="83"/>
      <c r="H124" s="83"/>
      <c r="I124" s="83"/>
      <c r="J124" s="170"/>
      <c r="K124" s="83"/>
      <c r="L124" s="83"/>
      <c r="M124" s="162" t="s">
        <v>29</v>
      </c>
      <c r="N124" s="219">
        <f t="shared" ref="N124:N130" si="130">SUMIF(L$13:L$104,M124,R$13:R$104)</f>
        <v>0</v>
      </c>
      <c r="O124" s="170"/>
      <c r="P124" s="170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</row>
    <row r="125" spans="2:36" ht="15.75" customHeight="1">
      <c r="D125" s="83"/>
      <c r="E125" s="83"/>
      <c r="F125" s="83"/>
      <c r="G125" s="83"/>
      <c r="H125" s="83"/>
      <c r="I125" s="83"/>
      <c r="J125" s="170"/>
      <c r="K125" s="83"/>
      <c r="L125" s="83"/>
      <c r="M125" s="162" t="s">
        <v>30</v>
      </c>
      <c r="N125" s="219">
        <f t="shared" si="130"/>
        <v>0</v>
      </c>
      <c r="O125" s="170"/>
      <c r="P125" s="170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</row>
    <row r="126" spans="2:36" ht="15.75" customHeight="1">
      <c r="D126" s="170"/>
      <c r="E126" s="83"/>
      <c r="F126" s="83"/>
      <c r="G126" s="83"/>
      <c r="H126" s="83"/>
      <c r="I126" s="83"/>
      <c r="J126" s="170"/>
      <c r="K126" s="83"/>
      <c r="L126" s="83"/>
      <c r="M126" s="162" t="s">
        <v>340</v>
      </c>
      <c r="N126" s="219">
        <f t="shared" si="130"/>
        <v>0</v>
      </c>
      <c r="O126" s="170"/>
      <c r="P126" s="170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</row>
    <row r="127" spans="2:36" ht="15.75" customHeight="1">
      <c r="B127" s="83"/>
      <c r="C127" s="83"/>
      <c r="D127" s="83"/>
      <c r="E127" s="83"/>
      <c r="F127" s="83"/>
      <c r="G127" s="83"/>
      <c r="H127" s="83"/>
      <c r="I127" s="83"/>
      <c r="J127" s="170"/>
      <c r="K127" s="83"/>
      <c r="L127" s="83"/>
      <c r="M127" s="162" t="s">
        <v>341</v>
      </c>
      <c r="N127" s="219">
        <f t="shared" si="130"/>
        <v>0</v>
      </c>
      <c r="O127" s="170"/>
      <c r="P127" s="170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</row>
    <row r="128" spans="2:36" ht="15.75" customHeight="1">
      <c r="B128" s="83"/>
      <c r="C128" s="83"/>
      <c r="D128" s="83"/>
      <c r="E128" s="83"/>
      <c r="F128" s="83"/>
      <c r="G128" s="83"/>
      <c r="H128" s="83"/>
      <c r="I128" s="83"/>
      <c r="J128" s="170"/>
      <c r="K128" s="83"/>
      <c r="L128" s="83"/>
      <c r="M128" s="162" t="s">
        <v>31</v>
      </c>
      <c r="N128" s="219">
        <f t="shared" si="130"/>
        <v>0</v>
      </c>
      <c r="O128" s="170"/>
      <c r="P128" s="170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</row>
    <row r="129" spans="2:36" ht="15.75" customHeight="1">
      <c r="B129" s="83"/>
      <c r="C129" s="83"/>
      <c r="D129" s="83"/>
      <c r="E129" s="83"/>
      <c r="F129" s="83"/>
      <c r="G129" s="83"/>
      <c r="H129" s="83"/>
      <c r="I129" s="83"/>
      <c r="J129" s="170"/>
      <c r="K129" s="83"/>
      <c r="L129" s="83"/>
      <c r="M129" s="162" t="s">
        <v>571</v>
      </c>
      <c r="N129" s="219">
        <f>SUMIF(L$13:L$104,M129,R$13:R$104)</f>
        <v>193.69799999999998</v>
      </c>
      <c r="O129" s="170"/>
      <c r="P129" s="170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</row>
    <row r="130" spans="2:36" ht="15.75" customHeight="1">
      <c r="B130" s="83"/>
      <c r="C130" s="83"/>
      <c r="D130" s="83"/>
      <c r="E130" s="83"/>
      <c r="F130" s="83"/>
      <c r="G130" s="83"/>
      <c r="H130" s="83"/>
      <c r="I130" s="83"/>
      <c r="J130" s="170"/>
      <c r="K130" s="83"/>
      <c r="L130" s="83"/>
      <c r="M130" s="162"/>
      <c r="N130" s="219">
        <f t="shared" si="130"/>
        <v>0</v>
      </c>
      <c r="O130" s="170"/>
      <c r="P130" s="170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</row>
    <row r="131" spans="2:36" ht="15.75" customHeight="1">
      <c r="B131" s="83"/>
      <c r="C131" s="83"/>
      <c r="D131" s="83"/>
      <c r="E131" s="83"/>
      <c r="F131" s="83"/>
      <c r="G131" s="83"/>
      <c r="H131" s="83"/>
      <c r="I131" s="83"/>
      <c r="J131" s="170"/>
      <c r="K131" s="83"/>
      <c r="L131" s="83"/>
      <c r="M131" s="83"/>
      <c r="N131" s="189">
        <f>SUM(N109:N130)</f>
        <v>3305.808</v>
      </c>
      <c r="O131" s="170"/>
      <c r="P131" s="170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</row>
    <row r="132" spans="2:36" ht="15.75" customHeight="1">
      <c r="B132" s="83"/>
      <c r="C132" s="83"/>
      <c r="D132" s="83"/>
      <c r="E132" s="83"/>
      <c r="F132" s="83"/>
      <c r="G132" s="83"/>
      <c r="H132" s="83"/>
      <c r="I132" s="83"/>
      <c r="J132" s="170"/>
      <c r="K132" s="83"/>
      <c r="L132" s="83"/>
      <c r="O132" s="170"/>
      <c r="P132" s="170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</row>
    <row r="133" spans="2:36" ht="15.75" customHeight="1">
      <c r="B133" s="83"/>
      <c r="C133" s="83"/>
      <c r="D133" s="83"/>
      <c r="E133" s="83"/>
      <c r="F133" s="83"/>
      <c r="G133" s="83"/>
      <c r="H133" s="83"/>
      <c r="I133" s="83"/>
      <c r="J133" s="170"/>
      <c r="K133" s="83"/>
      <c r="L133" s="83"/>
      <c r="O133" s="170"/>
      <c r="P133" s="170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</row>
    <row r="134" spans="2:36" ht="15.75" customHeight="1">
      <c r="B134" s="227" t="s">
        <v>33</v>
      </c>
      <c r="C134" s="80"/>
      <c r="D134" s="80"/>
      <c r="E134" s="80"/>
      <c r="F134" s="188"/>
      <c r="G134" s="83"/>
      <c r="H134" s="83"/>
      <c r="I134" s="83"/>
      <c r="J134" s="170"/>
      <c r="K134" s="83"/>
      <c r="L134" s="83"/>
      <c r="M134" s="170"/>
      <c r="N134" s="170"/>
      <c r="O134" s="170"/>
      <c r="P134" s="170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</row>
    <row r="135" spans="2:36" ht="15.75" customHeight="1">
      <c r="B135" s="83"/>
      <c r="C135" s="80"/>
      <c r="D135" s="80"/>
      <c r="E135" s="80"/>
      <c r="F135" s="188"/>
      <c r="G135" s="83"/>
      <c r="H135" s="83"/>
      <c r="I135" s="83"/>
      <c r="J135" s="170"/>
      <c r="K135" s="83"/>
      <c r="L135" s="83"/>
      <c r="M135" s="170"/>
      <c r="N135" s="170"/>
      <c r="O135" s="170"/>
      <c r="P135" s="170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</row>
    <row r="136" spans="2:36" ht="60" customHeight="1">
      <c r="B136" s="91" t="s">
        <v>357</v>
      </c>
      <c r="C136" s="323" t="s">
        <v>359</v>
      </c>
      <c r="D136" s="323"/>
      <c r="E136" s="323"/>
      <c r="F136" s="236">
        <f>SUM(U13,U50,U94)</f>
        <v>81.539999999999992</v>
      </c>
      <c r="G136" s="83"/>
      <c r="H136" s="83"/>
      <c r="I136" s="83"/>
      <c r="J136" s="170"/>
      <c r="K136" s="83"/>
      <c r="L136" s="83"/>
      <c r="M136" s="170"/>
      <c r="N136" s="170"/>
      <c r="O136" s="170"/>
      <c r="P136" s="170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</row>
    <row r="137" spans="2:36" ht="60" customHeight="1">
      <c r="B137" s="91" t="s">
        <v>366</v>
      </c>
      <c r="C137" s="323" t="s">
        <v>360</v>
      </c>
      <c r="D137" s="323"/>
      <c r="E137" s="323"/>
      <c r="F137" s="213">
        <f>SUM(U18:U19,U30,U35,U42:U44,U53:U54,U83:U89,U93)</f>
        <v>192.76000000000005</v>
      </c>
      <c r="G137" s="83"/>
      <c r="H137" s="83"/>
      <c r="I137" s="83"/>
      <c r="J137" s="170"/>
      <c r="K137" s="83"/>
      <c r="L137" s="83"/>
      <c r="M137" s="170"/>
      <c r="N137" s="170"/>
      <c r="O137" s="170"/>
      <c r="P137" s="170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</row>
    <row r="138" spans="2:36" ht="40.049999999999997" customHeight="1">
      <c r="B138" s="91" t="s">
        <v>358</v>
      </c>
      <c r="C138" s="323" t="s">
        <v>361</v>
      </c>
      <c r="D138" s="323"/>
      <c r="E138" s="323"/>
      <c r="F138" s="213">
        <f>SUM(U20,U22,U24,U26,U28,U31,U33,U38,U40)</f>
        <v>302.92</v>
      </c>
      <c r="G138" s="83"/>
      <c r="H138" s="83"/>
      <c r="I138" s="83"/>
      <c r="J138" s="170"/>
      <c r="K138" s="83"/>
      <c r="L138" s="83"/>
      <c r="M138" s="170"/>
      <c r="N138" s="170"/>
      <c r="O138" s="170"/>
      <c r="P138" s="170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</row>
    <row r="139" spans="2:36" ht="60" customHeight="1">
      <c r="B139" s="91" t="s">
        <v>356</v>
      </c>
      <c r="C139" s="323" t="s">
        <v>362</v>
      </c>
      <c r="D139" s="323"/>
      <c r="E139" s="323"/>
      <c r="F139" s="236">
        <f>SUM(U14,U95)</f>
        <v>53.42</v>
      </c>
      <c r="G139" s="83"/>
      <c r="H139" s="83"/>
      <c r="I139" s="83"/>
      <c r="J139" s="170"/>
      <c r="K139" s="83"/>
      <c r="L139" s="83"/>
      <c r="M139" s="170"/>
      <c r="N139" s="170"/>
      <c r="O139" s="170"/>
      <c r="P139" s="170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</row>
    <row r="140" spans="2:36" ht="60" customHeight="1">
      <c r="B140" s="91" t="s">
        <v>530</v>
      </c>
      <c r="C140" s="323" t="s">
        <v>532</v>
      </c>
      <c r="D140" s="323"/>
      <c r="E140" s="323"/>
      <c r="F140" s="213"/>
      <c r="G140" s="83"/>
      <c r="H140" s="83"/>
      <c r="I140" s="83"/>
      <c r="J140" s="170"/>
      <c r="K140" s="83"/>
      <c r="L140" s="83"/>
      <c r="M140" s="170"/>
      <c r="N140" s="170"/>
      <c r="O140" s="170"/>
      <c r="P140" s="170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</row>
    <row r="141" spans="2:36" ht="40.049999999999997" customHeight="1">
      <c r="B141" s="91" t="s">
        <v>599</v>
      </c>
      <c r="C141" s="323" t="s">
        <v>619</v>
      </c>
      <c r="D141" s="323"/>
      <c r="E141" s="323"/>
      <c r="F141" s="213">
        <f>SUM(U36:U37,U46,U55:U57,U60,U62,U64,U66,U69,U72:U82,U90:U91,U99:U100,U101,U103)</f>
        <v>425.80999999999995</v>
      </c>
      <c r="G141" s="83"/>
      <c r="H141" s="83"/>
      <c r="I141" s="83"/>
      <c r="J141" s="170"/>
      <c r="K141" s="83"/>
      <c r="L141" s="83"/>
      <c r="M141" s="170"/>
      <c r="N141" s="170"/>
      <c r="O141" s="170"/>
      <c r="P141" s="170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</row>
    <row r="142" spans="2:36" ht="15.75" customHeight="1">
      <c r="B142" s="83"/>
      <c r="C142" s="80"/>
      <c r="D142" s="80"/>
      <c r="E142" s="80"/>
      <c r="F142" s="214">
        <f>SUM(F136:F141)</f>
        <v>1056.4499999999998</v>
      </c>
      <c r="G142" s="83"/>
      <c r="H142" s="83"/>
      <c r="I142" s="83"/>
      <c r="J142" s="170"/>
      <c r="K142" s="83"/>
      <c r="L142" s="83"/>
      <c r="M142" s="170"/>
      <c r="N142" s="170"/>
      <c r="O142" s="170"/>
      <c r="P142" s="170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</row>
    <row r="143" spans="2:36" ht="15.75" customHeight="1">
      <c r="B143" s="83"/>
      <c r="C143" s="83"/>
      <c r="D143" s="83"/>
      <c r="E143" s="83"/>
      <c r="F143" s="83"/>
      <c r="G143" s="83"/>
      <c r="H143" s="83"/>
      <c r="I143" s="83"/>
      <c r="J143" s="170"/>
      <c r="K143" s="83"/>
      <c r="L143" s="83"/>
      <c r="M143" s="170"/>
      <c r="N143" s="170"/>
      <c r="O143" s="170"/>
      <c r="P143" s="170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</row>
    <row r="144" spans="2:36" ht="15.75" customHeight="1">
      <c r="B144" s="83"/>
      <c r="C144" s="83"/>
      <c r="D144" s="83"/>
      <c r="E144" s="83"/>
      <c r="F144" s="83"/>
      <c r="G144" s="83"/>
      <c r="H144" s="83"/>
      <c r="I144" s="83"/>
      <c r="J144" s="170"/>
      <c r="K144" s="83"/>
      <c r="L144" s="83"/>
      <c r="M144" s="170"/>
      <c r="N144" s="170"/>
      <c r="O144" s="170"/>
      <c r="P144" s="170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</row>
    <row r="145" spans="2:36" ht="15.75" customHeight="1">
      <c r="B145" s="83"/>
      <c r="C145" s="83"/>
      <c r="D145" s="83"/>
      <c r="E145" s="83"/>
      <c r="F145" s="83"/>
      <c r="G145" s="83"/>
      <c r="H145" s="83"/>
      <c r="I145" s="83"/>
      <c r="J145" s="170"/>
      <c r="K145" s="83"/>
      <c r="L145" s="83"/>
      <c r="M145" s="170"/>
      <c r="N145" s="170"/>
      <c r="O145" s="170"/>
      <c r="P145" s="170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</row>
    <row r="146" spans="2:36" ht="15.75" customHeight="1">
      <c r="B146" s="83"/>
      <c r="C146" s="83"/>
      <c r="D146" s="83"/>
      <c r="E146" s="83"/>
      <c r="F146" s="83"/>
      <c r="G146" s="83"/>
      <c r="H146" s="83"/>
      <c r="I146" s="83"/>
      <c r="J146" s="170"/>
      <c r="K146" s="83"/>
      <c r="L146" s="83"/>
      <c r="M146" s="170"/>
      <c r="N146" s="170"/>
      <c r="O146" s="170"/>
      <c r="P146" s="170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</row>
    <row r="147" spans="2:36" ht="15.75" customHeight="1">
      <c r="B147" s="83"/>
      <c r="C147" s="83"/>
      <c r="D147" s="83"/>
      <c r="E147" s="83"/>
      <c r="F147" s="83"/>
      <c r="G147" s="83"/>
      <c r="H147" s="83"/>
      <c r="I147" s="83"/>
      <c r="J147" s="170"/>
      <c r="K147" s="83"/>
      <c r="L147" s="83"/>
      <c r="M147" s="170"/>
      <c r="N147" s="170"/>
      <c r="O147" s="170"/>
      <c r="P147" s="170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</row>
    <row r="148" spans="2:36" ht="15.75" customHeight="1">
      <c r="B148" s="83"/>
      <c r="C148" s="83"/>
      <c r="D148" s="83"/>
      <c r="E148" s="83"/>
      <c r="F148" s="83"/>
      <c r="G148" s="83"/>
      <c r="H148" s="83"/>
      <c r="I148" s="83"/>
      <c r="J148" s="170"/>
      <c r="K148" s="83"/>
      <c r="L148" s="83"/>
      <c r="M148" s="170"/>
      <c r="N148" s="170"/>
      <c r="O148" s="170"/>
      <c r="P148" s="170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</row>
    <row r="149" spans="2:36" ht="15.75" customHeight="1">
      <c r="B149" s="83"/>
      <c r="C149" s="83"/>
      <c r="D149" s="83"/>
      <c r="E149" s="83"/>
      <c r="F149" s="83"/>
      <c r="G149" s="83"/>
      <c r="H149" s="83"/>
      <c r="I149" s="83"/>
      <c r="J149" s="170"/>
      <c r="K149" s="83"/>
      <c r="L149" s="83"/>
      <c r="M149" s="170"/>
      <c r="N149" s="170"/>
      <c r="O149" s="170"/>
      <c r="P149" s="170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</row>
    <row r="150" spans="2:36" ht="15.75" customHeight="1">
      <c r="B150" s="83"/>
      <c r="C150" s="83"/>
      <c r="D150" s="83"/>
      <c r="E150" s="83"/>
      <c r="F150" s="83"/>
      <c r="G150" s="83"/>
      <c r="H150" s="83"/>
      <c r="I150" s="83"/>
      <c r="J150" s="170"/>
      <c r="K150" s="83"/>
      <c r="L150" s="83"/>
      <c r="M150" s="170"/>
      <c r="N150" s="170"/>
      <c r="O150" s="170"/>
      <c r="P150" s="170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</row>
    <row r="151" spans="2:36" ht="15.75" customHeight="1">
      <c r="B151" s="83"/>
      <c r="C151" s="83"/>
      <c r="D151" s="170"/>
      <c r="E151" s="83"/>
      <c r="F151" s="83"/>
      <c r="G151" s="83"/>
      <c r="H151" s="83"/>
      <c r="I151" s="83"/>
      <c r="J151" s="170"/>
      <c r="K151" s="83"/>
      <c r="L151" s="83"/>
      <c r="M151" s="170"/>
      <c r="N151" s="170"/>
      <c r="O151" s="170"/>
      <c r="P151" s="170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</row>
    <row r="152" spans="2:36" ht="15.75" customHeight="1">
      <c r="B152" s="83"/>
      <c r="C152" s="83"/>
      <c r="D152" s="83"/>
      <c r="E152" s="83"/>
      <c r="F152" s="83"/>
      <c r="G152" s="83"/>
      <c r="H152" s="83"/>
      <c r="I152" s="83"/>
      <c r="J152" s="170"/>
      <c r="K152" s="83"/>
      <c r="L152" s="83"/>
      <c r="M152" s="170"/>
      <c r="N152" s="170"/>
      <c r="O152" s="170"/>
      <c r="P152" s="170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</row>
    <row r="153" spans="2:36" ht="15.75" customHeight="1">
      <c r="B153" s="83"/>
      <c r="C153" s="83"/>
      <c r="D153" s="83"/>
      <c r="E153" s="83"/>
      <c r="F153" s="83"/>
      <c r="G153" s="83"/>
      <c r="H153" s="83"/>
      <c r="I153" s="83"/>
      <c r="J153" s="170"/>
      <c r="K153" s="83"/>
      <c r="L153" s="83"/>
      <c r="M153" s="170"/>
      <c r="N153" s="170"/>
      <c r="O153" s="170"/>
      <c r="P153" s="170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</row>
    <row r="154" spans="2:36" ht="15.75" customHeight="1">
      <c r="B154" s="83"/>
      <c r="C154" s="83"/>
      <c r="D154" s="83"/>
      <c r="E154" s="83"/>
      <c r="F154" s="83"/>
      <c r="G154" s="83"/>
      <c r="H154" s="83"/>
      <c r="I154" s="83"/>
      <c r="J154" s="170"/>
      <c r="K154" s="83"/>
      <c r="L154" s="83"/>
      <c r="M154" s="170"/>
      <c r="N154" s="170"/>
      <c r="O154" s="170"/>
      <c r="P154" s="170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</row>
    <row r="155" spans="2:36" ht="15.75" customHeight="1">
      <c r="B155" s="83"/>
      <c r="C155" s="83"/>
      <c r="D155" s="83"/>
      <c r="E155" s="83"/>
      <c r="F155" s="83"/>
      <c r="G155" s="83"/>
      <c r="H155" s="83"/>
      <c r="I155" s="83"/>
      <c r="J155" s="170"/>
      <c r="K155" s="83"/>
      <c r="L155" s="83"/>
      <c r="M155" s="170"/>
      <c r="N155" s="170"/>
      <c r="O155" s="170"/>
      <c r="P155" s="170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</row>
    <row r="156" spans="2:36" ht="15.75" customHeight="1">
      <c r="B156" s="83"/>
      <c r="C156" s="83"/>
      <c r="D156" s="83"/>
      <c r="E156" s="83"/>
      <c r="F156" s="83"/>
      <c r="G156" s="83"/>
      <c r="H156" s="83"/>
      <c r="I156" s="83"/>
      <c r="J156" s="170"/>
      <c r="K156" s="83"/>
      <c r="L156" s="83"/>
      <c r="M156" s="170"/>
      <c r="N156" s="170"/>
      <c r="O156" s="170"/>
      <c r="P156" s="170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</row>
    <row r="157" spans="2:36" ht="15.75" customHeight="1">
      <c r="B157" s="83"/>
      <c r="C157" s="83"/>
      <c r="D157" s="83"/>
      <c r="E157" s="83"/>
      <c r="F157" s="83"/>
      <c r="G157" s="83"/>
      <c r="H157" s="83"/>
      <c r="I157" s="83"/>
      <c r="J157" s="170"/>
      <c r="K157" s="83"/>
      <c r="L157" s="83"/>
      <c r="M157" s="170"/>
      <c r="N157" s="170"/>
      <c r="O157" s="170"/>
      <c r="P157" s="170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</row>
    <row r="158" spans="2:36" ht="15.75" customHeight="1">
      <c r="B158" s="83"/>
      <c r="C158" s="83"/>
      <c r="D158" s="83"/>
      <c r="E158" s="83"/>
      <c r="F158" s="83"/>
      <c r="G158" s="83"/>
      <c r="H158" s="83"/>
      <c r="I158" s="83"/>
      <c r="J158" s="170"/>
      <c r="K158" s="83"/>
      <c r="L158" s="83"/>
      <c r="M158" s="170"/>
      <c r="N158" s="170"/>
      <c r="O158" s="170"/>
      <c r="P158" s="170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</row>
    <row r="159" spans="2:36" ht="15.75" customHeight="1">
      <c r="B159" s="83"/>
      <c r="C159" s="83"/>
      <c r="D159" s="83"/>
      <c r="E159" s="83"/>
      <c r="F159" s="83"/>
      <c r="G159" s="83"/>
      <c r="H159" s="83"/>
      <c r="I159" s="83"/>
      <c r="J159" s="170"/>
      <c r="K159" s="83"/>
      <c r="L159" s="83"/>
      <c r="M159" s="170"/>
      <c r="N159" s="170"/>
      <c r="O159" s="170"/>
      <c r="P159" s="170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</row>
    <row r="160" spans="2:36" ht="15.75" customHeight="1">
      <c r="B160" s="83"/>
      <c r="C160" s="83"/>
      <c r="D160" s="83"/>
      <c r="E160" s="83"/>
      <c r="F160" s="83"/>
      <c r="G160" s="83"/>
      <c r="H160" s="83"/>
      <c r="I160" s="83"/>
      <c r="J160" s="170"/>
      <c r="K160" s="83"/>
      <c r="L160" s="83"/>
      <c r="M160" s="170"/>
      <c r="N160" s="170"/>
      <c r="O160" s="170"/>
      <c r="P160" s="170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</row>
    <row r="161" spans="2:36" ht="15.75" customHeight="1">
      <c r="B161" s="83"/>
      <c r="C161" s="83"/>
      <c r="D161" s="83"/>
      <c r="E161" s="83"/>
      <c r="F161" s="83"/>
      <c r="G161" s="83"/>
      <c r="H161" s="83"/>
      <c r="I161" s="83"/>
      <c r="J161" s="170"/>
      <c r="K161" s="83"/>
      <c r="L161" s="83"/>
      <c r="M161" s="170"/>
      <c r="N161" s="170"/>
      <c r="O161" s="170"/>
      <c r="P161" s="170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</row>
    <row r="162" spans="2:36" ht="15.75" customHeight="1">
      <c r="B162" s="83"/>
      <c r="C162" s="83"/>
      <c r="D162" s="83"/>
      <c r="E162" s="83"/>
      <c r="F162" s="83"/>
      <c r="G162" s="83"/>
      <c r="H162" s="83"/>
      <c r="I162" s="83"/>
      <c r="J162" s="170"/>
      <c r="K162" s="83"/>
      <c r="L162" s="83"/>
      <c r="M162" s="170"/>
      <c r="N162" s="170"/>
      <c r="O162" s="170"/>
      <c r="P162" s="170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</row>
    <row r="163" spans="2:36" ht="15.75" customHeight="1">
      <c r="B163" s="83"/>
      <c r="C163" s="83"/>
      <c r="D163" s="83"/>
      <c r="E163" s="83"/>
      <c r="F163" s="83"/>
      <c r="G163" s="83"/>
      <c r="H163" s="83"/>
      <c r="I163" s="83"/>
      <c r="J163" s="170"/>
      <c r="K163" s="83"/>
      <c r="L163" s="83"/>
      <c r="M163" s="170"/>
      <c r="N163" s="170"/>
      <c r="O163" s="170"/>
      <c r="P163" s="170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</row>
    <row r="164" spans="2:36" ht="15.75" customHeight="1">
      <c r="B164" s="83"/>
      <c r="C164" s="83"/>
      <c r="D164" s="170"/>
      <c r="E164" s="83"/>
      <c r="F164" s="83"/>
      <c r="G164" s="83"/>
      <c r="H164" s="83"/>
      <c r="I164" s="83"/>
      <c r="J164" s="170"/>
      <c r="K164" s="83"/>
      <c r="L164" s="83"/>
      <c r="M164" s="170"/>
      <c r="N164" s="170"/>
      <c r="O164" s="170"/>
      <c r="P164" s="170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</row>
    <row r="165" spans="2:36" ht="15.75" customHeight="1">
      <c r="B165" s="83"/>
      <c r="C165" s="83"/>
      <c r="D165" s="83"/>
      <c r="E165" s="83"/>
      <c r="F165" s="83"/>
      <c r="G165" s="83"/>
      <c r="H165" s="83"/>
      <c r="I165" s="83"/>
      <c r="J165" s="170"/>
      <c r="K165" s="83"/>
      <c r="L165" s="83"/>
      <c r="M165" s="170"/>
      <c r="N165" s="170"/>
      <c r="O165" s="170"/>
      <c r="P165" s="170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</row>
    <row r="166" spans="2:36" ht="15.75" customHeight="1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</row>
    <row r="167" spans="2:36" ht="15.75" customHeight="1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</row>
    <row r="168" spans="2:36" ht="15.75" customHeight="1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</row>
    <row r="169" spans="2:36" ht="15.75" customHeight="1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</row>
    <row r="170" spans="2:36" ht="52.5" customHeight="1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</row>
    <row r="171" spans="2:36" ht="50.25" customHeight="1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</row>
    <row r="172" spans="2:36" ht="35.25" customHeight="1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</row>
    <row r="173" spans="2:36" ht="39" customHeight="1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</row>
    <row r="174" spans="2:36" ht="15.75" customHeight="1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</row>
    <row r="175" spans="2:36" ht="15.75" customHeight="1">
      <c r="B175" s="83"/>
      <c r="C175" s="80"/>
      <c r="D175" s="80"/>
      <c r="E175" s="80"/>
      <c r="F175" s="188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</row>
    <row r="176" spans="2:36" ht="15.75" customHeight="1">
      <c r="B176" s="227"/>
      <c r="C176" s="80"/>
      <c r="D176" s="80"/>
      <c r="E176" s="80"/>
      <c r="F176" s="188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</row>
    <row r="177" spans="2:36" ht="15.75" customHeight="1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</row>
    <row r="178" spans="2:36" ht="15.75" customHeight="1"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</row>
    <row r="179" spans="2:36" ht="22.5" customHeight="1"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</row>
    <row r="180" spans="2:36" ht="15.75" customHeight="1"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</row>
    <row r="181" spans="2:36" ht="15.75" customHeight="1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</row>
    <row r="182" spans="2:36" ht="15.75" customHeight="1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</row>
    <row r="183" spans="2:36" ht="15.75" customHeight="1"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</row>
    <row r="184" spans="2:36" ht="15.75" customHeight="1"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</row>
    <row r="185" spans="2:36" ht="15.75" customHeight="1"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</row>
    <row r="186" spans="2:36" ht="15.75" customHeight="1"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</row>
    <row r="187" spans="2:36" ht="15.75" customHeight="1"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</row>
    <row r="188" spans="2:36" ht="15.75" customHeight="1"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</row>
    <row r="189" spans="2:36" ht="15.75" customHeight="1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</row>
    <row r="190" spans="2:36" ht="15.75" customHeight="1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</row>
    <row r="191" spans="2:36" ht="15.75" customHeight="1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</row>
    <row r="192" spans="2:36" ht="15.75" customHeight="1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</row>
    <row r="193" spans="2:36" ht="15.75" customHeight="1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</row>
    <row r="194" spans="2:36" ht="15.75" customHeight="1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</row>
    <row r="195" spans="2:36" ht="15.75" customHeight="1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</row>
    <row r="196" spans="2:36" ht="15.75" customHeight="1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</row>
    <row r="197" spans="2:36" ht="15.75" customHeight="1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</row>
    <row r="198" spans="2:36" ht="15.75" customHeight="1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</row>
    <row r="199" spans="2:36" ht="15.75" customHeight="1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</row>
    <row r="200" spans="2:36" ht="15.75" customHeight="1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</row>
    <row r="201" spans="2:36" ht="15.75" customHeight="1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</row>
    <row r="202" spans="2:36" ht="15.75" customHeight="1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</row>
    <row r="203" spans="2:36" ht="15.75" customHeight="1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</row>
    <row r="204" spans="2:36" ht="15.75" customHeight="1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</row>
    <row r="205" spans="2:36" ht="15.75" customHeight="1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</row>
    <row r="206" spans="2:36" ht="15.75" customHeight="1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</row>
    <row r="207" spans="2:36" ht="15.75" customHeight="1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</row>
    <row r="208" spans="2:36" ht="15.75" customHeight="1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</row>
    <row r="209" spans="2:36" ht="15.75" customHeight="1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</row>
    <row r="210" spans="2:36" ht="15.75" customHeight="1"/>
    <row r="211" spans="2:36" ht="15.75" customHeight="1"/>
    <row r="212" spans="2:36" ht="15.75" customHeight="1"/>
    <row r="213" spans="2:36" ht="15.75" customHeight="1"/>
    <row r="214" spans="2:36" ht="15.75" customHeight="1"/>
    <row r="215" spans="2:36" ht="15.75" customHeight="1"/>
    <row r="216" spans="2:36" ht="15.75" customHeight="1"/>
    <row r="217" spans="2:36" ht="15.75" customHeight="1"/>
    <row r="218" spans="2:36" ht="15.75" customHeight="1"/>
    <row r="219" spans="2:36" ht="15.75" customHeight="1"/>
    <row r="220" spans="2:36" ht="15.75" customHeight="1"/>
    <row r="221" spans="2:36" ht="15.75" customHeight="1"/>
    <row r="222" spans="2:36" ht="15.75" customHeight="1"/>
    <row r="223" spans="2:36" ht="15.75" customHeight="1"/>
    <row r="224" spans="2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</sheetData>
  <mergeCells count="8">
    <mergeCell ref="AF109:AH109"/>
    <mergeCell ref="C140:E140"/>
    <mergeCell ref="C141:E141"/>
    <mergeCell ref="AF110:AH110"/>
    <mergeCell ref="C136:E136"/>
    <mergeCell ref="C137:E137"/>
    <mergeCell ref="C138:E138"/>
    <mergeCell ref="C139:E139"/>
  </mergeCells>
  <phoneticPr fontId="19" type="noConversion"/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048542"/>
  <sheetViews>
    <sheetView zoomScale="110" zoomScaleNormal="110" workbookViewId="0">
      <selection activeCell="F110" sqref="F110"/>
    </sheetView>
  </sheetViews>
  <sheetFormatPr defaultRowHeight="15" customHeight="1"/>
  <cols>
    <col min="1" max="1" width="5.3984375" style="16" customWidth="1"/>
    <col min="2" max="2" width="19.796875" style="16" customWidth="1"/>
    <col min="3" max="3" width="6.69921875" style="21" customWidth="1"/>
    <col min="4" max="4" width="6.69921875" style="16" customWidth="1"/>
    <col min="5" max="5" width="7.69921875" style="16" customWidth="1"/>
    <col min="6" max="6" width="7.796875" style="16" customWidth="1"/>
    <col min="7" max="7" width="7.59765625" style="16" customWidth="1"/>
    <col min="8" max="8" width="7.09765625" style="16" customWidth="1"/>
    <col min="9" max="9" width="8.19921875" style="16" customWidth="1"/>
    <col min="10" max="10" width="8.5" style="16" customWidth="1"/>
    <col min="11" max="11" width="2.5" style="16" customWidth="1"/>
    <col min="12" max="12" width="6.8984375" style="16" customWidth="1"/>
    <col min="13" max="13" width="6.69921875" style="5" customWidth="1"/>
    <col min="14" max="14" width="9.3984375" style="5" customWidth="1"/>
    <col min="15" max="15" width="7.19921875" style="5" customWidth="1"/>
    <col min="16" max="16" width="8.69921875" style="5" customWidth="1"/>
    <col min="17" max="17" width="9.5" style="5" customWidth="1"/>
    <col min="18" max="18" width="9.796875" style="5" customWidth="1"/>
    <col min="19" max="19" width="2.69921875" style="5" customWidth="1"/>
    <col min="20" max="20" width="9.69921875" style="5" hidden="1" customWidth="1"/>
    <col min="21" max="21" width="10.8984375" style="5" hidden="1" customWidth="1"/>
    <col min="22" max="22" width="7.19921875" style="5" hidden="1" customWidth="1"/>
    <col min="23" max="23" width="6.69921875" style="5" customWidth="1"/>
    <col min="24" max="24" width="9.3984375" style="5" customWidth="1"/>
    <col min="25" max="25" width="2.796875" style="5" customWidth="1"/>
    <col min="26" max="26" width="6.796875" style="5" customWidth="1"/>
    <col min="27" max="27" width="13.3984375" style="5" hidden="1" customWidth="1"/>
    <col min="28" max="28" width="10" style="5" hidden="1" customWidth="1"/>
    <col min="29" max="29" width="7.796875" style="5" customWidth="1"/>
    <col min="30" max="30" width="8.59765625" style="5" customWidth="1"/>
    <col min="31" max="31" width="9.3984375" style="5" customWidth="1"/>
    <col min="32" max="32" width="9.5" style="5" customWidth="1"/>
    <col min="33" max="33" width="2.69921875" style="5" customWidth="1"/>
    <col min="34" max="34" width="6.796875" style="5" customWidth="1"/>
    <col min="35" max="35" width="8.69921875" style="5" customWidth="1"/>
    <col min="36" max="36" width="13.3984375" customWidth="1"/>
    <col min="37" max="37" width="15.8984375" customWidth="1"/>
    <col min="38" max="38" width="8.59765625" customWidth="1"/>
    <col min="39" max="1027" width="13.3984375" customWidth="1"/>
  </cols>
  <sheetData>
    <row r="1" spans="1:39" ht="15" customHeight="1">
      <c r="C1" s="16"/>
      <c r="F1" s="28"/>
    </row>
    <row r="2" spans="1:39" ht="15" customHeight="1">
      <c r="A2" s="279" t="s">
        <v>281</v>
      </c>
      <c r="B2" s="284" t="s">
        <v>282</v>
      </c>
      <c r="C2" s="83"/>
      <c r="D2" s="83"/>
      <c r="E2" s="83"/>
      <c r="F2" s="191"/>
      <c r="J2" s="66" t="s">
        <v>423</v>
      </c>
    </row>
    <row r="3" spans="1:39" ht="15" customHeight="1">
      <c r="A3" s="279" t="s">
        <v>283</v>
      </c>
      <c r="B3" s="284" t="s">
        <v>284</v>
      </c>
      <c r="C3" s="83"/>
      <c r="D3" s="83"/>
      <c r="E3" s="83"/>
      <c r="F3" s="191"/>
      <c r="J3" s="67" t="s">
        <v>391</v>
      </c>
    </row>
    <row r="4" spans="1:39" ht="15" customHeight="1">
      <c r="A4" s="83"/>
      <c r="B4" s="285" t="s">
        <v>636</v>
      </c>
      <c r="C4" s="83"/>
      <c r="D4" s="83"/>
      <c r="E4" s="83"/>
      <c r="F4" s="191"/>
      <c r="J4" s="68" t="s">
        <v>392</v>
      </c>
    </row>
    <row r="5" spans="1:39" ht="15" customHeight="1">
      <c r="A5" s="83"/>
      <c r="B5" s="83"/>
      <c r="C5" s="83"/>
      <c r="D5" s="83"/>
      <c r="E5" s="83"/>
      <c r="F5" s="191"/>
      <c r="J5" s="70" t="s">
        <v>442</v>
      </c>
    </row>
    <row r="6" spans="1:39" ht="15" customHeight="1">
      <c r="J6" s="71" t="s">
        <v>526</v>
      </c>
    </row>
    <row r="8" spans="1:39" ht="13.8">
      <c r="A8" s="16" t="s">
        <v>353</v>
      </c>
      <c r="B8" s="273" t="s">
        <v>35</v>
      </c>
      <c r="C8" s="188"/>
      <c r="D8" s="191"/>
      <c r="E8" s="191"/>
      <c r="F8" s="191"/>
      <c r="G8" s="191"/>
      <c r="H8" s="191"/>
      <c r="I8" s="191"/>
      <c r="J8" s="191"/>
      <c r="K8" s="191"/>
      <c r="L8" s="273" t="s">
        <v>36</v>
      </c>
      <c r="M8" s="273"/>
      <c r="N8" s="191"/>
      <c r="O8" s="191"/>
      <c r="P8" s="191"/>
      <c r="Q8" s="191"/>
      <c r="R8" s="191"/>
      <c r="S8" s="191"/>
      <c r="T8" s="273" t="s">
        <v>33</v>
      </c>
      <c r="U8" s="273"/>
      <c r="V8" s="191"/>
      <c r="W8" s="273" t="s">
        <v>33</v>
      </c>
      <c r="X8" s="273"/>
      <c r="Y8" s="191"/>
      <c r="Z8" s="273" t="s">
        <v>37</v>
      </c>
      <c r="AA8" s="191"/>
      <c r="AB8" s="191"/>
      <c r="AC8" s="191"/>
      <c r="AD8" s="191"/>
      <c r="AE8" s="191"/>
      <c r="AF8" s="191"/>
      <c r="AG8" s="191"/>
      <c r="AH8" s="273" t="s">
        <v>34</v>
      </c>
      <c r="AI8" s="273"/>
    </row>
    <row r="9" spans="1:39" ht="15" customHeight="1">
      <c r="A9" s="16" t="s">
        <v>344</v>
      </c>
    </row>
    <row r="10" spans="1:39" ht="14.4">
      <c r="B10" s="79" t="s">
        <v>38</v>
      </c>
      <c r="C10" s="79" t="s">
        <v>39</v>
      </c>
      <c r="D10" s="79" t="s">
        <v>40</v>
      </c>
      <c r="E10" s="79" t="s">
        <v>41</v>
      </c>
      <c r="F10" s="79" t="s">
        <v>42</v>
      </c>
      <c r="G10" s="79" t="s">
        <v>43</v>
      </c>
      <c r="H10" s="79" t="s">
        <v>44</v>
      </c>
      <c r="I10" s="79" t="s">
        <v>45</v>
      </c>
      <c r="J10" s="79" t="s">
        <v>46</v>
      </c>
      <c r="K10" s="85"/>
      <c r="L10" s="82" t="s">
        <v>39</v>
      </c>
      <c r="M10" s="82" t="s">
        <v>40</v>
      </c>
      <c r="N10" s="82" t="s">
        <v>47</v>
      </c>
      <c r="O10" s="82" t="s">
        <v>48</v>
      </c>
      <c r="P10" s="82" t="s">
        <v>44</v>
      </c>
      <c r="Q10" s="82" t="s">
        <v>49</v>
      </c>
      <c r="R10" s="82" t="s">
        <v>46</v>
      </c>
      <c r="S10" s="85"/>
      <c r="T10" s="84" t="s">
        <v>39</v>
      </c>
      <c r="U10" s="84" t="s">
        <v>47</v>
      </c>
      <c r="V10" s="85"/>
      <c r="W10" s="84" t="s">
        <v>39</v>
      </c>
      <c r="X10" s="84" t="s">
        <v>47</v>
      </c>
      <c r="Y10" s="85"/>
      <c r="Z10" s="88" t="s">
        <v>39</v>
      </c>
      <c r="AA10" s="88" t="s">
        <v>41</v>
      </c>
      <c r="AB10" s="88" t="s">
        <v>42</v>
      </c>
      <c r="AC10" s="88" t="s">
        <v>43</v>
      </c>
      <c r="AD10" s="88" t="s">
        <v>44</v>
      </c>
      <c r="AE10" s="88" t="s">
        <v>45</v>
      </c>
      <c r="AF10" s="88" t="s">
        <v>46</v>
      </c>
      <c r="AG10" s="85"/>
      <c r="AH10" s="84" t="s">
        <v>39</v>
      </c>
      <c r="AI10" s="84" t="s">
        <v>47</v>
      </c>
      <c r="AJ10" s="83"/>
      <c r="AK10" s="83"/>
      <c r="AL10" s="83"/>
      <c r="AM10" s="83"/>
    </row>
    <row r="11" spans="1:39" ht="14.4">
      <c r="B11" s="79"/>
      <c r="C11" s="79" t="s">
        <v>50</v>
      </c>
      <c r="D11" s="79"/>
      <c r="E11" s="79" t="s">
        <v>51</v>
      </c>
      <c r="F11" s="79" t="s">
        <v>52</v>
      </c>
      <c r="G11" s="79" t="s">
        <v>51</v>
      </c>
      <c r="H11" s="79" t="s">
        <v>51</v>
      </c>
      <c r="I11" s="79" t="s">
        <v>51</v>
      </c>
      <c r="J11" s="79" t="s">
        <v>51</v>
      </c>
      <c r="K11" s="85"/>
      <c r="L11" s="82" t="s">
        <v>53</v>
      </c>
      <c r="M11" s="82"/>
      <c r="N11" s="82" t="s">
        <v>52</v>
      </c>
      <c r="O11" s="82" t="s">
        <v>51</v>
      </c>
      <c r="P11" s="82" t="s">
        <v>51</v>
      </c>
      <c r="Q11" s="82" t="s">
        <v>51</v>
      </c>
      <c r="R11" s="82" t="s">
        <v>51</v>
      </c>
      <c r="S11" s="85"/>
      <c r="T11" s="84"/>
      <c r="U11" s="84" t="s">
        <v>52</v>
      </c>
      <c r="V11" s="85"/>
      <c r="W11" s="84"/>
      <c r="X11" s="84" t="s">
        <v>52</v>
      </c>
      <c r="Y11" s="85"/>
      <c r="Z11" s="88"/>
      <c r="AA11" s="88" t="s">
        <v>51</v>
      </c>
      <c r="AB11" s="88" t="s">
        <v>52</v>
      </c>
      <c r="AC11" s="88" t="s">
        <v>51</v>
      </c>
      <c r="AD11" s="88" t="s">
        <v>51</v>
      </c>
      <c r="AE11" s="88" t="s">
        <v>51</v>
      </c>
      <c r="AF11" s="88" t="s">
        <v>51</v>
      </c>
      <c r="AG11" s="85"/>
      <c r="AH11" s="84"/>
      <c r="AI11" s="84" t="s">
        <v>52</v>
      </c>
      <c r="AJ11" s="83"/>
      <c r="AK11" s="83"/>
      <c r="AL11" s="83"/>
      <c r="AM11" s="83"/>
    </row>
    <row r="12" spans="1:39" s="11" customFormat="1" ht="14.4">
      <c r="A12" s="18"/>
      <c r="B12" s="118" t="s">
        <v>330</v>
      </c>
      <c r="C12" s="95"/>
      <c r="D12" s="95"/>
      <c r="E12" s="95"/>
      <c r="F12" s="95"/>
      <c r="G12" s="95"/>
      <c r="H12" s="118"/>
      <c r="I12" s="95"/>
      <c r="J12" s="95"/>
      <c r="K12" s="103"/>
      <c r="L12" s="162"/>
      <c r="M12" s="108"/>
      <c r="N12" s="162"/>
      <c r="O12" s="108"/>
      <c r="P12" s="92"/>
      <c r="Q12" s="92"/>
      <c r="R12" s="108"/>
      <c r="S12" s="146"/>
      <c r="T12" s="108"/>
      <c r="U12" s="108"/>
      <c r="V12" s="103"/>
      <c r="W12" s="162"/>
      <c r="X12" s="92"/>
      <c r="Y12" s="103"/>
      <c r="Z12" s="162"/>
      <c r="AA12" s="108"/>
      <c r="AB12" s="108"/>
      <c r="AC12" s="108"/>
      <c r="AD12" s="108"/>
      <c r="AE12" s="108"/>
      <c r="AF12" s="108"/>
      <c r="AG12" s="103"/>
      <c r="AH12" s="92"/>
      <c r="AI12" s="108"/>
      <c r="AJ12" s="90"/>
      <c r="AK12" s="90"/>
      <c r="AL12" s="90"/>
      <c r="AM12" s="90"/>
    </row>
    <row r="13" spans="1:39" s="11" customFormat="1" ht="14.4">
      <c r="A13" s="18"/>
      <c r="B13" s="118" t="s">
        <v>331</v>
      </c>
      <c r="C13" s="95"/>
      <c r="D13" s="95"/>
      <c r="E13" s="95"/>
      <c r="F13" s="95"/>
      <c r="G13" s="95"/>
      <c r="H13" s="118"/>
      <c r="I13" s="95"/>
      <c r="J13" s="95"/>
      <c r="K13" s="103"/>
      <c r="L13" s="162"/>
      <c r="M13" s="108"/>
      <c r="N13" s="162"/>
      <c r="O13" s="108"/>
      <c r="P13" s="92"/>
      <c r="Q13" s="92"/>
      <c r="R13" s="108"/>
      <c r="S13" s="146"/>
      <c r="T13" s="108"/>
      <c r="U13" s="108"/>
      <c r="V13" s="103"/>
      <c r="W13" s="162"/>
      <c r="X13" s="92"/>
      <c r="Y13" s="103"/>
      <c r="Z13" s="162"/>
      <c r="AA13" s="108"/>
      <c r="AB13" s="108"/>
      <c r="AC13" s="108"/>
      <c r="AD13" s="108"/>
      <c r="AE13" s="108"/>
      <c r="AF13" s="108"/>
      <c r="AG13" s="103"/>
      <c r="AH13" s="92"/>
      <c r="AI13" s="108"/>
      <c r="AJ13" s="90"/>
      <c r="AK13" s="90"/>
      <c r="AL13" s="90"/>
      <c r="AM13" s="90"/>
    </row>
    <row r="14" spans="1:39" s="11" customFormat="1" ht="14.4">
      <c r="A14" s="18"/>
      <c r="B14" s="138" t="s">
        <v>73</v>
      </c>
      <c r="C14" s="95" t="s">
        <v>17</v>
      </c>
      <c r="D14" s="95">
        <v>1</v>
      </c>
      <c r="E14" s="95" t="s">
        <v>57</v>
      </c>
      <c r="F14" s="95" t="s">
        <v>57</v>
      </c>
      <c r="G14" s="95">
        <v>27.1</v>
      </c>
      <c r="H14" s="118"/>
      <c r="I14" s="95">
        <f t="shared" ref="I14:I80" si="0">(G14-H14)</f>
        <v>27.1</v>
      </c>
      <c r="J14" s="95">
        <f t="shared" ref="J14:J80" si="1">I14*D14</f>
        <v>27.1</v>
      </c>
      <c r="K14" s="103"/>
      <c r="L14" s="162" t="s">
        <v>17</v>
      </c>
      <c r="M14" s="108">
        <v>1</v>
      </c>
      <c r="N14" s="162">
        <v>36.43</v>
      </c>
      <c r="O14" s="108">
        <v>2.8</v>
      </c>
      <c r="P14" s="92"/>
      <c r="Q14" s="92"/>
      <c r="R14" s="108">
        <f t="shared" ref="R14:R62" si="2">(N14*O14-P14)*M14</f>
        <v>102.00399999999999</v>
      </c>
      <c r="S14" s="146"/>
      <c r="T14" s="108" t="s">
        <v>357</v>
      </c>
      <c r="U14" s="92">
        <f>N14*M14</f>
        <v>36.43</v>
      </c>
      <c r="V14" s="103"/>
      <c r="W14" s="162" t="s">
        <v>17</v>
      </c>
      <c r="X14" s="163">
        <f>N14*M14</f>
        <v>36.43</v>
      </c>
      <c r="Y14" s="103"/>
      <c r="Z14" s="162" t="s">
        <v>17</v>
      </c>
      <c r="AA14" s="108" t="str">
        <f t="shared" ref="AA14:AF14" si="3">E14</f>
        <v>cad</v>
      </c>
      <c r="AB14" s="108" t="str">
        <f t="shared" si="3"/>
        <v>cad</v>
      </c>
      <c r="AC14" s="108">
        <f t="shared" si="3"/>
        <v>27.1</v>
      </c>
      <c r="AD14" s="108">
        <f t="shared" si="3"/>
        <v>0</v>
      </c>
      <c r="AE14" s="108">
        <f t="shared" si="3"/>
        <v>27.1</v>
      </c>
      <c r="AF14" s="108">
        <f t="shared" si="3"/>
        <v>27.1</v>
      </c>
      <c r="AG14" s="103"/>
      <c r="AH14" s="92" t="s">
        <v>357</v>
      </c>
      <c r="AI14" s="108">
        <f t="shared" ref="AI14:AI16" si="4">N14*M14</f>
        <v>36.43</v>
      </c>
      <c r="AJ14" s="90"/>
      <c r="AK14" s="90"/>
      <c r="AL14" s="90"/>
      <c r="AM14" s="90"/>
    </row>
    <row r="15" spans="1:39" s="11" customFormat="1" ht="14.4">
      <c r="A15" s="18"/>
      <c r="B15" s="138"/>
      <c r="C15" s="95"/>
      <c r="D15" s="95"/>
      <c r="E15" s="95"/>
      <c r="F15" s="95"/>
      <c r="G15" s="141"/>
      <c r="H15" s="118"/>
      <c r="I15" s="95"/>
      <c r="J15" s="95"/>
      <c r="K15" s="103"/>
      <c r="L15" s="162"/>
      <c r="M15" s="108"/>
      <c r="N15" s="162"/>
      <c r="O15" s="108"/>
      <c r="P15" s="92"/>
      <c r="Q15" s="92"/>
      <c r="R15" s="108"/>
      <c r="S15" s="146"/>
      <c r="T15" s="108"/>
      <c r="U15" s="92"/>
      <c r="V15" s="103"/>
      <c r="W15" s="108"/>
      <c r="X15" s="108"/>
      <c r="Y15" s="103"/>
      <c r="Z15" s="166" t="s">
        <v>19</v>
      </c>
      <c r="AA15" s="141">
        <f t="shared" ref="AA15:AA16" si="5">E15</f>
        <v>0</v>
      </c>
      <c r="AB15" s="141">
        <f t="shared" ref="AB15:AB16" si="6">F15</f>
        <v>0</v>
      </c>
      <c r="AC15" s="141">
        <v>6.25</v>
      </c>
      <c r="AD15" s="108">
        <f t="shared" ref="AD15:AD16" si="7">H15</f>
        <v>0</v>
      </c>
      <c r="AE15" s="141">
        <f>AC15</f>
        <v>6.25</v>
      </c>
      <c r="AF15" s="141">
        <f>AC15</f>
        <v>6.25</v>
      </c>
      <c r="AG15" s="103"/>
      <c r="AH15" s="92"/>
      <c r="AI15" s="108"/>
      <c r="AJ15" s="90"/>
      <c r="AK15" s="90"/>
      <c r="AL15" s="90"/>
      <c r="AM15" s="90"/>
    </row>
    <row r="16" spans="1:39" s="11" customFormat="1" ht="14.4">
      <c r="A16" s="18"/>
      <c r="B16" s="138" t="s">
        <v>140</v>
      </c>
      <c r="C16" s="95" t="s">
        <v>22</v>
      </c>
      <c r="D16" s="95">
        <v>1</v>
      </c>
      <c r="E16" s="95" t="s">
        <v>57</v>
      </c>
      <c r="F16" s="95" t="s">
        <v>57</v>
      </c>
      <c r="G16" s="123">
        <v>5.91</v>
      </c>
      <c r="H16" s="118"/>
      <c r="I16" s="95">
        <f t="shared" ref="I16" si="8">(G16-H16)</f>
        <v>5.91</v>
      </c>
      <c r="J16" s="95">
        <f t="shared" ref="J16" si="9">I16*D16</f>
        <v>5.91</v>
      </c>
      <c r="K16" s="103"/>
      <c r="L16" s="162" t="s">
        <v>20</v>
      </c>
      <c r="M16" s="108">
        <v>1</v>
      </c>
      <c r="N16" s="145">
        <v>11.5</v>
      </c>
      <c r="O16" s="123">
        <v>2.7</v>
      </c>
      <c r="P16" s="92"/>
      <c r="Q16" s="92"/>
      <c r="R16" s="108">
        <f t="shared" si="2"/>
        <v>31.05</v>
      </c>
      <c r="S16" s="146"/>
      <c r="T16" s="108"/>
      <c r="U16" s="92"/>
      <c r="V16" s="103"/>
      <c r="W16" s="108"/>
      <c r="X16" s="108"/>
      <c r="Y16" s="103"/>
      <c r="Z16" s="162" t="s">
        <v>18</v>
      </c>
      <c r="AA16" s="108" t="str">
        <f t="shared" si="5"/>
        <v>cad</v>
      </c>
      <c r="AB16" s="108" t="str">
        <f t="shared" si="6"/>
        <v>cad</v>
      </c>
      <c r="AC16" s="108">
        <f t="shared" ref="AC16" si="10">G16</f>
        <v>5.91</v>
      </c>
      <c r="AD16" s="108">
        <f t="shared" si="7"/>
        <v>0</v>
      </c>
      <c r="AE16" s="108">
        <f t="shared" ref="AE16" si="11">I16</f>
        <v>5.91</v>
      </c>
      <c r="AF16" s="108">
        <f t="shared" ref="AF16" si="12">J16</f>
        <v>5.91</v>
      </c>
      <c r="AG16" s="103"/>
      <c r="AH16" s="92" t="s">
        <v>17</v>
      </c>
      <c r="AI16" s="108">
        <f t="shared" si="4"/>
        <v>11.5</v>
      </c>
      <c r="AJ16" s="90"/>
      <c r="AK16" s="90"/>
      <c r="AL16" s="90"/>
      <c r="AM16" s="90"/>
    </row>
    <row r="17" spans="1:39" s="11" customFormat="1" ht="14.4">
      <c r="A17" s="18"/>
      <c r="B17" s="118" t="s">
        <v>74</v>
      </c>
      <c r="C17" s="95"/>
      <c r="D17" s="95"/>
      <c r="E17" s="95"/>
      <c r="F17" s="95"/>
      <c r="G17" s="95"/>
      <c r="H17" s="118"/>
      <c r="I17" s="95"/>
      <c r="J17" s="95"/>
      <c r="K17" s="103"/>
      <c r="L17" s="162"/>
      <c r="M17" s="108"/>
      <c r="N17" s="162"/>
      <c r="O17" s="108"/>
      <c r="P17" s="92"/>
      <c r="Q17" s="92"/>
      <c r="R17" s="108"/>
      <c r="S17" s="146"/>
      <c r="T17" s="108"/>
      <c r="U17" s="108"/>
      <c r="V17" s="103"/>
      <c r="W17" s="108"/>
      <c r="X17" s="108"/>
      <c r="Y17" s="103"/>
      <c r="Z17" s="162"/>
      <c r="AA17" s="108"/>
      <c r="AB17" s="108"/>
      <c r="AC17" s="108"/>
      <c r="AD17" s="108"/>
      <c r="AE17" s="108"/>
      <c r="AF17" s="108"/>
      <c r="AG17" s="103"/>
      <c r="AH17" s="92"/>
      <c r="AI17" s="108"/>
      <c r="AJ17" s="90"/>
      <c r="AK17" s="90"/>
      <c r="AL17" s="90"/>
      <c r="AM17" s="90"/>
    </row>
    <row r="18" spans="1:39" s="11" customFormat="1" ht="14.4">
      <c r="A18" s="18"/>
      <c r="B18" s="118" t="s">
        <v>75</v>
      </c>
      <c r="C18" s="95"/>
      <c r="D18" s="95"/>
      <c r="E18" s="95"/>
      <c r="F18" s="95"/>
      <c r="G18" s="95"/>
      <c r="H18" s="118"/>
      <c r="I18" s="95"/>
      <c r="J18" s="95"/>
      <c r="K18" s="103"/>
      <c r="L18" s="162"/>
      <c r="M18" s="108"/>
      <c r="N18" s="162"/>
      <c r="O18" s="108"/>
      <c r="P18" s="92"/>
      <c r="Q18" s="92"/>
      <c r="R18" s="108"/>
      <c r="S18" s="146"/>
      <c r="T18" s="108"/>
      <c r="U18" s="108"/>
      <c r="V18" s="103"/>
      <c r="W18" s="108"/>
      <c r="X18" s="163"/>
      <c r="Y18" s="103"/>
      <c r="Z18" s="162"/>
      <c r="AA18" s="108"/>
      <c r="AB18" s="108"/>
      <c r="AC18" s="108"/>
      <c r="AD18" s="108"/>
      <c r="AE18" s="108"/>
      <c r="AF18" s="108"/>
      <c r="AG18" s="103"/>
      <c r="AH18" s="92"/>
      <c r="AI18" s="108"/>
      <c r="AJ18" s="90"/>
      <c r="AK18" s="90"/>
      <c r="AL18" s="90"/>
      <c r="AM18" s="90"/>
    </row>
    <row r="19" spans="1:39" s="11" customFormat="1" ht="14.4">
      <c r="A19" s="18"/>
      <c r="B19" s="118" t="s">
        <v>332</v>
      </c>
      <c r="C19" s="95"/>
      <c r="D19" s="95"/>
      <c r="E19" s="95"/>
      <c r="F19" s="95"/>
      <c r="G19" s="95"/>
      <c r="H19" s="118"/>
      <c r="I19" s="95"/>
      <c r="J19" s="95"/>
      <c r="K19" s="103"/>
      <c r="L19" s="162"/>
      <c r="M19" s="108"/>
      <c r="N19" s="162"/>
      <c r="O19" s="108"/>
      <c r="P19" s="92"/>
      <c r="Q19" s="92"/>
      <c r="R19" s="108"/>
      <c r="S19" s="146"/>
      <c r="T19" s="108"/>
      <c r="U19" s="108"/>
      <c r="V19" s="103"/>
      <c r="W19" s="108"/>
      <c r="X19" s="163"/>
      <c r="Y19" s="103"/>
      <c r="Z19" s="162"/>
      <c r="AA19" s="108"/>
      <c r="AB19" s="108"/>
      <c r="AC19" s="108"/>
      <c r="AD19" s="108"/>
      <c r="AE19" s="108"/>
      <c r="AF19" s="108"/>
      <c r="AG19" s="103"/>
      <c r="AH19" s="92"/>
      <c r="AI19" s="108"/>
      <c r="AJ19" s="90"/>
      <c r="AK19" s="90"/>
      <c r="AL19" s="90"/>
      <c r="AM19" s="90"/>
    </row>
    <row r="20" spans="1:39" s="11" customFormat="1" ht="14.4">
      <c r="A20" s="18"/>
      <c r="B20" s="118" t="s">
        <v>333</v>
      </c>
      <c r="C20" s="95"/>
      <c r="D20" s="95"/>
      <c r="E20" s="95"/>
      <c r="F20" s="95"/>
      <c r="G20" s="95"/>
      <c r="H20" s="118"/>
      <c r="I20" s="95"/>
      <c r="J20" s="95"/>
      <c r="K20" s="103"/>
      <c r="L20" s="162"/>
      <c r="M20" s="108"/>
      <c r="N20" s="162"/>
      <c r="O20" s="108"/>
      <c r="P20" s="92"/>
      <c r="Q20" s="92"/>
      <c r="R20" s="108"/>
      <c r="S20" s="146"/>
      <c r="T20" s="108"/>
      <c r="U20" s="108"/>
      <c r="V20" s="103"/>
      <c r="W20" s="108"/>
      <c r="X20" s="163"/>
      <c r="Y20" s="103"/>
      <c r="Z20" s="162"/>
      <c r="AA20" s="108"/>
      <c r="AB20" s="108"/>
      <c r="AC20" s="108"/>
      <c r="AD20" s="108"/>
      <c r="AE20" s="108"/>
      <c r="AF20" s="108"/>
      <c r="AG20" s="103"/>
      <c r="AH20" s="92"/>
      <c r="AI20" s="108"/>
      <c r="AJ20" s="90"/>
      <c r="AK20" s="90"/>
      <c r="AL20" s="90"/>
      <c r="AM20" s="90"/>
    </row>
    <row r="21" spans="1:39" s="11" customFormat="1" ht="14.4">
      <c r="A21" s="18"/>
      <c r="B21" s="138" t="s">
        <v>77</v>
      </c>
      <c r="C21" s="95" t="s">
        <v>22</v>
      </c>
      <c r="D21" s="95">
        <v>1</v>
      </c>
      <c r="E21" s="95" t="s">
        <v>57</v>
      </c>
      <c r="F21" s="95" t="s">
        <v>57</v>
      </c>
      <c r="G21" s="123">
        <v>6.61</v>
      </c>
      <c r="H21" s="118"/>
      <c r="I21" s="95">
        <f t="shared" si="0"/>
        <v>6.61</v>
      </c>
      <c r="J21" s="95">
        <f t="shared" si="1"/>
        <v>6.61</v>
      </c>
      <c r="K21" s="103"/>
      <c r="L21" s="162" t="s">
        <v>20</v>
      </c>
      <c r="M21" s="108">
        <v>1</v>
      </c>
      <c r="N21" s="162">
        <v>11.82</v>
      </c>
      <c r="O21" s="123">
        <v>2.7</v>
      </c>
      <c r="P21" s="92"/>
      <c r="Q21" s="92"/>
      <c r="R21" s="108">
        <f t="shared" si="2"/>
        <v>31.914000000000001</v>
      </c>
      <c r="S21" s="146"/>
      <c r="T21" s="108"/>
      <c r="U21" s="108"/>
      <c r="V21" s="103"/>
      <c r="W21" s="108"/>
      <c r="X21" s="163"/>
      <c r="Y21" s="103"/>
      <c r="Z21" s="162" t="s">
        <v>17</v>
      </c>
      <c r="AA21" s="108" t="str">
        <f t="shared" ref="AA21:AF25" si="13">E21</f>
        <v>cad</v>
      </c>
      <c r="AB21" s="108" t="str">
        <f t="shared" si="13"/>
        <v>cad</v>
      </c>
      <c r="AC21" s="108">
        <f t="shared" si="13"/>
        <v>6.61</v>
      </c>
      <c r="AD21" s="108">
        <f t="shared" si="13"/>
        <v>0</v>
      </c>
      <c r="AE21" s="108">
        <f t="shared" si="13"/>
        <v>6.61</v>
      </c>
      <c r="AF21" s="108">
        <f t="shared" si="13"/>
        <v>6.61</v>
      </c>
      <c r="AG21" s="103"/>
      <c r="AH21" s="92" t="s">
        <v>357</v>
      </c>
      <c r="AI21" s="108">
        <f t="shared" ref="AI21:AI28" si="14">N21*M21</f>
        <v>11.82</v>
      </c>
      <c r="AJ21" s="90"/>
      <c r="AK21" s="90"/>
      <c r="AL21" s="90"/>
      <c r="AM21" s="90"/>
    </row>
    <row r="22" spans="1:39" s="11" customFormat="1" ht="14.4">
      <c r="A22" s="18"/>
      <c r="B22" s="138" t="s">
        <v>78</v>
      </c>
      <c r="C22" s="95" t="s">
        <v>22</v>
      </c>
      <c r="D22" s="95">
        <v>1</v>
      </c>
      <c r="E22" s="95" t="s">
        <v>57</v>
      </c>
      <c r="F22" s="95" t="s">
        <v>57</v>
      </c>
      <c r="G22" s="123">
        <v>6.61</v>
      </c>
      <c r="H22" s="118"/>
      <c r="I22" s="95">
        <f t="shared" si="0"/>
        <v>6.61</v>
      </c>
      <c r="J22" s="95">
        <f t="shared" si="1"/>
        <v>6.61</v>
      </c>
      <c r="K22" s="103"/>
      <c r="L22" s="162" t="s">
        <v>20</v>
      </c>
      <c r="M22" s="108">
        <v>1</v>
      </c>
      <c r="N22" s="162">
        <v>11.82</v>
      </c>
      <c r="O22" s="123">
        <v>2.7</v>
      </c>
      <c r="P22" s="92"/>
      <c r="Q22" s="92"/>
      <c r="R22" s="108">
        <f t="shared" si="2"/>
        <v>31.914000000000001</v>
      </c>
      <c r="S22" s="146"/>
      <c r="T22" s="108"/>
      <c r="U22" s="108"/>
      <c r="V22" s="103"/>
      <c r="W22" s="108"/>
      <c r="X22" s="163"/>
      <c r="Y22" s="103"/>
      <c r="Z22" s="162" t="s">
        <v>18</v>
      </c>
      <c r="AA22" s="108" t="str">
        <f t="shared" si="13"/>
        <v>cad</v>
      </c>
      <c r="AB22" s="108" t="str">
        <f t="shared" si="13"/>
        <v>cad</v>
      </c>
      <c r="AC22" s="108">
        <f t="shared" si="13"/>
        <v>6.61</v>
      </c>
      <c r="AD22" s="108">
        <f t="shared" si="13"/>
        <v>0</v>
      </c>
      <c r="AE22" s="108">
        <f t="shared" si="13"/>
        <v>6.61</v>
      </c>
      <c r="AF22" s="108">
        <f t="shared" si="13"/>
        <v>6.61</v>
      </c>
      <c r="AG22" s="103"/>
      <c r="AH22" s="92" t="s">
        <v>357</v>
      </c>
      <c r="AI22" s="108">
        <f t="shared" si="14"/>
        <v>11.82</v>
      </c>
      <c r="AJ22" s="90"/>
      <c r="AK22" s="90"/>
      <c r="AL22" s="90"/>
      <c r="AM22" s="90"/>
    </row>
    <row r="23" spans="1:39" s="11" customFormat="1" ht="14.4">
      <c r="A23" s="18"/>
      <c r="B23" s="138" t="s">
        <v>79</v>
      </c>
      <c r="C23" s="95" t="s">
        <v>29</v>
      </c>
      <c r="D23" s="95">
        <v>1</v>
      </c>
      <c r="E23" s="95" t="s">
        <v>57</v>
      </c>
      <c r="F23" s="95" t="s">
        <v>57</v>
      </c>
      <c r="G23" s="123">
        <v>22.35</v>
      </c>
      <c r="H23" s="118"/>
      <c r="I23" s="95">
        <f t="shared" si="0"/>
        <v>22.35</v>
      </c>
      <c r="J23" s="95">
        <f t="shared" si="1"/>
        <v>22.35</v>
      </c>
      <c r="K23" s="103"/>
      <c r="L23" s="162" t="s">
        <v>19</v>
      </c>
      <c r="M23" s="108">
        <v>1</v>
      </c>
      <c r="N23" s="145">
        <v>20.27</v>
      </c>
      <c r="O23" s="123">
        <v>2.7</v>
      </c>
      <c r="P23" s="92"/>
      <c r="Q23" s="92"/>
      <c r="R23" s="108">
        <f t="shared" si="2"/>
        <v>54.728999999999999</v>
      </c>
      <c r="S23" s="146"/>
      <c r="T23" s="108" t="s">
        <v>358</v>
      </c>
      <c r="U23" s="92">
        <f>N23*M23</f>
        <v>20.27</v>
      </c>
      <c r="V23" s="103"/>
      <c r="W23" s="108" t="s">
        <v>19</v>
      </c>
      <c r="X23" s="163">
        <f t="shared" ref="X23:X28" si="15">N23*M23</f>
        <v>20.27</v>
      </c>
      <c r="Y23" s="103"/>
      <c r="Z23" s="162" t="s">
        <v>17</v>
      </c>
      <c r="AA23" s="108" t="str">
        <f t="shared" si="13"/>
        <v>cad</v>
      </c>
      <c r="AB23" s="108" t="str">
        <f t="shared" si="13"/>
        <v>cad</v>
      </c>
      <c r="AC23" s="108">
        <f t="shared" si="13"/>
        <v>22.35</v>
      </c>
      <c r="AD23" s="108">
        <f t="shared" si="13"/>
        <v>0</v>
      </c>
      <c r="AE23" s="108">
        <f t="shared" si="13"/>
        <v>22.35</v>
      </c>
      <c r="AF23" s="108">
        <f t="shared" si="13"/>
        <v>22.35</v>
      </c>
      <c r="AG23" s="103"/>
      <c r="AH23" s="92" t="s">
        <v>357</v>
      </c>
      <c r="AI23" s="108">
        <f t="shared" si="14"/>
        <v>20.27</v>
      </c>
      <c r="AJ23" s="90"/>
      <c r="AK23" s="90"/>
      <c r="AL23" s="90"/>
      <c r="AM23" s="90"/>
    </row>
    <row r="24" spans="1:39" s="11" customFormat="1" ht="14.4">
      <c r="A24" s="18"/>
      <c r="B24" s="138" t="s">
        <v>119</v>
      </c>
      <c r="C24" s="95" t="s">
        <v>22</v>
      </c>
      <c r="D24" s="95">
        <v>1</v>
      </c>
      <c r="E24" s="95" t="s">
        <v>57</v>
      </c>
      <c r="F24" s="95" t="s">
        <v>57</v>
      </c>
      <c r="G24" s="95">
        <v>7.54</v>
      </c>
      <c r="H24" s="118"/>
      <c r="I24" s="95">
        <f t="shared" si="0"/>
        <v>7.54</v>
      </c>
      <c r="J24" s="95">
        <f t="shared" si="1"/>
        <v>7.54</v>
      </c>
      <c r="K24" s="103"/>
      <c r="L24" s="162" t="s">
        <v>20</v>
      </c>
      <c r="M24" s="108">
        <v>1</v>
      </c>
      <c r="N24" s="162">
        <v>10.98</v>
      </c>
      <c r="O24" s="123">
        <v>2.7</v>
      </c>
      <c r="P24" s="92"/>
      <c r="Q24" s="92"/>
      <c r="R24" s="108">
        <f t="shared" si="2"/>
        <v>29.646000000000004</v>
      </c>
      <c r="S24" s="146"/>
      <c r="T24" s="108"/>
      <c r="U24" s="108"/>
      <c r="V24" s="103"/>
      <c r="W24" s="108"/>
      <c r="X24" s="163"/>
      <c r="Y24" s="103"/>
      <c r="Z24" s="162" t="s">
        <v>18</v>
      </c>
      <c r="AA24" s="108" t="str">
        <f t="shared" si="13"/>
        <v>cad</v>
      </c>
      <c r="AB24" s="108" t="str">
        <f t="shared" si="13"/>
        <v>cad</v>
      </c>
      <c r="AC24" s="108">
        <f t="shared" si="13"/>
        <v>7.54</v>
      </c>
      <c r="AD24" s="108">
        <f t="shared" si="13"/>
        <v>0</v>
      </c>
      <c r="AE24" s="108">
        <f t="shared" si="13"/>
        <v>7.54</v>
      </c>
      <c r="AF24" s="108">
        <f t="shared" si="13"/>
        <v>7.54</v>
      </c>
      <c r="AG24" s="103"/>
      <c r="AH24" s="92" t="s">
        <v>357</v>
      </c>
      <c r="AI24" s="108">
        <f t="shared" si="14"/>
        <v>10.98</v>
      </c>
      <c r="AJ24" s="90"/>
      <c r="AK24" s="90"/>
      <c r="AL24" s="90"/>
      <c r="AM24" s="90"/>
    </row>
    <row r="25" spans="1:39" s="11" customFormat="1" ht="14.4">
      <c r="A25" s="18"/>
      <c r="B25" s="138" t="s">
        <v>80</v>
      </c>
      <c r="C25" s="95" t="s">
        <v>29</v>
      </c>
      <c r="D25" s="95">
        <v>1</v>
      </c>
      <c r="E25" s="95" t="s">
        <v>57</v>
      </c>
      <c r="F25" s="95" t="s">
        <v>57</v>
      </c>
      <c r="G25" s="123">
        <v>4.43</v>
      </c>
      <c r="H25" s="118"/>
      <c r="I25" s="95">
        <f t="shared" si="0"/>
        <v>4.43</v>
      </c>
      <c r="J25" s="95">
        <f t="shared" si="1"/>
        <v>4.43</v>
      </c>
      <c r="K25" s="103"/>
      <c r="L25" s="162" t="s">
        <v>19</v>
      </c>
      <c r="M25" s="108">
        <v>1</v>
      </c>
      <c r="N25" s="145">
        <v>8.74</v>
      </c>
      <c r="O25" s="123">
        <v>2.7</v>
      </c>
      <c r="P25" s="92"/>
      <c r="Q25" s="92"/>
      <c r="R25" s="108">
        <f t="shared" si="2"/>
        <v>23.598000000000003</v>
      </c>
      <c r="S25" s="146"/>
      <c r="T25" s="108" t="s">
        <v>358</v>
      </c>
      <c r="U25" s="92">
        <f t="shared" ref="U25:U57" si="16">N25*M25</f>
        <v>8.74</v>
      </c>
      <c r="V25" s="103"/>
      <c r="W25" s="108" t="s">
        <v>19</v>
      </c>
      <c r="X25" s="163">
        <f t="shared" si="15"/>
        <v>8.74</v>
      </c>
      <c r="Y25" s="103"/>
      <c r="Z25" s="162" t="s">
        <v>27</v>
      </c>
      <c r="AA25" s="108" t="str">
        <f t="shared" si="13"/>
        <v>cad</v>
      </c>
      <c r="AB25" s="108" t="str">
        <f t="shared" si="13"/>
        <v>cad</v>
      </c>
      <c r="AC25" s="108">
        <f t="shared" si="13"/>
        <v>4.43</v>
      </c>
      <c r="AD25" s="108">
        <f t="shared" si="13"/>
        <v>0</v>
      </c>
      <c r="AE25" s="108">
        <f t="shared" si="13"/>
        <v>4.43</v>
      </c>
      <c r="AF25" s="108">
        <f t="shared" si="13"/>
        <v>4.43</v>
      </c>
      <c r="AG25" s="103"/>
      <c r="AH25" s="92"/>
      <c r="AI25" s="108"/>
      <c r="AJ25" s="90"/>
      <c r="AK25" s="90"/>
      <c r="AL25" s="90"/>
      <c r="AM25" s="90"/>
    </row>
    <row r="26" spans="1:39" s="11" customFormat="1" ht="14.4">
      <c r="A26" s="18"/>
      <c r="B26" s="201" t="s">
        <v>157</v>
      </c>
      <c r="C26" s="95" t="s">
        <v>29</v>
      </c>
      <c r="D26" s="95">
        <v>1</v>
      </c>
      <c r="E26" s="95" t="s">
        <v>57</v>
      </c>
      <c r="F26" s="95" t="s">
        <v>57</v>
      </c>
      <c r="G26" s="168">
        <v>28.2</v>
      </c>
      <c r="H26" s="118"/>
      <c r="I26" s="95">
        <f t="shared" ref="I26" si="17">(G26-H26)</f>
        <v>28.2</v>
      </c>
      <c r="J26" s="95">
        <f t="shared" ref="J26" si="18">I26*D26</f>
        <v>28.2</v>
      </c>
      <c r="K26" s="103"/>
      <c r="L26" s="162" t="s">
        <v>19</v>
      </c>
      <c r="M26" s="108">
        <v>1</v>
      </c>
      <c r="N26" s="169">
        <f>29.08-2.35</f>
        <v>26.729999999999997</v>
      </c>
      <c r="O26" s="108">
        <v>2.8</v>
      </c>
      <c r="P26" s="92"/>
      <c r="Q26" s="92"/>
      <c r="R26" s="108">
        <f t="shared" si="2"/>
        <v>74.84399999999998</v>
      </c>
      <c r="S26" s="146"/>
      <c r="T26" s="108"/>
      <c r="U26" s="92"/>
      <c r="V26" s="103"/>
      <c r="W26" s="108" t="s">
        <v>19</v>
      </c>
      <c r="X26" s="163">
        <f t="shared" si="15"/>
        <v>26.729999999999997</v>
      </c>
      <c r="Y26" s="103"/>
      <c r="Z26" s="162" t="s">
        <v>17</v>
      </c>
      <c r="AA26" s="108"/>
      <c r="AB26" s="108"/>
      <c r="AC26" s="108">
        <f t="shared" ref="AC26" si="19">G26</f>
        <v>28.2</v>
      </c>
      <c r="AD26" s="108">
        <f t="shared" ref="AD26" si="20">H26</f>
        <v>0</v>
      </c>
      <c r="AE26" s="108">
        <f t="shared" ref="AE26" si="21">I26</f>
        <v>28.2</v>
      </c>
      <c r="AF26" s="108">
        <f t="shared" ref="AF26" si="22">J26</f>
        <v>28.2</v>
      </c>
      <c r="AG26" s="103"/>
      <c r="AH26" s="92" t="s">
        <v>17</v>
      </c>
      <c r="AI26" s="108">
        <f t="shared" si="14"/>
        <v>26.729999999999997</v>
      </c>
      <c r="AJ26" s="90"/>
      <c r="AK26" s="90"/>
      <c r="AL26" s="90"/>
      <c r="AM26" s="90"/>
    </row>
    <row r="27" spans="1:39" s="11" customFormat="1" ht="14.4">
      <c r="A27" s="18"/>
      <c r="B27" s="201"/>
      <c r="C27" s="95"/>
      <c r="D27" s="95"/>
      <c r="E27" s="95"/>
      <c r="F27" s="95"/>
      <c r="G27" s="141"/>
      <c r="H27" s="118"/>
      <c r="I27" s="95"/>
      <c r="J27" s="95"/>
      <c r="K27" s="103"/>
      <c r="L27" s="162"/>
      <c r="M27" s="108"/>
      <c r="N27" s="95"/>
      <c r="O27" s="95"/>
      <c r="P27" s="92"/>
      <c r="Q27" s="92"/>
      <c r="R27" s="108"/>
      <c r="S27" s="146"/>
      <c r="T27" s="108"/>
      <c r="U27" s="92"/>
      <c r="V27" s="103"/>
      <c r="W27" s="108"/>
      <c r="X27" s="163"/>
      <c r="Y27" s="103"/>
      <c r="Z27" s="166" t="s">
        <v>19</v>
      </c>
      <c r="AA27" s="141"/>
      <c r="AB27" s="141"/>
      <c r="AC27" s="141">
        <v>12.51</v>
      </c>
      <c r="AD27" s="108">
        <f t="shared" ref="AD27:AD28" si="23">H27</f>
        <v>0</v>
      </c>
      <c r="AE27" s="141">
        <f>AC27</f>
        <v>12.51</v>
      </c>
      <c r="AF27" s="141">
        <f>AC27</f>
        <v>12.51</v>
      </c>
      <c r="AG27" s="103"/>
      <c r="AH27" s="92"/>
      <c r="AI27" s="108"/>
      <c r="AJ27" s="90"/>
      <c r="AK27" s="90"/>
      <c r="AL27" s="90"/>
      <c r="AM27" s="90"/>
    </row>
    <row r="28" spans="1:39" s="11" customFormat="1" ht="14.4">
      <c r="A28" s="18"/>
      <c r="B28" s="201" t="s">
        <v>126</v>
      </c>
      <c r="C28" s="95" t="s">
        <v>29</v>
      </c>
      <c r="D28" s="95">
        <v>1</v>
      </c>
      <c r="E28" s="95" t="s">
        <v>57</v>
      </c>
      <c r="F28" s="95" t="s">
        <v>57</v>
      </c>
      <c r="G28" s="168">
        <v>2.06</v>
      </c>
      <c r="H28" s="118"/>
      <c r="I28" s="95">
        <f t="shared" ref="I28" si="24">(G28-H28)</f>
        <v>2.06</v>
      </c>
      <c r="J28" s="95">
        <f t="shared" ref="J28" si="25">I28*D28</f>
        <v>2.06</v>
      </c>
      <c r="K28" s="103"/>
      <c r="L28" s="162" t="s">
        <v>19</v>
      </c>
      <c r="M28" s="108">
        <v>1</v>
      </c>
      <c r="N28" s="168">
        <v>6.65</v>
      </c>
      <c r="O28" s="95">
        <v>2.8</v>
      </c>
      <c r="P28" s="92"/>
      <c r="Q28" s="92"/>
      <c r="R28" s="108">
        <f t="shared" si="2"/>
        <v>18.62</v>
      </c>
      <c r="S28" s="146"/>
      <c r="T28" s="108"/>
      <c r="U28" s="92"/>
      <c r="V28" s="103"/>
      <c r="W28" s="108" t="s">
        <v>19</v>
      </c>
      <c r="X28" s="163">
        <f t="shared" si="15"/>
        <v>6.65</v>
      </c>
      <c r="Y28" s="103"/>
      <c r="Z28" s="162" t="s">
        <v>17</v>
      </c>
      <c r="AA28" s="108"/>
      <c r="AB28" s="108"/>
      <c r="AC28" s="108">
        <f t="shared" ref="AC28" si="26">G28</f>
        <v>2.06</v>
      </c>
      <c r="AD28" s="108">
        <f t="shared" si="23"/>
        <v>0</v>
      </c>
      <c r="AE28" s="108">
        <f t="shared" ref="AE28" si="27">I28</f>
        <v>2.06</v>
      </c>
      <c r="AF28" s="108">
        <f t="shared" ref="AF28" si="28">J28</f>
        <v>2.06</v>
      </c>
      <c r="AG28" s="103"/>
      <c r="AH28" s="92" t="s">
        <v>589</v>
      </c>
      <c r="AI28" s="108">
        <f t="shared" si="14"/>
        <v>6.65</v>
      </c>
      <c r="AJ28" s="90"/>
      <c r="AK28" s="90"/>
      <c r="AL28" s="90"/>
      <c r="AM28" s="90"/>
    </row>
    <row r="29" spans="1:39" s="11" customFormat="1" ht="14.4">
      <c r="A29" s="18"/>
      <c r="B29" s="138" t="s">
        <v>93</v>
      </c>
      <c r="C29" s="95" t="s">
        <v>29</v>
      </c>
      <c r="D29" s="95">
        <v>1</v>
      </c>
      <c r="E29" s="95" t="s">
        <v>57</v>
      </c>
      <c r="F29" s="95" t="s">
        <v>57</v>
      </c>
      <c r="G29" s="123">
        <v>10.91</v>
      </c>
      <c r="H29" s="118"/>
      <c r="I29" s="95">
        <f t="shared" ref="I29" si="29">(G29-H29)</f>
        <v>10.91</v>
      </c>
      <c r="J29" s="95">
        <f t="shared" ref="J29" si="30">I29*D29</f>
        <v>10.91</v>
      </c>
      <c r="K29" s="103"/>
      <c r="L29" s="162" t="s">
        <v>19</v>
      </c>
      <c r="M29" s="108">
        <v>1</v>
      </c>
      <c r="N29" s="145">
        <f>13.73-2.5</f>
        <v>11.23</v>
      </c>
      <c r="O29" s="123">
        <v>2.7</v>
      </c>
      <c r="P29" s="92"/>
      <c r="Q29" s="92"/>
      <c r="R29" s="108">
        <f t="shared" ref="R29" si="31">(N29*O29-P29)*M29</f>
        <v>30.321000000000002</v>
      </c>
      <c r="S29" s="146"/>
      <c r="T29" s="108" t="s">
        <v>358</v>
      </c>
      <c r="U29" s="92">
        <f t="shared" si="16"/>
        <v>11.23</v>
      </c>
      <c r="V29" s="103"/>
      <c r="W29" s="108" t="s">
        <v>19</v>
      </c>
      <c r="X29" s="163">
        <f>N29*M29</f>
        <v>11.23</v>
      </c>
      <c r="Y29" s="103"/>
      <c r="Z29" s="162" t="s">
        <v>17</v>
      </c>
      <c r="AA29" s="108" t="str">
        <f t="shared" ref="AA29" si="32">E29</f>
        <v>cad</v>
      </c>
      <c r="AB29" s="108" t="str">
        <f t="shared" ref="AB29" si="33">F29</f>
        <v>cad</v>
      </c>
      <c r="AC29" s="108">
        <f t="shared" ref="AC29" si="34">G29</f>
        <v>10.91</v>
      </c>
      <c r="AD29" s="108">
        <f t="shared" ref="AD29:AD30" si="35">H29</f>
        <v>0</v>
      </c>
      <c r="AE29" s="108">
        <f t="shared" ref="AE29" si="36">I29</f>
        <v>10.91</v>
      </c>
      <c r="AF29" s="108">
        <f t="shared" ref="AF29" si="37">J29</f>
        <v>10.91</v>
      </c>
      <c r="AG29" s="103"/>
      <c r="AH29" s="92" t="s">
        <v>357</v>
      </c>
      <c r="AI29" s="108">
        <f t="shared" ref="AI29:AI51" si="38">N29*M29</f>
        <v>11.23</v>
      </c>
      <c r="AJ29" s="90"/>
      <c r="AK29" s="90"/>
      <c r="AL29" s="90"/>
      <c r="AM29" s="90"/>
    </row>
    <row r="30" spans="1:39" s="11" customFormat="1" ht="14.4">
      <c r="A30" s="18"/>
      <c r="B30" s="138"/>
      <c r="C30" s="95"/>
      <c r="D30" s="95"/>
      <c r="E30" s="95"/>
      <c r="F30" s="95"/>
      <c r="G30" s="141"/>
      <c r="H30" s="118"/>
      <c r="I30" s="95"/>
      <c r="J30" s="95"/>
      <c r="K30" s="103"/>
      <c r="L30" s="162"/>
      <c r="M30" s="108"/>
      <c r="N30" s="162"/>
      <c r="O30" s="108"/>
      <c r="P30" s="92"/>
      <c r="Q30" s="92"/>
      <c r="R30" s="108"/>
      <c r="S30" s="146"/>
      <c r="T30" s="108"/>
      <c r="U30" s="92"/>
      <c r="V30" s="103"/>
      <c r="W30" s="108"/>
      <c r="X30" s="163"/>
      <c r="Y30" s="103"/>
      <c r="Z30" s="166" t="s">
        <v>19</v>
      </c>
      <c r="AA30" s="141"/>
      <c r="AB30" s="141"/>
      <c r="AC30" s="141">
        <v>4.6900000000000004</v>
      </c>
      <c r="AD30" s="108">
        <f t="shared" si="35"/>
        <v>0</v>
      </c>
      <c r="AE30" s="141">
        <f>AC30</f>
        <v>4.6900000000000004</v>
      </c>
      <c r="AF30" s="141">
        <f>AC30</f>
        <v>4.6900000000000004</v>
      </c>
      <c r="AG30" s="103"/>
      <c r="AH30" s="92"/>
      <c r="AI30" s="108">
        <f t="shared" si="38"/>
        <v>0</v>
      </c>
      <c r="AJ30" s="90"/>
      <c r="AK30" s="90"/>
      <c r="AL30" s="90"/>
      <c r="AM30" s="90"/>
    </row>
    <row r="31" spans="1:39" s="11" customFormat="1" ht="14.4">
      <c r="A31" s="18"/>
      <c r="B31" s="138" t="s">
        <v>82</v>
      </c>
      <c r="C31" s="95" t="s">
        <v>17</v>
      </c>
      <c r="D31" s="95">
        <v>1</v>
      </c>
      <c r="E31" s="95" t="s">
        <v>57</v>
      </c>
      <c r="F31" s="95" t="s">
        <v>57</v>
      </c>
      <c r="G31" s="123">
        <v>31.73</v>
      </c>
      <c r="H31" s="118"/>
      <c r="I31" s="95">
        <f t="shared" si="0"/>
        <v>31.73</v>
      </c>
      <c r="J31" s="95">
        <f t="shared" si="1"/>
        <v>31.73</v>
      </c>
      <c r="K31" s="103"/>
      <c r="L31" s="162" t="s">
        <v>17</v>
      </c>
      <c r="M31" s="108">
        <v>1</v>
      </c>
      <c r="N31" s="145">
        <v>29.9</v>
      </c>
      <c r="O31" s="123">
        <v>2.7</v>
      </c>
      <c r="P31" s="92"/>
      <c r="Q31" s="92"/>
      <c r="R31" s="108">
        <f t="shared" si="2"/>
        <v>80.73</v>
      </c>
      <c r="S31" s="146"/>
      <c r="T31" s="108" t="s">
        <v>357</v>
      </c>
      <c r="U31" s="92">
        <f t="shared" si="16"/>
        <v>29.9</v>
      </c>
      <c r="V31" s="103"/>
      <c r="W31" s="108" t="s">
        <v>17</v>
      </c>
      <c r="X31" s="163">
        <f t="shared" ref="X31:X32" si="39">N31*M31</f>
        <v>29.9</v>
      </c>
      <c r="Y31" s="103"/>
      <c r="Z31" s="162" t="s">
        <v>17</v>
      </c>
      <c r="AA31" s="108" t="str">
        <f t="shared" ref="AA31:AF32" si="40">E31</f>
        <v>cad</v>
      </c>
      <c r="AB31" s="108" t="str">
        <f t="shared" si="40"/>
        <v>cad</v>
      </c>
      <c r="AC31" s="108">
        <f t="shared" si="40"/>
        <v>31.73</v>
      </c>
      <c r="AD31" s="108">
        <f t="shared" si="40"/>
        <v>0</v>
      </c>
      <c r="AE31" s="108">
        <f t="shared" si="40"/>
        <v>31.73</v>
      </c>
      <c r="AF31" s="108">
        <f t="shared" si="40"/>
        <v>31.73</v>
      </c>
      <c r="AG31" s="103"/>
      <c r="AH31" s="92" t="s">
        <v>357</v>
      </c>
      <c r="AI31" s="108">
        <f t="shared" si="38"/>
        <v>29.9</v>
      </c>
      <c r="AJ31" s="90"/>
      <c r="AK31" s="90"/>
      <c r="AL31" s="90"/>
      <c r="AM31" s="90"/>
    </row>
    <row r="32" spans="1:39" s="11" customFormat="1" ht="14.4">
      <c r="A32" s="18"/>
      <c r="B32" s="138" t="s">
        <v>59</v>
      </c>
      <c r="C32" s="95" t="s">
        <v>20</v>
      </c>
      <c r="D32" s="95">
        <v>1</v>
      </c>
      <c r="E32" s="95" t="s">
        <v>57</v>
      </c>
      <c r="F32" s="95" t="s">
        <v>57</v>
      </c>
      <c r="G32" s="95">
        <v>40.909999999999997</v>
      </c>
      <c r="H32" s="118"/>
      <c r="I32" s="95">
        <f t="shared" si="0"/>
        <v>40.909999999999997</v>
      </c>
      <c r="J32" s="95">
        <f t="shared" si="1"/>
        <v>40.909999999999997</v>
      </c>
      <c r="K32" s="103"/>
      <c r="L32" s="162" t="s">
        <v>24</v>
      </c>
      <c r="M32" s="108">
        <v>1</v>
      </c>
      <c r="N32" s="162">
        <v>26.71</v>
      </c>
      <c r="O32" s="123">
        <v>4.95</v>
      </c>
      <c r="P32" s="92"/>
      <c r="Q32" s="92"/>
      <c r="R32" s="108">
        <f t="shared" si="2"/>
        <v>132.21450000000002</v>
      </c>
      <c r="S32" s="146"/>
      <c r="T32" s="108" t="s">
        <v>357</v>
      </c>
      <c r="U32" s="92">
        <f t="shared" si="16"/>
        <v>26.71</v>
      </c>
      <c r="V32" s="103"/>
      <c r="W32" s="108" t="s">
        <v>20</v>
      </c>
      <c r="X32" s="163">
        <f t="shared" si="39"/>
        <v>26.71</v>
      </c>
      <c r="Y32" s="103"/>
      <c r="Z32" s="162" t="s">
        <v>20</v>
      </c>
      <c r="AA32" s="108" t="str">
        <f t="shared" si="40"/>
        <v>cad</v>
      </c>
      <c r="AB32" s="108" t="str">
        <f t="shared" si="40"/>
        <v>cad</v>
      </c>
      <c r="AC32" s="108">
        <f t="shared" si="40"/>
        <v>40.909999999999997</v>
      </c>
      <c r="AD32" s="108">
        <f t="shared" si="40"/>
        <v>0</v>
      </c>
      <c r="AE32" s="108">
        <f t="shared" si="40"/>
        <v>40.909999999999997</v>
      </c>
      <c r="AF32" s="108">
        <f t="shared" si="40"/>
        <v>40.909999999999997</v>
      </c>
      <c r="AG32" s="103"/>
      <c r="AH32" s="92"/>
      <c r="AI32" s="108"/>
      <c r="AJ32" s="90"/>
      <c r="AK32" s="90"/>
      <c r="AL32" s="90"/>
      <c r="AM32" s="90"/>
    </row>
    <row r="33" spans="1:39" s="11" customFormat="1" ht="14.4">
      <c r="A33" s="18"/>
      <c r="B33" s="138"/>
      <c r="C33" s="95" t="s">
        <v>24</v>
      </c>
      <c r="D33" s="95">
        <v>1</v>
      </c>
      <c r="E33" s="95" t="s">
        <v>57</v>
      </c>
      <c r="F33" s="95" t="s">
        <v>57</v>
      </c>
      <c r="G33" s="95">
        <v>9.7100000000000009</v>
      </c>
      <c r="H33" s="118"/>
      <c r="I33" s="95">
        <f t="shared" ref="I33" si="41">(G33-H33)</f>
        <v>9.7100000000000009</v>
      </c>
      <c r="J33" s="95">
        <f t="shared" ref="J33" si="42">I33*D33</f>
        <v>9.7100000000000009</v>
      </c>
      <c r="K33" s="103"/>
      <c r="L33" s="162"/>
      <c r="M33" s="108"/>
      <c r="N33" s="162"/>
      <c r="O33" s="108"/>
      <c r="P33" s="92"/>
      <c r="Q33" s="92"/>
      <c r="R33" s="108"/>
      <c r="S33" s="146"/>
      <c r="T33" s="108"/>
      <c r="U33" s="92"/>
      <c r="V33" s="103"/>
      <c r="W33" s="108"/>
      <c r="X33" s="163"/>
      <c r="Y33" s="103"/>
      <c r="Z33" s="162"/>
      <c r="AA33" s="108"/>
      <c r="AB33" s="108"/>
      <c r="AC33" s="108"/>
      <c r="AD33" s="108"/>
      <c r="AE33" s="108"/>
      <c r="AF33" s="108"/>
      <c r="AG33" s="103"/>
      <c r="AH33" s="92"/>
      <c r="AI33" s="108">
        <f t="shared" si="38"/>
        <v>0</v>
      </c>
      <c r="AJ33" s="90"/>
      <c r="AK33" s="90"/>
      <c r="AL33" s="90"/>
      <c r="AM33" s="90"/>
    </row>
    <row r="34" spans="1:39" s="11" customFormat="1" ht="14.4">
      <c r="A34" s="18"/>
      <c r="B34" s="201" t="s">
        <v>627</v>
      </c>
      <c r="C34" s="95" t="s">
        <v>21</v>
      </c>
      <c r="D34" s="95">
        <v>1</v>
      </c>
      <c r="E34" s="95" t="s">
        <v>57</v>
      </c>
      <c r="F34" s="95" t="s">
        <v>57</v>
      </c>
      <c r="G34" s="168">
        <v>7.21</v>
      </c>
      <c r="H34" s="118"/>
      <c r="I34" s="95">
        <f t="shared" ref="I34:I51" si="43">(G34-H34)</f>
        <v>7.21</v>
      </c>
      <c r="J34" s="95">
        <f t="shared" ref="J34:J51" si="44">I34*D34</f>
        <v>7.21</v>
      </c>
      <c r="K34" s="103"/>
      <c r="L34" s="162" t="s">
        <v>19</v>
      </c>
      <c r="M34" s="108">
        <v>1</v>
      </c>
      <c r="N34" s="169">
        <v>10.89</v>
      </c>
      <c r="O34" s="168">
        <v>2.7</v>
      </c>
      <c r="P34" s="92"/>
      <c r="Q34" s="92"/>
      <c r="R34" s="108">
        <f t="shared" ref="R34:R36" si="45">(N34*O34-P34)*M34</f>
        <v>29.403000000000002</v>
      </c>
      <c r="S34" s="146"/>
      <c r="T34" s="108"/>
      <c r="U34" s="92"/>
      <c r="V34" s="103"/>
      <c r="W34" s="108" t="s">
        <v>19</v>
      </c>
      <c r="X34" s="163">
        <f t="shared" ref="X34:X42" si="46">N34*M34</f>
        <v>10.89</v>
      </c>
      <c r="Y34" s="103"/>
      <c r="Z34" s="162" t="s">
        <v>17</v>
      </c>
      <c r="AA34" s="108"/>
      <c r="AB34" s="108"/>
      <c r="AC34" s="108">
        <f t="shared" ref="AC34:AC36" si="47">G34</f>
        <v>7.21</v>
      </c>
      <c r="AD34" s="108">
        <f t="shared" ref="AD34:AD36" si="48">H34</f>
        <v>0</v>
      </c>
      <c r="AE34" s="108">
        <f t="shared" ref="AE34:AE36" si="49">I34</f>
        <v>7.21</v>
      </c>
      <c r="AF34" s="108">
        <f t="shared" ref="AF34:AF36" si="50">J34</f>
        <v>7.21</v>
      </c>
      <c r="AG34" s="103"/>
      <c r="AH34" s="92" t="s">
        <v>357</v>
      </c>
      <c r="AI34" s="108">
        <f t="shared" si="38"/>
        <v>10.89</v>
      </c>
      <c r="AJ34" s="90"/>
      <c r="AK34" s="90"/>
      <c r="AL34" s="90"/>
      <c r="AM34" s="90"/>
    </row>
    <row r="35" spans="1:39" s="11" customFormat="1" ht="14.4">
      <c r="A35" s="18"/>
      <c r="B35" s="201" t="s">
        <v>627</v>
      </c>
      <c r="C35" s="95" t="s">
        <v>21</v>
      </c>
      <c r="D35" s="95">
        <v>1</v>
      </c>
      <c r="E35" s="95" t="s">
        <v>57</v>
      </c>
      <c r="F35" s="95" t="s">
        <v>57</v>
      </c>
      <c r="G35" s="168">
        <v>7.33</v>
      </c>
      <c r="H35" s="118"/>
      <c r="I35" s="95">
        <f t="shared" si="43"/>
        <v>7.33</v>
      </c>
      <c r="J35" s="95">
        <f t="shared" si="44"/>
        <v>7.33</v>
      </c>
      <c r="K35" s="103"/>
      <c r="L35" s="162" t="s">
        <v>19</v>
      </c>
      <c r="M35" s="108">
        <v>1</v>
      </c>
      <c r="N35" s="169">
        <v>11.26</v>
      </c>
      <c r="O35" s="168">
        <v>2.7</v>
      </c>
      <c r="P35" s="92"/>
      <c r="Q35" s="92"/>
      <c r="R35" s="108">
        <f t="shared" si="45"/>
        <v>30.402000000000001</v>
      </c>
      <c r="S35" s="146"/>
      <c r="T35" s="108"/>
      <c r="U35" s="92"/>
      <c r="V35" s="103"/>
      <c r="W35" s="108" t="s">
        <v>19</v>
      </c>
      <c r="X35" s="163">
        <f t="shared" si="46"/>
        <v>11.26</v>
      </c>
      <c r="Y35" s="103"/>
      <c r="Z35" s="162" t="s">
        <v>17</v>
      </c>
      <c r="AA35" s="108"/>
      <c r="AB35" s="108"/>
      <c r="AC35" s="108">
        <f t="shared" si="47"/>
        <v>7.33</v>
      </c>
      <c r="AD35" s="108">
        <f t="shared" si="48"/>
        <v>0</v>
      </c>
      <c r="AE35" s="108">
        <f t="shared" si="49"/>
        <v>7.33</v>
      </c>
      <c r="AF35" s="108">
        <f t="shared" si="50"/>
        <v>7.33</v>
      </c>
      <c r="AG35" s="103"/>
      <c r="AH35" s="92" t="s">
        <v>357</v>
      </c>
      <c r="AI35" s="108">
        <f t="shared" si="38"/>
        <v>11.26</v>
      </c>
      <c r="AJ35" s="90"/>
      <c r="AK35" s="90"/>
      <c r="AL35" s="90"/>
      <c r="AM35" s="90"/>
    </row>
    <row r="36" spans="1:39" s="11" customFormat="1" ht="14.4">
      <c r="A36" s="18"/>
      <c r="B36" s="201" t="s">
        <v>628</v>
      </c>
      <c r="C36" s="95" t="s">
        <v>21</v>
      </c>
      <c r="D36" s="95">
        <v>1</v>
      </c>
      <c r="E36" s="95" t="s">
        <v>57</v>
      </c>
      <c r="F36" s="95" t="s">
        <v>57</v>
      </c>
      <c r="G36" s="168">
        <v>6.67</v>
      </c>
      <c r="H36" s="118"/>
      <c r="I36" s="95">
        <f t="shared" si="43"/>
        <v>6.67</v>
      </c>
      <c r="J36" s="95">
        <f t="shared" si="44"/>
        <v>6.67</v>
      </c>
      <c r="K36" s="103"/>
      <c r="L36" s="162" t="s">
        <v>19</v>
      </c>
      <c r="M36" s="108">
        <v>1</v>
      </c>
      <c r="N36" s="169">
        <v>11.05</v>
      </c>
      <c r="O36" s="168">
        <v>2.7</v>
      </c>
      <c r="P36" s="92"/>
      <c r="Q36" s="92"/>
      <c r="R36" s="108">
        <f t="shared" si="45"/>
        <v>29.835000000000004</v>
      </c>
      <c r="S36" s="146"/>
      <c r="T36" s="108"/>
      <c r="U36" s="92"/>
      <c r="V36" s="103"/>
      <c r="W36" s="95" t="s">
        <v>19</v>
      </c>
      <c r="X36" s="163">
        <f t="shared" si="46"/>
        <v>11.05</v>
      </c>
      <c r="Y36" s="103"/>
      <c r="Z36" s="162" t="s">
        <v>17</v>
      </c>
      <c r="AA36" s="108"/>
      <c r="AB36" s="108"/>
      <c r="AC36" s="108">
        <f t="shared" si="47"/>
        <v>6.67</v>
      </c>
      <c r="AD36" s="108">
        <f t="shared" si="48"/>
        <v>0</v>
      </c>
      <c r="AE36" s="108">
        <f t="shared" si="49"/>
        <v>6.67</v>
      </c>
      <c r="AF36" s="108">
        <f t="shared" si="50"/>
        <v>6.67</v>
      </c>
      <c r="AG36" s="103"/>
      <c r="AH36" s="92" t="s">
        <v>357</v>
      </c>
      <c r="AI36" s="108">
        <f t="shared" si="38"/>
        <v>11.05</v>
      </c>
      <c r="AJ36" s="90"/>
      <c r="AK36" s="90"/>
      <c r="AL36" s="90"/>
      <c r="AM36" s="90"/>
    </row>
    <row r="37" spans="1:39" s="11" customFormat="1" ht="14.4">
      <c r="A37" s="18"/>
      <c r="B37" s="201" t="s">
        <v>628</v>
      </c>
      <c r="C37" s="95" t="s">
        <v>21</v>
      </c>
      <c r="D37" s="95">
        <v>1</v>
      </c>
      <c r="E37" s="95" t="s">
        <v>57</v>
      </c>
      <c r="F37" s="95" t="s">
        <v>57</v>
      </c>
      <c r="G37" s="168">
        <v>6.6</v>
      </c>
      <c r="H37" s="118"/>
      <c r="I37" s="95">
        <f t="shared" ref="I37" si="51">(G37-H37)</f>
        <v>6.6</v>
      </c>
      <c r="J37" s="95">
        <f t="shared" ref="J37" si="52">I37*D37</f>
        <v>6.6</v>
      </c>
      <c r="K37" s="103"/>
      <c r="L37" s="162" t="s">
        <v>19</v>
      </c>
      <c r="M37" s="108">
        <v>1</v>
      </c>
      <c r="N37" s="169">
        <v>10.4</v>
      </c>
      <c r="O37" s="168">
        <v>2.7</v>
      </c>
      <c r="P37" s="92"/>
      <c r="Q37" s="92"/>
      <c r="R37" s="108">
        <f t="shared" ref="R37" si="53">(N37*O37-P37)*M37</f>
        <v>28.080000000000002</v>
      </c>
      <c r="S37" s="146"/>
      <c r="T37" s="108"/>
      <c r="U37" s="92"/>
      <c r="V37" s="103"/>
      <c r="W37" s="95" t="s">
        <v>19</v>
      </c>
      <c r="X37" s="163">
        <f t="shared" si="46"/>
        <v>10.4</v>
      </c>
      <c r="Y37" s="103"/>
      <c r="Z37" s="162" t="s">
        <v>17</v>
      </c>
      <c r="AA37" s="108"/>
      <c r="AB37" s="108"/>
      <c r="AC37" s="108">
        <f t="shared" ref="AC37" si="54">G37</f>
        <v>6.6</v>
      </c>
      <c r="AD37" s="108">
        <f t="shared" ref="AD37" si="55">H37</f>
        <v>0</v>
      </c>
      <c r="AE37" s="108">
        <f t="shared" ref="AE37" si="56">I37</f>
        <v>6.6</v>
      </c>
      <c r="AF37" s="108">
        <f t="shared" ref="AF37" si="57">J37</f>
        <v>6.6</v>
      </c>
      <c r="AG37" s="103"/>
      <c r="AH37" s="92" t="s">
        <v>357</v>
      </c>
      <c r="AI37" s="108">
        <f t="shared" si="38"/>
        <v>10.4</v>
      </c>
      <c r="AJ37" s="90"/>
      <c r="AK37" s="90"/>
      <c r="AL37" s="90"/>
      <c r="AM37" s="90"/>
    </row>
    <row r="38" spans="1:39" s="11" customFormat="1" ht="14.4">
      <c r="A38" s="18"/>
      <c r="B38" s="201" t="s">
        <v>462</v>
      </c>
      <c r="C38" s="95" t="s">
        <v>21</v>
      </c>
      <c r="D38" s="95">
        <v>1</v>
      </c>
      <c r="E38" s="95" t="s">
        <v>57</v>
      </c>
      <c r="F38" s="95" t="s">
        <v>57</v>
      </c>
      <c r="G38" s="168">
        <v>16.02</v>
      </c>
      <c r="H38" s="118"/>
      <c r="I38" s="95">
        <f t="shared" ref="I38" si="58">(G38-H38)</f>
        <v>16.02</v>
      </c>
      <c r="J38" s="95">
        <f t="shared" ref="J38" si="59">I38*D38</f>
        <v>16.02</v>
      </c>
      <c r="K38" s="103"/>
      <c r="L38" s="162" t="s">
        <v>19</v>
      </c>
      <c r="M38" s="108">
        <v>1</v>
      </c>
      <c r="N38" s="169">
        <v>17.27</v>
      </c>
      <c r="O38" s="168">
        <v>2.7</v>
      </c>
      <c r="P38" s="92"/>
      <c r="Q38" s="92"/>
      <c r="R38" s="108">
        <f t="shared" ref="R38" si="60">(N38*O38-P38)*M38</f>
        <v>46.629000000000005</v>
      </c>
      <c r="S38" s="146"/>
      <c r="T38" s="108"/>
      <c r="U38" s="92"/>
      <c r="V38" s="103"/>
      <c r="W38" s="95" t="s">
        <v>19</v>
      </c>
      <c r="X38" s="163">
        <f t="shared" si="46"/>
        <v>17.27</v>
      </c>
      <c r="Y38" s="103"/>
      <c r="Z38" s="162" t="s">
        <v>17</v>
      </c>
      <c r="AA38" s="108"/>
      <c r="AB38" s="108"/>
      <c r="AC38" s="108">
        <f t="shared" ref="AC38" si="61">G38</f>
        <v>16.02</v>
      </c>
      <c r="AD38" s="108">
        <f t="shared" ref="AD38" si="62">H38</f>
        <v>0</v>
      </c>
      <c r="AE38" s="108">
        <f t="shared" ref="AE38" si="63">I38</f>
        <v>16.02</v>
      </c>
      <c r="AF38" s="108">
        <f t="shared" ref="AF38" si="64">J38</f>
        <v>16.02</v>
      </c>
      <c r="AG38" s="103"/>
      <c r="AH38" s="92" t="s">
        <v>357</v>
      </c>
      <c r="AI38" s="108">
        <f t="shared" si="38"/>
        <v>17.27</v>
      </c>
      <c r="AJ38" s="90"/>
      <c r="AK38" s="90"/>
      <c r="AL38" s="90"/>
      <c r="AM38" s="90"/>
    </row>
    <row r="39" spans="1:39" s="11" customFormat="1" ht="14.4">
      <c r="A39" s="18"/>
      <c r="B39" s="201" t="s">
        <v>606</v>
      </c>
      <c r="C39" s="95" t="s">
        <v>29</v>
      </c>
      <c r="D39" s="95">
        <v>1</v>
      </c>
      <c r="E39" s="95" t="s">
        <v>57</v>
      </c>
      <c r="F39" s="95" t="s">
        <v>57</v>
      </c>
      <c r="G39" s="168">
        <v>8.1199999999999992</v>
      </c>
      <c r="H39" s="118"/>
      <c r="I39" s="95">
        <f t="shared" si="43"/>
        <v>8.1199999999999992</v>
      </c>
      <c r="J39" s="95">
        <f t="shared" si="44"/>
        <v>8.1199999999999992</v>
      </c>
      <c r="K39" s="103"/>
      <c r="L39" s="162" t="s">
        <v>19</v>
      </c>
      <c r="M39" s="108">
        <v>1</v>
      </c>
      <c r="N39" s="169">
        <v>11.55</v>
      </c>
      <c r="O39" s="168">
        <v>2.7</v>
      </c>
      <c r="P39" s="92"/>
      <c r="Q39" s="92"/>
      <c r="R39" s="108">
        <f t="shared" ref="R39" si="65">(N39*O39-P39)*M39</f>
        <v>31.185000000000002</v>
      </c>
      <c r="S39" s="146"/>
      <c r="T39" s="108"/>
      <c r="U39" s="92"/>
      <c r="V39" s="103"/>
      <c r="W39" s="95" t="s">
        <v>19</v>
      </c>
      <c r="X39" s="163">
        <f t="shared" si="46"/>
        <v>11.55</v>
      </c>
      <c r="Y39" s="103"/>
      <c r="Z39" s="162" t="s">
        <v>17</v>
      </c>
      <c r="AA39" s="108"/>
      <c r="AB39" s="108"/>
      <c r="AC39" s="108">
        <f t="shared" ref="AC39:AC40" si="66">G39</f>
        <v>8.1199999999999992</v>
      </c>
      <c r="AD39" s="108">
        <f t="shared" ref="AD39" si="67">H39</f>
        <v>0</v>
      </c>
      <c r="AE39" s="108">
        <f t="shared" ref="AE39" si="68">I39</f>
        <v>8.1199999999999992</v>
      </c>
      <c r="AF39" s="108">
        <f t="shared" ref="AF39" si="69">J39</f>
        <v>8.1199999999999992</v>
      </c>
      <c r="AG39" s="103"/>
      <c r="AH39" s="92" t="s">
        <v>357</v>
      </c>
      <c r="AI39" s="108">
        <f t="shared" si="38"/>
        <v>11.55</v>
      </c>
      <c r="AJ39" s="90"/>
      <c r="AK39" s="90"/>
      <c r="AL39" s="90"/>
      <c r="AM39" s="90"/>
    </row>
    <row r="40" spans="1:39" s="11" customFormat="1" ht="14.4">
      <c r="A40" s="18"/>
      <c r="B40" s="201" t="s">
        <v>629</v>
      </c>
      <c r="C40" s="95" t="s">
        <v>17</v>
      </c>
      <c r="D40" s="95">
        <v>1</v>
      </c>
      <c r="E40" s="95" t="s">
        <v>57</v>
      </c>
      <c r="F40" s="95" t="s">
        <v>57</v>
      </c>
      <c r="G40" s="168">
        <v>30.55</v>
      </c>
      <c r="H40" s="118"/>
      <c r="I40" s="95">
        <f t="shared" si="43"/>
        <v>30.55</v>
      </c>
      <c r="J40" s="95">
        <f t="shared" si="44"/>
        <v>30.55</v>
      </c>
      <c r="K40" s="103"/>
      <c r="L40" s="162" t="s">
        <v>17</v>
      </c>
      <c r="M40" s="108">
        <v>1</v>
      </c>
      <c r="N40" s="169">
        <v>28.98</v>
      </c>
      <c r="O40" s="168">
        <v>2.7</v>
      </c>
      <c r="P40" s="92"/>
      <c r="Q40" s="92"/>
      <c r="R40" s="108">
        <f t="shared" ref="R40:R41" si="70">(N40*O40-P40)*M40</f>
        <v>78.246000000000009</v>
      </c>
      <c r="S40" s="146"/>
      <c r="T40" s="108"/>
      <c r="U40" s="92"/>
      <c r="V40" s="103"/>
      <c r="W40" s="95" t="s">
        <v>17</v>
      </c>
      <c r="X40" s="163">
        <f t="shared" si="46"/>
        <v>28.98</v>
      </c>
      <c r="Y40" s="103"/>
      <c r="Z40" s="162" t="s">
        <v>17</v>
      </c>
      <c r="AA40" s="108"/>
      <c r="AB40" s="108"/>
      <c r="AC40" s="108">
        <f t="shared" si="66"/>
        <v>30.55</v>
      </c>
      <c r="AD40" s="108"/>
      <c r="AE40" s="108">
        <f t="shared" ref="AE40" si="71">I40</f>
        <v>30.55</v>
      </c>
      <c r="AF40" s="108">
        <f t="shared" ref="AF40" si="72">J40</f>
        <v>30.55</v>
      </c>
      <c r="AG40" s="103"/>
      <c r="AH40" s="92" t="s">
        <v>17</v>
      </c>
      <c r="AI40" s="108">
        <f t="shared" si="38"/>
        <v>28.98</v>
      </c>
      <c r="AJ40" s="90"/>
      <c r="AK40" s="90"/>
      <c r="AL40" s="90"/>
      <c r="AM40" s="90"/>
    </row>
    <row r="41" spans="1:39" s="11" customFormat="1" ht="14.4">
      <c r="A41" s="18"/>
      <c r="B41" s="201" t="s">
        <v>224</v>
      </c>
      <c r="C41" s="95" t="s">
        <v>29</v>
      </c>
      <c r="D41" s="95">
        <v>1</v>
      </c>
      <c r="E41" s="95" t="s">
        <v>57</v>
      </c>
      <c r="F41" s="95" t="s">
        <v>57</v>
      </c>
      <c r="G41" s="168">
        <v>15.62</v>
      </c>
      <c r="H41" s="118"/>
      <c r="I41" s="95">
        <f t="shared" si="43"/>
        <v>15.62</v>
      </c>
      <c r="J41" s="95">
        <f t="shared" si="44"/>
        <v>15.62</v>
      </c>
      <c r="K41" s="103"/>
      <c r="L41" s="162" t="s">
        <v>19</v>
      </c>
      <c r="M41" s="108">
        <v>1</v>
      </c>
      <c r="N41" s="169">
        <v>20.37</v>
      </c>
      <c r="O41" s="168">
        <v>2.7</v>
      </c>
      <c r="P41" s="92"/>
      <c r="Q41" s="92"/>
      <c r="R41" s="108">
        <f t="shared" si="70"/>
        <v>54.999000000000009</v>
      </c>
      <c r="S41" s="146"/>
      <c r="T41" s="108"/>
      <c r="U41" s="92"/>
      <c r="V41" s="103"/>
      <c r="W41" s="95" t="s">
        <v>19</v>
      </c>
      <c r="X41" s="163">
        <f t="shared" si="46"/>
        <v>20.37</v>
      </c>
      <c r="Y41" s="103"/>
      <c r="Z41" s="162" t="s">
        <v>17</v>
      </c>
      <c r="AA41" s="108"/>
      <c r="AB41" s="108"/>
      <c r="AC41" s="108">
        <f t="shared" ref="AC41" si="73">G41</f>
        <v>15.62</v>
      </c>
      <c r="AD41" s="108">
        <f t="shared" ref="AD41" si="74">H41</f>
        <v>0</v>
      </c>
      <c r="AE41" s="108">
        <f t="shared" ref="AE41" si="75">I41</f>
        <v>15.62</v>
      </c>
      <c r="AF41" s="108">
        <f t="shared" ref="AF41" si="76">J41</f>
        <v>15.62</v>
      </c>
      <c r="AG41" s="103"/>
      <c r="AH41" s="92" t="s">
        <v>357</v>
      </c>
      <c r="AI41" s="108">
        <f t="shared" si="38"/>
        <v>20.37</v>
      </c>
      <c r="AJ41" s="90"/>
      <c r="AK41" s="90"/>
      <c r="AL41" s="90"/>
      <c r="AM41" s="90"/>
    </row>
    <row r="42" spans="1:39" s="11" customFormat="1" ht="14.4">
      <c r="A42" s="18"/>
      <c r="B42" s="201" t="s">
        <v>157</v>
      </c>
      <c r="C42" s="95" t="s">
        <v>29</v>
      </c>
      <c r="D42" s="95">
        <v>1</v>
      </c>
      <c r="E42" s="95" t="s">
        <v>57</v>
      </c>
      <c r="F42" s="95" t="s">
        <v>57</v>
      </c>
      <c r="G42" s="168">
        <v>42.3</v>
      </c>
      <c r="H42" s="118"/>
      <c r="I42" s="95">
        <f t="shared" ref="I42" si="77">(G42-H42)</f>
        <v>42.3</v>
      </c>
      <c r="J42" s="95">
        <f t="shared" ref="J42" si="78">I42*D42</f>
        <v>42.3</v>
      </c>
      <c r="K42" s="103"/>
      <c r="L42" s="162" t="s">
        <v>19</v>
      </c>
      <c r="M42" s="108">
        <v>1</v>
      </c>
      <c r="N42" s="169">
        <f>45.49-6.95</f>
        <v>38.54</v>
      </c>
      <c r="O42" s="168">
        <v>2.8</v>
      </c>
      <c r="P42" s="92"/>
      <c r="Q42" s="92"/>
      <c r="R42" s="108">
        <f t="shared" ref="R42" si="79">(N42*O42-P42)*M42</f>
        <v>107.91199999999999</v>
      </c>
      <c r="S42" s="146"/>
      <c r="T42" s="108"/>
      <c r="U42" s="92"/>
      <c r="V42" s="103"/>
      <c r="W42" s="95" t="s">
        <v>19</v>
      </c>
      <c r="X42" s="163">
        <f t="shared" si="46"/>
        <v>38.54</v>
      </c>
      <c r="Y42" s="103"/>
      <c r="Z42" s="162" t="s">
        <v>17</v>
      </c>
      <c r="AA42" s="108"/>
      <c r="AB42" s="108"/>
      <c r="AC42" s="108">
        <f t="shared" ref="AC42" si="80">G42</f>
        <v>42.3</v>
      </c>
      <c r="AD42" s="108">
        <f t="shared" ref="AD42:AD43" si="81">H42</f>
        <v>0</v>
      </c>
      <c r="AE42" s="108">
        <f t="shared" ref="AE42" si="82">I42</f>
        <v>42.3</v>
      </c>
      <c r="AF42" s="108">
        <f t="shared" ref="AF42" si="83">J42</f>
        <v>42.3</v>
      </c>
      <c r="AG42" s="103"/>
      <c r="AH42" s="92" t="s">
        <v>357</v>
      </c>
      <c r="AI42" s="108">
        <f t="shared" si="38"/>
        <v>38.54</v>
      </c>
      <c r="AJ42" s="90"/>
      <c r="AK42" s="90"/>
      <c r="AL42" s="90"/>
      <c r="AM42" s="90"/>
    </row>
    <row r="43" spans="1:39" s="11" customFormat="1" ht="14.4">
      <c r="A43" s="18"/>
      <c r="B43" s="201"/>
      <c r="C43" s="95"/>
      <c r="D43" s="95"/>
      <c r="E43" s="95"/>
      <c r="F43" s="95"/>
      <c r="G43" s="141"/>
      <c r="H43" s="118"/>
      <c r="I43" s="95"/>
      <c r="J43" s="95"/>
      <c r="K43" s="103"/>
      <c r="L43" s="162"/>
      <c r="M43" s="108"/>
      <c r="N43" s="162"/>
      <c r="O43" s="108"/>
      <c r="P43" s="92"/>
      <c r="Q43" s="92"/>
      <c r="R43" s="108"/>
      <c r="S43" s="146"/>
      <c r="T43" s="108"/>
      <c r="U43" s="92"/>
      <c r="V43" s="103"/>
      <c r="W43" s="108"/>
      <c r="X43" s="163"/>
      <c r="Y43" s="103"/>
      <c r="Z43" s="166" t="s">
        <v>19</v>
      </c>
      <c r="AA43" s="141"/>
      <c r="AB43" s="141"/>
      <c r="AC43" s="141">
        <v>18.760000000000002</v>
      </c>
      <c r="AD43" s="108">
        <f t="shared" si="81"/>
        <v>0</v>
      </c>
      <c r="AE43" s="141">
        <f>AC43</f>
        <v>18.760000000000002</v>
      </c>
      <c r="AF43" s="141">
        <f>AC43</f>
        <v>18.760000000000002</v>
      </c>
      <c r="AG43" s="103"/>
      <c r="AH43" s="92"/>
      <c r="AI43" s="108"/>
      <c r="AJ43" s="90"/>
      <c r="AK43" s="90"/>
      <c r="AL43" s="90"/>
      <c r="AM43" s="90"/>
    </row>
    <row r="44" spans="1:39" s="11" customFormat="1" ht="14.4">
      <c r="A44" s="18"/>
      <c r="B44" s="201" t="s">
        <v>630</v>
      </c>
      <c r="C44" s="95" t="s">
        <v>29</v>
      </c>
      <c r="D44" s="95">
        <v>1</v>
      </c>
      <c r="E44" s="95" t="s">
        <v>57</v>
      </c>
      <c r="F44" s="95" t="s">
        <v>57</v>
      </c>
      <c r="G44" s="168">
        <v>19.170000000000002</v>
      </c>
      <c r="H44" s="118"/>
      <c r="I44" s="95">
        <f t="shared" si="43"/>
        <v>19.170000000000002</v>
      </c>
      <c r="J44" s="95">
        <f t="shared" si="44"/>
        <v>19.170000000000002</v>
      </c>
      <c r="K44" s="103"/>
      <c r="L44" s="162" t="s">
        <v>19</v>
      </c>
      <c r="M44" s="108">
        <v>1</v>
      </c>
      <c r="N44" s="169">
        <v>18.27</v>
      </c>
      <c r="O44" s="168">
        <v>3</v>
      </c>
      <c r="P44" s="92"/>
      <c r="Q44" s="92"/>
      <c r="R44" s="108">
        <f t="shared" ref="R44" si="84">(N44*O44-P44)*M44</f>
        <v>54.81</v>
      </c>
      <c r="S44" s="146"/>
      <c r="T44" s="108"/>
      <c r="U44" s="92"/>
      <c r="V44" s="103"/>
      <c r="W44" s="95" t="s">
        <v>19</v>
      </c>
      <c r="X44" s="163">
        <f t="shared" ref="X44:X51" si="85">N44*M44</f>
        <v>18.27</v>
      </c>
      <c r="Y44" s="103"/>
      <c r="Z44" s="162" t="s">
        <v>27</v>
      </c>
      <c r="AA44" s="108"/>
      <c r="AB44" s="108"/>
      <c r="AC44" s="108">
        <f t="shared" ref="AC44" si="86">G44</f>
        <v>19.170000000000002</v>
      </c>
      <c r="AD44" s="108">
        <f t="shared" ref="AD44" si="87">H44</f>
        <v>0</v>
      </c>
      <c r="AE44" s="108">
        <f t="shared" ref="AE44" si="88">I44</f>
        <v>19.170000000000002</v>
      </c>
      <c r="AF44" s="108">
        <f t="shared" ref="AF44" si="89">J44</f>
        <v>19.170000000000002</v>
      </c>
      <c r="AG44" s="103"/>
      <c r="AH44" s="92"/>
      <c r="AI44" s="108"/>
      <c r="AJ44" s="90"/>
      <c r="AK44" s="90"/>
      <c r="AL44" s="90"/>
      <c r="AM44" s="90"/>
    </row>
    <row r="45" spans="1:39" s="11" customFormat="1" ht="14.4">
      <c r="A45" s="18"/>
      <c r="B45" s="201" t="s">
        <v>631</v>
      </c>
      <c r="C45" s="95" t="s">
        <v>29</v>
      </c>
      <c r="D45" s="95">
        <v>1</v>
      </c>
      <c r="E45" s="95" t="s">
        <v>57</v>
      </c>
      <c r="F45" s="95" t="s">
        <v>57</v>
      </c>
      <c r="G45" s="168">
        <v>17.670000000000002</v>
      </c>
      <c r="H45" s="118"/>
      <c r="I45" s="95">
        <f t="shared" ref="I45" si="90">(G45-H45)</f>
        <v>17.670000000000002</v>
      </c>
      <c r="J45" s="95">
        <f t="shared" ref="J45" si="91">I45*D45</f>
        <v>17.670000000000002</v>
      </c>
      <c r="K45" s="103"/>
      <c r="L45" s="162" t="s">
        <v>19</v>
      </c>
      <c r="M45" s="108">
        <v>1</v>
      </c>
      <c r="N45" s="169">
        <f>17.94-3.2</f>
        <v>14.740000000000002</v>
      </c>
      <c r="O45" s="168">
        <v>2.7</v>
      </c>
      <c r="P45" s="92"/>
      <c r="Q45" s="92"/>
      <c r="R45" s="108">
        <f t="shared" ref="R45" si="92">(N45*O45-P45)*M45</f>
        <v>39.798000000000009</v>
      </c>
      <c r="S45" s="146"/>
      <c r="T45" s="108"/>
      <c r="U45" s="92"/>
      <c r="V45" s="103"/>
      <c r="W45" s="95" t="s">
        <v>19</v>
      </c>
      <c r="X45" s="163">
        <f t="shared" si="85"/>
        <v>14.740000000000002</v>
      </c>
      <c r="Y45" s="103"/>
      <c r="Z45" s="162" t="s">
        <v>27</v>
      </c>
      <c r="AA45" s="108"/>
      <c r="AB45" s="108"/>
      <c r="AC45" s="108">
        <f t="shared" ref="AC45" si="93">G45</f>
        <v>17.670000000000002</v>
      </c>
      <c r="AD45" s="108">
        <f t="shared" ref="AD45" si="94">H45</f>
        <v>0</v>
      </c>
      <c r="AE45" s="108">
        <f t="shared" ref="AE45" si="95">I45</f>
        <v>17.670000000000002</v>
      </c>
      <c r="AF45" s="108">
        <f t="shared" ref="AF45" si="96">J45</f>
        <v>17.670000000000002</v>
      </c>
      <c r="AG45" s="103"/>
      <c r="AH45" s="92"/>
      <c r="AI45" s="108"/>
      <c r="AJ45" s="90"/>
      <c r="AK45" s="90"/>
      <c r="AL45" s="90"/>
      <c r="AM45" s="90"/>
    </row>
    <row r="46" spans="1:39" s="11" customFormat="1" ht="14.4">
      <c r="A46" s="18"/>
      <c r="B46" s="201" t="s">
        <v>380</v>
      </c>
      <c r="C46" s="95" t="s">
        <v>21</v>
      </c>
      <c r="D46" s="95">
        <v>1</v>
      </c>
      <c r="E46" s="95" t="s">
        <v>57</v>
      </c>
      <c r="F46" s="95" t="s">
        <v>57</v>
      </c>
      <c r="G46" s="168">
        <v>6.25</v>
      </c>
      <c r="H46" s="118"/>
      <c r="I46" s="95">
        <f t="shared" si="43"/>
        <v>6.25</v>
      </c>
      <c r="J46" s="95">
        <f t="shared" si="44"/>
        <v>6.25</v>
      </c>
      <c r="K46" s="103"/>
      <c r="L46" s="162" t="s">
        <v>19</v>
      </c>
      <c r="M46" s="108">
        <v>1</v>
      </c>
      <c r="N46" s="169">
        <v>10.09</v>
      </c>
      <c r="O46" s="168">
        <v>2.7</v>
      </c>
      <c r="P46" s="92"/>
      <c r="Q46" s="92"/>
      <c r="R46" s="108">
        <f t="shared" ref="R46" si="97">(N46*O46-P46)*M46</f>
        <v>27.243000000000002</v>
      </c>
      <c r="S46" s="146"/>
      <c r="T46" s="108"/>
      <c r="U46" s="92"/>
      <c r="V46" s="103"/>
      <c r="W46" s="108" t="s">
        <v>19</v>
      </c>
      <c r="X46" s="163">
        <f t="shared" si="85"/>
        <v>10.09</v>
      </c>
      <c r="Y46" s="103"/>
      <c r="Z46" s="162" t="s">
        <v>27</v>
      </c>
      <c r="AA46" s="108"/>
      <c r="AB46" s="108"/>
      <c r="AC46" s="108">
        <f t="shared" ref="AC46" si="98">G46</f>
        <v>6.25</v>
      </c>
      <c r="AD46" s="108">
        <f t="shared" ref="AD46" si="99">H46</f>
        <v>0</v>
      </c>
      <c r="AE46" s="108">
        <f t="shared" ref="AE46" si="100">I46</f>
        <v>6.25</v>
      </c>
      <c r="AF46" s="108">
        <f t="shared" ref="AF46" si="101">J46</f>
        <v>6.25</v>
      </c>
      <c r="AG46" s="103"/>
      <c r="AH46" s="92"/>
      <c r="AI46" s="108"/>
      <c r="AJ46" s="90"/>
      <c r="AK46" s="90"/>
      <c r="AL46" s="90"/>
      <c r="AM46" s="90"/>
    </row>
    <row r="47" spans="1:39" s="11" customFormat="1" ht="14.4">
      <c r="A47" s="18"/>
      <c r="B47" s="201" t="s">
        <v>632</v>
      </c>
      <c r="C47" s="95" t="s">
        <v>21</v>
      </c>
      <c r="D47" s="95">
        <v>1</v>
      </c>
      <c r="E47" s="95" t="s">
        <v>57</v>
      </c>
      <c r="F47" s="95" t="s">
        <v>57</v>
      </c>
      <c r="G47" s="168">
        <v>9.76</v>
      </c>
      <c r="H47" s="118"/>
      <c r="I47" s="95">
        <f t="shared" si="43"/>
        <v>9.76</v>
      </c>
      <c r="J47" s="95">
        <f t="shared" si="44"/>
        <v>9.76</v>
      </c>
      <c r="K47" s="103"/>
      <c r="L47" s="162" t="s">
        <v>19</v>
      </c>
      <c r="M47" s="108">
        <v>1</v>
      </c>
      <c r="N47" s="169">
        <v>13.09</v>
      </c>
      <c r="O47" s="168">
        <v>2.7</v>
      </c>
      <c r="P47" s="92"/>
      <c r="Q47" s="92"/>
      <c r="R47" s="108">
        <f t="shared" ref="R47" si="102">(N47*O47-P47)*M47</f>
        <v>35.343000000000004</v>
      </c>
      <c r="S47" s="146"/>
      <c r="T47" s="108"/>
      <c r="U47" s="92"/>
      <c r="V47" s="103"/>
      <c r="W47" s="108" t="s">
        <v>19</v>
      </c>
      <c r="X47" s="163">
        <f t="shared" si="85"/>
        <v>13.09</v>
      </c>
      <c r="Y47" s="103"/>
      <c r="Z47" s="162" t="s">
        <v>27</v>
      </c>
      <c r="AA47" s="108"/>
      <c r="AB47" s="108"/>
      <c r="AC47" s="108">
        <f t="shared" ref="AC47" si="103">G47</f>
        <v>9.76</v>
      </c>
      <c r="AD47" s="108">
        <f t="shared" ref="AD47" si="104">H47</f>
        <v>0</v>
      </c>
      <c r="AE47" s="108">
        <f t="shared" ref="AE47" si="105">I47</f>
        <v>9.76</v>
      </c>
      <c r="AF47" s="108">
        <f t="shared" ref="AF47" si="106">J47</f>
        <v>9.76</v>
      </c>
      <c r="AG47" s="103"/>
      <c r="AH47" s="92"/>
      <c r="AI47" s="108"/>
      <c r="AJ47" s="90"/>
      <c r="AK47" s="90"/>
      <c r="AL47" s="90"/>
      <c r="AM47" s="90"/>
    </row>
    <row r="48" spans="1:39" s="11" customFormat="1" ht="14.4">
      <c r="A48" s="18"/>
      <c r="B48" s="201" t="s">
        <v>517</v>
      </c>
      <c r="C48" s="95" t="s">
        <v>21</v>
      </c>
      <c r="D48" s="95">
        <v>1</v>
      </c>
      <c r="E48" s="95" t="s">
        <v>57</v>
      </c>
      <c r="F48" s="95" t="s">
        <v>57</v>
      </c>
      <c r="G48" s="168">
        <v>9.07</v>
      </c>
      <c r="H48" s="118"/>
      <c r="I48" s="95">
        <f t="shared" ref="I48" si="107">(G48-H48)</f>
        <v>9.07</v>
      </c>
      <c r="J48" s="95">
        <f t="shared" ref="J48" si="108">I48*D48</f>
        <v>9.07</v>
      </c>
      <c r="K48" s="103"/>
      <c r="L48" s="162" t="s">
        <v>19</v>
      </c>
      <c r="M48" s="108">
        <v>1</v>
      </c>
      <c r="N48" s="169">
        <v>12.35</v>
      </c>
      <c r="O48" s="168">
        <v>2.7</v>
      </c>
      <c r="P48" s="92"/>
      <c r="Q48" s="92"/>
      <c r="R48" s="108">
        <f t="shared" ref="R48" si="109">(N48*O48-P48)*M48</f>
        <v>33.344999999999999</v>
      </c>
      <c r="S48" s="146"/>
      <c r="T48" s="108"/>
      <c r="U48" s="92"/>
      <c r="V48" s="103"/>
      <c r="W48" s="108" t="s">
        <v>19</v>
      </c>
      <c r="X48" s="163">
        <f t="shared" si="85"/>
        <v>12.35</v>
      </c>
      <c r="Y48" s="103"/>
      <c r="Z48" s="162" t="s">
        <v>27</v>
      </c>
      <c r="AA48" s="108"/>
      <c r="AB48" s="108"/>
      <c r="AC48" s="108">
        <f t="shared" ref="AC48" si="110">G48</f>
        <v>9.07</v>
      </c>
      <c r="AD48" s="108">
        <f t="shared" ref="AD48" si="111">H48</f>
        <v>0</v>
      </c>
      <c r="AE48" s="108">
        <f t="shared" ref="AE48" si="112">I48</f>
        <v>9.07</v>
      </c>
      <c r="AF48" s="108">
        <f t="shared" ref="AF48" si="113">J48</f>
        <v>9.07</v>
      </c>
      <c r="AG48" s="103"/>
      <c r="AH48" s="92"/>
      <c r="AI48" s="108"/>
      <c r="AJ48" s="90"/>
      <c r="AK48" s="90"/>
      <c r="AL48" s="90"/>
      <c r="AM48" s="90"/>
    </row>
    <row r="49" spans="1:39" s="11" customFormat="1" ht="14.4">
      <c r="A49" s="18"/>
      <c r="B49" s="201" t="s">
        <v>157</v>
      </c>
      <c r="C49" s="95" t="s">
        <v>29</v>
      </c>
      <c r="D49" s="95">
        <v>1</v>
      </c>
      <c r="E49" s="95" t="s">
        <v>57</v>
      </c>
      <c r="F49" s="95" t="s">
        <v>57</v>
      </c>
      <c r="G49" s="168">
        <v>106.15</v>
      </c>
      <c r="H49" s="118"/>
      <c r="I49" s="95">
        <f t="shared" si="43"/>
        <v>106.15</v>
      </c>
      <c r="J49" s="95">
        <f t="shared" si="44"/>
        <v>106.15</v>
      </c>
      <c r="K49" s="103"/>
      <c r="L49" s="162" t="s">
        <v>19</v>
      </c>
      <c r="M49" s="108">
        <v>1</v>
      </c>
      <c r="N49" s="169">
        <f>66.6-3.2</f>
        <v>63.399999999999991</v>
      </c>
      <c r="O49" s="168">
        <v>2.7</v>
      </c>
      <c r="P49" s="92"/>
      <c r="Q49" s="92"/>
      <c r="R49" s="108">
        <f t="shared" ref="R49" si="114">(N49*O49-P49)*M49</f>
        <v>171.17999999999998</v>
      </c>
      <c r="S49" s="146"/>
      <c r="T49" s="108"/>
      <c r="U49" s="92"/>
      <c r="V49" s="103"/>
      <c r="W49" s="108" t="s">
        <v>19</v>
      </c>
      <c r="X49" s="163">
        <f t="shared" si="85"/>
        <v>63.399999999999991</v>
      </c>
      <c r="Y49" s="103"/>
      <c r="Z49" s="162" t="s">
        <v>27</v>
      </c>
      <c r="AA49" s="108"/>
      <c r="AB49" s="108"/>
      <c r="AC49" s="108">
        <f t="shared" ref="AC49" si="115">G49</f>
        <v>106.15</v>
      </c>
      <c r="AD49" s="108">
        <f t="shared" ref="AD49" si="116">H49</f>
        <v>0</v>
      </c>
      <c r="AE49" s="108">
        <f t="shared" ref="AE49" si="117">I49</f>
        <v>106.15</v>
      </c>
      <c r="AF49" s="108">
        <f t="shared" ref="AF49" si="118">J49</f>
        <v>106.15</v>
      </c>
      <c r="AG49" s="103"/>
      <c r="AH49" s="92"/>
      <c r="AI49" s="108"/>
      <c r="AJ49" s="90"/>
      <c r="AK49" s="90"/>
      <c r="AL49" s="90"/>
      <c r="AM49" s="90"/>
    </row>
    <row r="50" spans="1:39" s="11" customFormat="1" ht="14.4">
      <c r="A50" s="18"/>
      <c r="B50" s="201" t="s">
        <v>561</v>
      </c>
      <c r="C50" s="95" t="s">
        <v>29</v>
      </c>
      <c r="D50" s="95">
        <v>1</v>
      </c>
      <c r="E50" s="95" t="s">
        <v>57</v>
      </c>
      <c r="F50" s="95" t="s">
        <v>57</v>
      </c>
      <c r="G50" s="168">
        <v>7.91</v>
      </c>
      <c r="H50" s="118"/>
      <c r="I50" s="95">
        <f t="shared" si="43"/>
        <v>7.91</v>
      </c>
      <c r="J50" s="95">
        <f t="shared" si="44"/>
        <v>7.91</v>
      </c>
      <c r="K50" s="103"/>
      <c r="L50" s="162" t="s">
        <v>19</v>
      </c>
      <c r="M50" s="108">
        <v>1</v>
      </c>
      <c r="N50" s="169">
        <v>11.55</v>
      </c>
      <c r="O50" s="168">
        <v>2.7</v>
      </c>
      <c r="P50" s="92"/>
      <c r="Q50" s="92"/>
      <c r="R50" s="108">
        <f t="shared" ref="R50" si="119">(N50*O50-P50)*M50</f>
        <v>31.185000000000002</v>
      </c>
      <c r="S50" s="146"/>
      <c r="T50" s="108"/>
      <c r="U50" s="92"/>
      <c r="V50" s="103"/>
      <c r="W50" s="108" t="s">
        <v>19</v>
      </c>
      <c r="X50" s="163">
        <f t="shared" si="85"/>
        <v>11.55</v>
      </c>
      <c r="Y50" s="103"/>
      <c r="Z50" s="162" t="s">
        <v>18</v>
      </c>
      <c r="AA50" s="108"/>
      <c r="AB50" s="108"/>
      <c r="AC50" s="108">
        <f t="shared" ref="AC50" si="120">G50</f>
        <v>7.91</v>
      </c>
      <c r="AD50" s="108">
        <f t="shared" ref="AD50" si="121">H50</f>
        <v>0</v>
      </c>
      <c r="AE50" s="108">
        <f t="shared" ref="AE50" si="122">I50</f>
        <v>7.91</v>
      </c>
      <c r="AF50" s="108">
        <f t="shared" ref="AF50" si="123">J50</f>
        <v>7.91</v>
      </c>
      <c r="AG50" s="103"/>
      <c r="AH50" s="92" t="s">
        <v>17</v>
      </c>
      <c r="AI50" s="108">
        <f t="shared" si="38"/>
        <v>11.55</v>
      </c>
      <c r="AJ50" s="90"/>
      <c r="AK50" s="90"/>
      <c r="AL50" s="90"/>
      <c r="AM50" s="90"/>
    </row>
    <row r="51" spans="1:39" s="11" customFormat="1" ht="14.4">
      <c r="A51" s="18"/>
      <c r="B51" s="201" t="s">
        <v>157</v>
      </c>
      <c r="C51" s="95" t="s">
        <v>29</v>
      </c>
      <c r="D51" s="95">
        <v>1</v>
      </c>
      <c r="E51" s="95" t="s">
        <v>57</v>
      </c>
      <c r="F51" s="95" t="s">
        <v>57</v>
      </c>
      <c r="G51" s="168">
        <v>29.58</v>
      </c>
      <c r="H51" s="118"/>
      <c r="I51" s="95">
        <f t="shared" si="43"/>
        <v>29.58</v>
      </c>
      <c r="J51" s="95">
        <f t="shared" si="44"/>
        <v>29.58</v>
      </c>
      <c r="K51" s="103"/>
      <c r="L51" s="162" t="s">
        <v>19</v>
      </c>
      <c r="M51" s="108">
        <v>1</v>
      </c>
      <c r="N51" s="169">
        <v>36.71</v>
      </c>
      <c r="O51" s="168">
        <v>2.7</v>
      </c>
      <c r="P51" s="92"/>
      <c r="Q51" s="92"/>
      <c r="R51" s="108">
        <f t="shared" ref="R51" si="124">(N51*O51-P51)*M51</f>
        <v>99.117000000000004</v>
      </c>
      <c r="S51" s="146"/>
      <c r="T51" s="108"/>
      <c r="U51" s="92"/>
      <c r="V51" s="103"/>
      <c r="W51" s="108" t="s">
        <v>19</v>
      </c>
      <c r="X51" s="163">
        <f t="shared" si="85"/>
        <v>36.71</v>
      </c>
      <c r="Y51" s="103"/>
      <c r="Z51" s="162" t="s">
        <v>17</v>
      </c>
      <c r="AA51" s="108"/>
      <c r="AB51" s="108"/>
      <c r="AC51" s="108">
        <f t="shared" ref="AC51" si="125">G51</f>
        <v>29.58</v>
      </c>
      <c r="AD51" s="108">
        <f t="shared" ref="AD51" si="126">H51</f>
        <v>0</v>
      </c>
      <c r="AE51" s="108">
        <f t="shared" ref="AE51" si="127">I51</f>
        <v>29.58</v>
      </c>
      <c r="AF51" s="108">
        <f t="shared" ref="AF51" si="128">J51</f>
        <v>29.58</v>
      </c>
      <c r="AG51" s="103"/>
      <c r="AH51" s="92" t="s">
        <v>17</v>
      </c>
      <c r="AI51" s="108">
        <f t="shared" si="38"/>
        <v>36.71</v>
      </c>
      <c r="AJ51" s="90"/>
      <c r="AK51" s="90"/>
      <c r="AL51" s="90"/>
      <c r="AM51" s="90"/>
    </row>
    <row r="52" spans="1:39" s="11" customFormat="1" ht="14.4">
      <c r="A52" s="18"/>
      <c r="B52" s="138" t="s">
        <v>84</v>
      </c>
      <c r="C52" s="95" t="s">
        <v>29</v>
      </c>
      <c r="D52" s="95">
        <v>1</v>
      </c>
      <c r="E52" s="95" t="s">
        <v>57</v>
      </c>
      <c r="F52" s="95" t="s">
        <v>57</v>
      </c>
      <c r="G52" s="123">
        <v>11.77</v>
      </c>
      <c r="H52" s="118"/>
      <c r="I52" s="95">
        <f t="shared" si="0"/>
        <v>11.77</v>
      </c>
      <c r="J52" s="95">
        <f t="shared" si="1"/>
        <v>11.77</v>
      </c>
      <c r="K52" s="103"/>
      <c r="L52" s="162" t="s">
        <v>19</v>
      </c>
      <c r="M52" s="108">
        <v>1</v>
      </c>
      <c r="N52" s="145">
        <v>16.77</v>
      </c>
      <c r="O52" s="123">
        <v>2.7</v>
      </c>
      <c r="P52" s="92"/>
      <c r="Q52" s="92"/>
      <c r="R52" s="108">
        <f t="shared" si="2"/>
        <v>45.279000000000003</v>
      </c>
      <c r="S52" s="146"/>
      <c r="T52" s="108" t="s">
        <v>358</v>
      </c>
      <c r="U52" s="92">
        <f t="shared" si="16"/>
        <v>16.77</v>
      </c>
      <c r="V52" s="103"/>
      <c r="W52" s="108" t="s">
        <v>19</v>
      </c>
      <c r="X52" s="163">
        <f t="shared" ref="X52:X60" si="129">N52*M52</f>
        <v>16.77</v>
      </c>
      <c r="Y52" s="103"/>
      <c r="Z52" s="162" t="s">
        <v>17</v>
      </c>
      <c r="AA52" s="108" t="str">
        <f t="shared" ref="AA52:AA62" si="130">E52</f>
        <v>cad</v>
      </c>
      <c r="AB52" s="108" t="str">
        <f t="shared" ref="AB52:AB62" si="131">F52</f>
        <v>cad</v>
      </c>
      <c r="AC52" s="108">
        <f t="shared" ref="AC52:AC62" si="132">G52</f>
        <v>11.77</v>
      </c>
      <c r="AD52" s="108">
        <f t="shared" ref="AD52:AD62" si="133">H52</f>
        <v>0</v>
      </c>
      <c r="AE52" s="108">
        <f t="shared" ref="AE52:AE62" si="134">I52</f>
        <v>11.77</v>
      </c>
      <c r="AF52" s="108">
        <f t="shared" ref="AF52:AF62" si="135">J52</f>
        <v>11.77</v>
      </c>
      <c r="AG52" s="103"/>
      <c r="AH52" s="92" t="s">
        <v>357</v>
      </c>
      <c r="AI52" s="108">
        <f t="shared" ref="AI52:AI59" si="136">N52*M52</f>
        <v>16.77</v>
      </c>
      <c r="AJ52" s="90"/>
      <c r="AK52" s="90"/>
      <c r="AL52" s="90"/>
      <c r="AM52" s="90"/>
    </row>
    <row r="53" spans="1:39" s="11" customFormat="1" ht="14.4">
      <c r="A53" s="18"/>
      <c r="B53" s="138" t="s">
        <v>85</v>
      </c>
      <c r="C53" s="95" t="s">
        <v>29</v>
      </c>
      <c r="D53" s="95">
        <v>1</v>
      </c>
      <c r="E53" s="95" t="s">
        <v>57</v>
      </c>
      <c r="F53" s="95" t="s">
        <v>57</v>
      </c>
      <c r="G53" s="95">
        <v>14.43</v>
      </c>
      <c r="H53" s="118"/>
      <c r="I53" s="95">
        <f t="shared" si="0"/>
        <v>14.43</v>
      </c>
      <c r="J53" s="95">
        <f t="shared" si="1"/>
        <v>14.43</v>
      </c>
      <c r="K53" s="103"/>
      <c r="L53" s="162" t="s">
        <v>19</v>
      </c>
      <c r="M53" s="108">
        <v>1</v>
      </c>
      <c r="N53" s="145">
        <v>15.49</v>
      </c>
      <c r="O53" s="123">
        <v>2.7</v>
      </c>
      <c r="P53" s="92"/>
      <c r="Q53" s="92"/>
      <c r="R53" s="108">
        <f t="shared" si="2"/>
        <v>41.823</v>
      </c>
      <c r="S53" s="146"/>
      <c r="T53" s="108" t="s">
        <v>358</v>
      </c>
      <c r="U53" s="92">
        <f t="shared" si="16"/>
        <v>15.49</v>
      </c>
      <c r="V53" s="103"/>
      <c r="W53" s="108" t="s">
        <v>19</v>
      </c>
      <c r="X53" s="163">
        <f t="shared" si="129"/>
        <v>15.49</v>
      </c>
      <c r="Y53" s="103"/>
      <c r="Z53" s="162" t="s">
        <v>17</v>
      </c>
      <c r="AA53" s="108" t="str">
        <f t="shared" si="130"/>
        <v>cad</v>
      </c>
      <c r="AB53" s="108" t="str">
        <f t="shared" si="131"/>
        <v>cad</v>
      </c>
      <c r="AC53" s="108">
        <f t="shared" si="132"/>
        <v>14.43</v>
      </c>
      <c r="AD53" s="108">
        <f t="shared" si="133"/>
        <v>0</v>
      </c>
      <c r="AE53" s="108">
        <f t="shared" si="134"/>
        <v>14.43</v>
      </c>
      <c r="AF53" s="108">
        <f t="shared" si="135"/>
        <v>14.43</v>
      </c>
      <c r="AG53" s="103"/>
      <c r="AH53" s="92" t="s">
        <v>357</v>
      </c>
      <c r="AI53" s="108">
        <f t="shared" si="136"/>
        <v>15.49</v>
      </c>
      <c r="AJ53" s="90"/>
      <c r="AK53" s="90"/>
      <c r="AL53" s="90"/>
      <c r="AM53" s="90"/>
    </row>
    <row r="54" spans="1:39" s="11" customFormat="1" ht="14.4">
      <c r="A54" s="18"/>
      <c r="B54" s="138" t="s">
        <v>86</v>
      </c>
      <c r="C54" s="95" t="s">
        <v>22</v>
      </c>
      <c r="D54" s="95">
        <v>1</v>
      </c>
      <c r="E54" s="95" t="s">
        <v>57</v>
      </c>
      <c r="F54" s="95" t="s">
        <v>57</v>
      </c>
      <c r="G54" s="95">
        <v>3.26</v>
      </c>
      <c r="H54" s="118"/>
      <c r="I54" s="95">
        <f t="shared" si="0"/>
        <v>3.26</v>
      </c>
      <c r="J54" s="95">
        <f t="shared" si="1"/>
        <v>3.26</v>
      </c>
      <c r="K54" s="103"/>
      <c r="L54" s="162" t="s">
        <v>18</v>
      </c>
      <c r="M54" s="108">
        <v>1</v>
      </c>
      <c r="N54" s="145">
        <v>7.56</v>
      </c>
      <c r="O54" s="123">
        <v>2.7</v>
      </c>
      <c r="P54" s="92"/>
      <c r="Q54" s="92"/>
      <c r="R54" s="108">
        <f t="shared" si="2"/>
        <v>20.411999999999999</v>
      </c>
      <c r="S54" s="146"/>
      <c r="T54" s="108"/>
      <c r="U54" s="92"/>
      <c r="V54" s="103"/>
      <c r="W54" s="108" t="s">
        <v>18</v>
      </c>
      <c r="X54" s="163">
        <f t="shared" si="129"/>
        <v>7.56</v>
      </c>
      <c r="Y54" s="103"/>
      <c r="Z54" s="162" t="s">
        <v>18</v>
      </c>
      <c r="AA54" s="108" t="str">
        <f t="shared" si="130"/>
        <v>cad</v>
      </c>
      <c r="AB54" s="108" t="str">
        <f t="shared" si="131"/>
        <v>cad</v>
      </c>
      <c r="AC54" s="108">
        <f t="shared" si="132"/>
        <v>3.26</v>
      </c>
      <c r="AD54" s="108">
        <f t="shared" si="133"/>
        <v>0</v>
      </c>
      <c r="AE54" s="108">
        <f t="shared" si="134"/>
        <v>3.26</v>
      </c>
      <c r="AF54" s="108">
        <f t="shared" si="135"/>
        <v>3.26</v>
      </c>
      <c r="AG54" s="103"/>
      <c r="AH54" s="92" t="s">
        <v>357</v>
      </c>
      <c r="AI54" s="108">
        <f t="shared" si="136"/>
        <v>7.56</v>
      </c>
      <c r="AJ54" s="90"/>
      <c r="AK54" s="90"/>
      <c r="AL54" s="90"/>
      <c r="AM54" s="90"/>
    </row>
    <row r="55" spans="1:39" s="11" customFormat="1" ht="14.4">
      <c r="A55" s="18"/>
      <c r="B55" s="138" t="s">
        <v>87</v>
      </c>
      <c r="C55" s="95" t="s">
        <v>22</v>
      </c>
      <c r="D55" s="95">
        <v>1</v>
      </c>
      <c r="E55" s="95" t="s">
        <v>57</v>
      </c>
      <c r="F55" s="95" t="s">
        <v>57</v>
      </c>
      <c r="G55" s="95">
        <v>3.26</v>
      </c>
      <c r="H55" s="118"/>
      <c r="I55" s="95">
        <f t="shared" si="0"/>
        <v>3.26</v>
      </c>
      <c r="J55" s="95">
        <f t="shared" si="1"/>
        <v>3.26</v>
      </c>
      <c r="K55" s="103"/>
      <c r="L55" s="162" t="s">
        <v>18</v>
      </c>
      <c r="M55" s="108">
        <v>1</v>
      </c>
      <c r="N55" s="145">
        <v>7.56</v>
      </c>
      <c r="O55" s="123">
        <v>2.7</v>
      </c>
      <c r="P55" s="92"/>
      <c r="Q55" s="92"/>
      <c r="R55" s="108">
        <f t="shared" si="2"/>
        <v>20.411999999999999</v>
      </c>
      <c r="S55" s="146"/>
      <c r="T55" s="108"/>
      <c r="U55" s="92"/>
      <c r="V55" s="103"/>
      <c r="W55" s="108" t="s">
        <v>18</v>
      </c>
      <c r="X55" s="163">
        <f t="shared" si="129"/>
        <v>7.56</v>
      </c>
      <c r="Y55" s="103"/>
      <c r="Z55" s="162" t="s">
        <v>18</v>
      </c>
      <c r="AA55" s="108" t="str">
        <f t="shared" si="130"/>
        <v>cad</v>
      </c>
      <c r="AB55" s="108" t="str">
        <f t="shared" si="131"/>
        <v>cad</v>
      </c>
      <c r="AC55" s="108">
        <f t="shared" si="132"/>
        <v>3.26</v>
      </c>
      <c r="AD55" s="108">
        <f t="shared" si="133"/>
        <v>0</v>
      </c>
      <c r="AE55" s="108">
        <f t="shared" si="134"/>
        <v>3.26</v>
      </c>
      <c r="AF55" s="108">
        <f t="shared" si="135"/>
        <v>3.26</v>
      </c>
      <c r="AG55" s="103"/>
      <c r="AH55" s="92" t="s">
        <v>357</v>
      </c>
      <c r="AI55" s="108">
        <f t="shared" si="136"/>
        <v>7.56</v>
      </c>
      <c r="AJ55" s="90"/>
      <c r="AK55" s="90"/>
      <c r="AL55" s="90"/>
      <c r="AM55" s="90"/>
    </row>
    <row r="56" spans="1:39" s="11" customFormat="1" ht="14.4">
      <c r="A56" s="18"/>
      <c r="B56" s="138" t="s">
        <v>88</v>
      </c>
      <c r="C56" s="95" t="s">
        <v>22</v>
      </c>
      <c r="D56" s="95">
        <v>1</v>
      </c>
      <c r="E56" s="95" t="s">
        <v>57</v>
      </c>
      <c r="F56" s="95" t="s">
        <v>57</v>
      </c>
      <c r="G56" s="123">
        <v>26.26</v>
      </c>
      <c r="H56" s="118"/>
      <c r="I56" s="95">
        <f t="shared" si="0"/>
        <v>26.26</v>
      </c>
      <c r="J56" s="95">
        <f t="shared" si="1"/>
        <v>26.26</v>
      </c>
      <c r="K56" s="103"/>
      <c r="L56" s="162" t="s">
        <v>18</v>
      </c>
      <c r="M56" s="108">
        <v>1</v>
      </c>
      <c r="N56" s="145">
        <v>33.39</v>
      </c>
      <c r="O56" s="123">
        <v>2.7</v>
      </c>
      <c r="P56" s="92"/>
      <c r="Q56" s="92"/>
      <c r="R56" s="108">
        <f t="shared" si="2"/>
        <v>90.153000000000006</v>
      </c>
      <c r="S56" s="146"/>
      <c r="T56" s="108" t="s">
        <v>366</v>
      </c>
      <c r="U56" s="92">
        <f t="shared" si="16"/>
        <v>33.39</v>
      </c>
      <c r="V56" s="103"/>
      <c r="W56" s="108" t="s">
        <v>18</v>
      </c>
      <c r="X56" s="163">
        <f t="shared" si="129"/>
        <v>33.39</v>
      </c>
      <c r="Y56" s="103"/>
      <c r="Z56" s="162" t="s">
        <v>18</v>
      </c>
      <c r="AA56" s="108" t="str">
        <f t="shared" si="130"/>
        <v>cad</v>
      </c>
      <c r="AB56" s="108" t="str">
        <f t="shared" si="131"/>
        <v>cad</v>
      </c>
      <c r="AC56" s="108">
        <f t="shared" si="132"/>
        <v>26.26</v>
      </c>
      <c r="AD56" s="108">
        <f t="shared" si="133"/>
        <v>0</v>
      </c>
      <c r="AE56" s="108">
        <f t="shared" si="134"/>
        <v>26.26</v>
      </c>
      <c r="AF56" s="108">
        <f t="shared" si="135"/>
        <v>26.26</v>
      </c>
      <c r="AG56" s="103"/>
      <c r="AH56" s="92" t="s">
        <v>357</v>
      </c>
      <c r="AI56" s="108">
        <f t="shared" si="136"/>
        <v>33.39</v>
      </c>
      <c r="AJ56" s="90"/>
      <c r="AK56" s="90"/>
      <c r="AL56" s="90"/>
      <c r="AM56" s="90"/>
    </row>
    <row r="57" spans="1:39" s="11" customFormat="1" ht="14.4">
      <c r="A57" s="18"/>
      <c r="B57" s="138" t="s">
        <v>89</v>
      </c>
      <c r="C57" s="95" t="s">
        <v>22</v>
      </c>
      <c r="D57" s="95">
        <v>1</v>
      </c>
      <c r="E57" s="95" t="s">
        <v>57</v>
      </c>
      <c r="F57" s="95" t="s">
        <v>57</v>
      </c>
      <c r="G57" s="123">
        <v>24.46</v>
      </c>
      <c r="H57" s="118"/>
      <c r="I57" s="95">
        <f t="shared" si="0"/>
        <v>24.46</v>
      </c>
      <c r="J57" s="95">
        <f t="shared" si="1"/>
        <v>24.46</v>
      </c>
      <c r="K57" s="103"/>
      <c r="L57" s="162" t="s">
        <v>18</v>
      </c>
      <c r="M57" s="108">
        <v>1</v>
      </c>
      <c r="N57" s="145">
        <v>29.08</v>
      </c>
      <c r="O57" s="123">
        <v>2.7</v>
      </c>
      <c r="P57" s="92"/>
      <c r="Q57" s="92"/>
      <c r="R57" s="108">
        <f t="shared" si="2"/>
        <v>78.516000000000005</v>
      </c>
      <c r="S57" s="146"/>
      <c r="T57" s="108" t="s">
        <v>366</v>
      </c>
      <c r="U57" s="92">
        <f t="shared" si="16"/>
        <v>29.08</v>
      </c>
      <c r="V57" s="103"/>
      <c r="W57" s="108" t="s">
        <v>18</v>
      </c>
      <c r="X57" s="163">
        <f t="shared" si="129"/>
        <v>29.08</v>
      </c>
      <c r="Y57" s="103"/>
      <c r="Z57" s="162" t="s">
        <v>18</v>
      </c>
      <c r="AA57" s="108" t="str">
        <f t="shared" si="130"/>
        <v>cad</v>
      </c>
      <c r="AB57" s="108" t="str">
        <f t="shared" si="131"/>
        <v>cad</v>
      </c>
      <c r="AC57" s="108">
        <f t="shared" si="132"/>
        <v>24.46</v>
      </c>
      <c r="AD57" s="108">
        <f t="shared" si="133"/>
        <v>0</v>
      </c>
      <c r="AE57" s="108">
        <f t="shared" si="134"/>
        <v>24.46</v>
      </c>
      <c r="AF57" s="108">
        <f t="shared" si="135"/>
        <v>24.46</v>
      </c>
      <c r="AG57" s="103"/>
      <c r="AH57" s="92" t="s">
        <v>357</v>
      </c>
      <c r="AI57" s="108">
        <f t="shared" si="136"/>
        <v>29.08</v>
      </c>
      <c r="AJ57" s="90"/>
      <c r="AK57" s="90"/>
      <c r="AL57" s="90"/>
      <c r="AM57" s="90"/>
    </row>
    <row r="58" spans="1:39" s="11" customFormat="1" ht="14.4">
      <c r="A58" s="18"/>
      <c r="B58" s="138" t="s">
        <v>90</v>
      </c>
      <c r="C58" s="95" t="s">
        <v>29</v>
      </c>
      <c r="D58" s="95">
        <v>1</v>
      </c>
      <c r="E58" s="95" t="s">
        <v>57</v>
      </c>
      <c r="F58" s="95" t="s">
        <v>57</v>
      </c>
      <c r="G58" s="123">
        <v>15.08</v>
      </c>
      <c r="H58" s="118"/>
      <c r="I58" s="95">
        <f t="shared" si="0"/>
        <v>15.08</v>
      </c>
      <c r="J58" s="95">
        <f t="shared" si="1"/>
        <v>15.08</v>
      </c>
      <c r="K58" s="103"/>
      <c r="L58" s="162" t="s">
        <v>19</v>
      </c>
      <c r="M58" s="108">
        <v>1</v>
      </c>
      <c r="N58" s="145">
        <v>16.25</v>
      </c>
      <c r="O58" s="123">
        <v>2.7</v>
      </c>
      <c r="P58" s="92"/>
      <c r="Q58" s="92"/>
      <c r="R58" s="108">
        <f t="shared" si="2"/>
        <v>43.875</v>
      </c>
      <c r="S58" s="146"/>
      <c r="T58" s="108" t="s">
        <v>358</v>
      </c>
      <c r="U58" s="92">
        <f>N58*M58</f>
        <v>16.25</v>
      </c>
      <c r="V58" s="103"/>
      <c r="W58" s="108" t="s">
        <v>19</v>
      </c>
      <c r="X58" s="163">
        <f t="shared" si="129"/>
        <v>16.25</v>
      </c>
      <c r="Y58" s="103"/>
      <c r="Z58" s="162" t="s">
        <v>17</v>
      </c>
      <c r="AA58" s="108" t="str">
        <f t="shared" si="130"/>
        <v>cad</v>
      </c>
      <c r="AB58" s="108" t="str">
        <f t="shared" si="131"/>
        <v>cad</v>
      </c>
      <c r="AC58" s="108">
        <f t="shared" si="132"/>
        <v>15.08</v>
      </c>
      <c r="AD58" s="108">
        <f t="shared" si="133"/>
        <v>0</v>
      </c>
      <c r="AE58" s="108">
        <f t="shared" si="134"/>
        <v>15.08</v>
      </c>
      <c r="AF58" s="108">
        <f t="shared" si="135"/>
        <v>15.08</v>
      </c>
      <c r="AG58" s="103"/>
      <c r="AH58" s="92" t="s">
        <v>357</v>
      </c>
      <c r="AI58" s="108">
        <f t="shared" si="136"/>
        <v>16.25</v>
      </c>
      <c r="AJ58" s="90"/>
      <c r="AK58" s="90"/>
      <c r="AL58" s="90"/>
      <c r="AM58" s="90"/>
    </row>
    <row r="59" spans="1:39" s="11" customFormat="1" ht="14.4">
      <c r="A59" s="18"/>
      <c r="B59" s="138" t="s">
        <v>91</v>
      </c>
      <c r="C59" s="95" t="s">
        <v>22</v>
      </c>
      <c r="D59" s="95">
        <v>1</v>
      </c>
      <c r="E59" s="95" t="s">
        <v>57</v>
      </c>
      <c r="F59" s="95" t="s">
        <v>57</v>
      </c>
      <c r="G59" s="123">
        <v>4.25</v>
      </c>
      <c r="H59" s="118"/>
      <c r="I59" s="95">
        <f t="shared" si="0"/>
        <v>4.25</v>
      </c>
      <c r="J59" s="95">
        <f t="shared" si="1"/>
        <v>4.25</v>
      </c>
      <c r="K59" s="103"/>
      <c r="L59" s="162" t="s">
        <v>18</v>
      </c>
      <c r="M59" s="108">
        <v>1</v>
      </c>
      <c r="N59" s="145">
        <v>8.4</v>
      </c>
      <c r="O59" s="123">
        <v>2.7</v>
      </c>
      <c r="P59" s="92"/>
      <c r="Q59" s="92"/>
      <c r="R59" s="108">
        <f t="shared" si="2"/>
        <v>22.680000000000003</v>
      </c>
      <c r="S59" s="146"/>
      <c r="T59" s="108"/>
      <c r="U59" s="92"/>
      <c r="V59" s="103"/>
      <c r="W59" s="95" t="s">
        <v>18</v>
      </c>
      <c r="X59" s="163">
        <f t="shared" si="129"/>
        <v>8.4</v>
      </c>
      <c r="Y59" s="103"/>
      <c r="Z59" s="162" t="s">
        <v>18</v>
      </c>
      <c r="AA59" s="108" t="str">
        <f t="shared" si="130"/>
        <v>cad</v>
      </c>
      <c r="AB59" s="108" t="str">
        <f t="shared" si="131"/>
        <v>cad</v>
      </c>
      <c r="AC59" s="108">
        <f t="shared" si="132"/>
        <v>4.25</v>
      </c>
      <c r="AD59" s="108">
        <f t="shared" si="133"/>
        <v>0</v>
      </c>
      <c r="AE59" s="108">
        <f t="shared" si="134"/>
        <v>4.25</v>
      </c>
      <c r="AF59" s="108">
        <f t="shared" si="135"/>
        <v>4.25</v>
      </c>
      <c r="AG59" s="103"/>
      <c r="AH59" s="92" t="s">
        <v>17</v>
      </c>
      <c r="AI59" s="108">
        <f t="shared" si="136"/>
        <v>8.4</v>
      </c>
      <c r="AJ59" s="90"/>
      <c r="AK59" s="90"/>
      <c r="AL59" s="90"/>
      <c r="AM59" s="90"/>
    </row>
    <row r="60" spans="1:39" s="11" customFormat="1" ht="14.4">
      <c r="A60" s="18"/>
      <c r="B60" s="201" t="s">
        <v>145</v>
      </c>
      <c r="C60" s="95" t="s">
        <v>22</v>
      </c>
      <c r="D60" s="95">
        <v>1</v>
      </c>
      <c r="E60" s="95" t="s">
        <v>57</v>
      </c>
      <c r="F60" s="95" t="s">
        <v>57</v>
      </c>
      <c r="G60" s="168">
        <v>7</v>
      </c>
      <c r="H60" s="118"/>
      <c r="I60" s="95">
        <f t="shared" ref="I60" si="137">(G60-H60)</f>
        <v>7</v>
      </c>
      <c r="J60" s="95">
        <f t="shared" ref="J60" si="138">I60*D60</f>
        <v>7</v>
      </c>
      <c r="K60" s="103"/>
      <c r="L60" s="162" t="s">
        <v>19</v>
      </c>
      <c r="M60" s="108">
        <v>1</v>
      </c>
      <c r="N60" s="169">
        <v>10.6</v>
      </c>
      <c r="O60" s="168">
        <v>2.7</v>
      </c>
      <c r="P60" s="92"/>
      <c r="Q60" s="92"/>
      <c r="R60" s="108">
        <f t="shared" si="2"/>
        <v>28.62</v>
      </c>
      <c r="S60" s="146"/>
      <c r="T60" s="108"/>
      <c r="U60" s="92"/>
      <c r="V60" s="103"/>
      <c r="W60" s="95" t="s">
        <v>19</v>
      </c>
      <c r="X60" s="163">
        <f t="shared" si="129"/>
        <v>10.6</v>
      </c>
      <c r="Y60" s="103"/>
      <c r="Z60" s="162" t="s">
        <v>17</v>
      </c>
      <c r="AA60" s="108"/>
      <c r="AB60" s="108"/>
      <c r="AC60" s="108">
        <f t="shared" si="132"/>
        <v>7</v>
      </c>
      <c r="AD60" s="108"/>
      <c r="AE60" s="108">
        <f t="shared" ref="AE60" si="139">I60</f>
        <v>7</v>
      </c>
      <c r="AF60" s="108">
        <f t="shared" ref="AF60" si="140">J60</f>
        <v>7</v>
      </c>
      <c r="AG60" s="103"/>
      <c r="AH60" s="92" t="s">
        <v>17</v>
      </c>
      <c r="AI60" s="108">
        <f t="shared" ref="AI60" si="141">N60*M60</f>
        <v>10.6</v>
      </c>
      <c r="AJ60" s="90"/>
      <c r="AK60" s="90"/>
      <c r="AL60" s="90"/>
      <c r="AM60" s="90"/>
    </row>
    <row r="61" spans="1:39" s="11" customFormat="1" ht="14.4">
      <c r="A61" s="18"/>
      <c r="B61" s="138" t="s">
        <v>92</v>
      </c>
      <c r="C61" s="95" t="s">
        <v>29</v>
      </c>
      <c r="D61" s="95">
        <v>1</v>
      </c>
      <c r="E61" s="95" t="s">
        <v>57</v>
      </c>
      <c r="F61" s="95" t="s">
        <v>57</v>
      </c>
      <c r="G61" s="123">
        <v>8</v>
      </c>
      <c r="H61" s="118"/>
      <c r="I61" s="95">
        <f t="shared" si="0"/>
        <v>8</v>
      </c>
      <c r="J61" s="95">
        <f t="shared" si="1"/>
        <v>8</v>
      </c>
      <c r="K61" s="103"/>
      <c r="L61" s="162" t="s">
        <v>19</v>
      </c>
      <c r="M61" s="108">
        <v>1</v>
      </c>
      <c r="N61" s="145">
        <v>12.22</v>
      </c>
      <c r="O61" s="123">
        <v>2.7</v>
      </c>
      <c r="P61" s="92"/>
      <c r="Q61" s="92"/>
      <c r="R61" s="108">
        <f t="shared" si="2"/>
        <v>32.994000000000007</v>
      </c>
      <c r="S61" s="146"/>
      <c r="T61" s="108"/>
      <c r="U61" s="92"/>
      <c r="V61" s="103"/>
      <c r="W61" s="108" t="s">
        <v>19</v>
      </c>
      <c r="X61" s="163">
        <f>N61*M61</f>
        <v>12.22</v>
      </c>
      <c r="Y61" s="103"/>
      <c r="Z61" s="162" t="s">
        <v>27</v>
      </c>
      <c r="AA61" s="108" t="str">
        <f t="shared" si="130"/>
        <v>cad</v>
      </c>
      <c r="AB61" s="108" t="str">
        <f t="shared" si="131"/>
        <v>cad</v>
      </c>
      <c r="AC61" s="108">
        <f t="shared" si="132"/>
        <v>8</v>
      </c>
      <c r="AD61" s="108">
        <f t="shared" si="133"/>
        <v>0</v>
      </c>
      <c r="AE61" s="108">
        <f t="shared" si="134"/>
        <v>8</v>
      </c>
      <c r="AF61" s="108">
        <f t="shared" si="135"/>
        <v>8</v>
      </c>
      <c r="AG61" s="103"/>
      <c r="AH61" s="92"/>
      <c r="AI61" s="108"/>
      <c r="AJ61" s="90"/>
      <c r="AK61" s="90"/>
      <c r="AL61" s="90"/>
      <c r="AM61" s="90"/>
    </row>
    <row r="62" spans="1:39" s="11" customFormat="1" ht="14.4">
      <c r="A62" s="18"/>
      <c r="B62" s="138" t="s">
        <v>635</v>
      </c>
      <c r="C62" s="95" t="s">
        <v>21</v>
      </c>
      <c r="D62" s="95">
        <v>1</v>
      </c>
      <c r="E62" s="95" t="s">
        <v>57</v>
      </c>
      <c r="F62" s="95" t="s">
        <v>57</v>
      </c>
      <c r="G62" s="123">
        <v>72.8</v>
      </c>
      <c r="H62" s="118"/>
      <c r="I62" s="95">
        <f t="shared" si="0"/>
        <v>72.8</v>
      </c>
      <c r="J62" s="95">
        <f t="shared" si="1"/>
        <v>72.8</v>
      </c>
      <c r="K62" s="103"/>
      <c r="L62" s="162" t="s">
        <v>19</v>
      </c>
      <c r="M62" s="108">
        <v>1</v>
      </c>
      <c r="N62" s="145">
        <v>40.200000000000003</v>
      </c>
      <c r="O62" s="123">
        <v>3</v>
      </c>
      <c r="P62" s="92"/>
      <c r="Q62" s="92"/>
      <c r="R62" s="108">
        <f t="shared" si="2"/>
        <v>120.60000000000001</v>
      </c>
      <c r="S62" s="146"/>
      <c r="T62" s="108" t="s">
        <v>358</v>
      </c>
      <c r="U62" s="92">
        <f t="shared" ref="U62:U73" si="142">N62*M62</f>
        <v>40.200000000000003</v>
      </c>
      <c r="V62" s="103"/>
      <c r="W62" s="108" t="s">
        <v>19</v>
      </c>
      <c r="X62" s="163">
        <f>N62*M62</f>
        <v>40.200000000000003</v>
      </c>
      <c r="Y62" s="103"/>
      <c r="Z62" s="162" t="s">
        <v>27</v>
      </c>
      <c r="AA62" s="108" t="str">
        <f t="shared" si="130"/>
        <v>cad</v>
      </c>
      <c r="AB62" s="108" t="str">
        <f t="shared" si="131"/>
        <v>cad</v>
      </c>
      <c r="AC62" s="108">
        <f t="shared" si="132"/>
        <v>72.8</v>
      </c>
      <c r="AD62" s="108">
        <f t="shared" si="133"/>
        <v>0</v>
      </c>
      <c r="AE62" s="108">
        <f t="shared" si="134"/>
        <v>72.8</v>
      </c>
      <c r="AF62" s="108">
        <f t="shared" si="135"/>
        <v>72.8</v>
      </c>
      <c r="AG62" s="103"/>
      <c r="AH62" s="92"/>
      <c r="AI62" s="108"/>
      <c r="AJ62" s="90"/>
      <c r="AK62" s="90"/>
      <c r="AL62" s="90"/>
      <c r="AM62" s="90"/>
    </row>
    <row r="63" spans="1:39" s="11" customFormat="1" ht="14.4">
      <c r="A63" s="18"/>
      <c r="B63" s="138"/>
      <c r="C63" s="95"/>
      <c r="D63" s="95"/>
      <c r="E63" s="95"/>
      <c r="F63" s="95"/>
      <c r="G63" s="95"/>
      <c r="H63" s="118"/>
      <c r="I63" s="95"/>
      <c r="J63" s="95"/>
      <c r="K63" s="103"/>
      <c r="L63" s="164" t="s">
        <v>19</v>
      </c>
      <c r="M63" s="108">
        <v>1</v>
      </c>
      <c r="N63" s="162">
        <v>9.4</v>
      </c>
      <c r="O63" s="108">
        <v>1</v>
      </c>
      <c r="P63" s="92"/>
      <c r="Q63" s="92"/>
      <c r="R63" s="165">
        <f t="shared" ref="R63" si="143">(N63*O63-P63)*M63</f>
        <v>9.4</v>
      </c>
      <c r="S63" s="146"/>
      <c r="T63" s="108"/>
      <c r="U63" s="92">
        <f t="shared" si="142"/>
        <v>9.4</v>
      </c>
      <c r="V63" s="103"/>
      <c r="W63" s="108"/>
      <c r="X63" s="92"/>
      <c r="Y63" s="103"/>
      <c r="Z63" s="162"/>
      <c r="AA63" s="108"/>
      <c r="AB63" s="108"/>
      <c r="AC63" s="108"/>
      <c r="AD63" s="108"/>
      <c r="AE63" s="108"/>
      <c r="AF63" s="108"/>
      <c r="AG63" s="103"/>
      <c r="AH63" s="92"/>
      <c r="AI63" s="108"/>
      <c r="AJ63" s="90"/>
      <c r="AK63" s="90"/>
      <c r="AL63" s="90"/>
      <c r="AM63" s="90"/>
    </row>
    <row r="64" spans="1:39" s="11" customFormat="1" ht="14.4">
      <c r="A64" s="16"/>
      <c r="B64" s="138" t="s">
        <v>94</v>
      </c>
      <c r="C64" s="95" t="s">
        <v>27</v>
      </c>
      <c r="D64" s="95">
        <v>1</v>
      </c>
      <c r="E64" s="95" t="s">
        <v>57</v>
      </c>
      <c r="F64" s="95" t="s">
        <v>57</v>
      </c>
      <c r="G64" s="123">
        <v>50.98</v>
      </c>
      <c r="H64" s="118"/>
      <c r="I64" s="95">
        <f t="shared" si="0"/>
        <v>50.98</v>
      </c>
      <c r="J64" s="95">
        <f t="shared" si="1"/>
        <v>50.98</v>
      </c>
      <c r="K64" s="103"/>
      <c r="L64" s="162" t="s">
        <v>21</v>
      </c>
      <c r="M64" s="108">
        <v>1</v>
      </c>
      <c r="N64" s="145">
        <v>30.41</v>
      </c>
      <c r="O64" s="123">
        <v>3</v>
      </c>
      <c r="P64" s="92"/>
      <c r="Q64" s="92"/>
      <c r="R64" s="108">
        <f t="shared" ref="R64:R80" si="144">(N64*O64-P64)*M64</f>
        <v>91.23</v>
      </c>
      <c r="S64" s="146"/>
      <c r="T64" s="108"/>
      <c r="U64" s="92"/>
      <c r="V64" s="103"/>
      <c r="W64" s="108" t="s">
        <v>22</v>
      </c>
      <c r="X64" s="163">
        <f t="shared" ref="X64:X73" si="145">N64*M64</f>
        <v>30.41</v>
      </c>
      <c r="Y64" s="103"/>
      <c r="Z64" s="162" t="s">
        <v>24</v>
      </c>
      <c r="AA64" s="108" t="str">
        <f t="shared" ref="AA64:AA80" si="146">E64</f>
        <v>cad</v>
      </c>
      <c r="AB64" s="108" t="str">
        <f t="shared" ref="AB64:AB80" si="147">F64</f>
        <v>cad</v>
      </c>
      <c r="AC64" s="108">
        <f t="shared" ref="AC64:AC80" si="148">G64</f>
        <v>50.98</v>
      </c>
      <c r="AD64" s="108">
        <f t="shared" ref="AD64:AD80" si="149">H64</f>
        <v>0</v>
      </c>
      <c r="AE64" s="108">
        <f t="shared" ref="AE64:AE80" si="150">I64</f>
        <v>50.98</v>
      </c>
      <c r="AF64" s="108">
        <f t="shared" ref="AF64:AF80" si="151">J64</f>
        <v>50.98</v>
      </c>
      <c r="AG64" s="103"/>
      <c r="AH64" s="92"/>
      <c r="AI64" s="108"/>
      <c r="AJ64" s="90"/>
      <c r="AK64" s="90"/>
      <c r="AL64" s="90"/>
      <c r="AM64" s="90"/>
    </row>
    <row r="65" spans="1:39" s="11" customFormat="1" ht="14.4">
      <c r="A65" s="16"/>
      <c r="B65" s="201" t="s">
        <v>92</v>
      </c>
      <c r="C65" s="95" t="s">
        <v>27</v>
      </c>
      <c r="D65" s="95">
        <v>1</v>
      </c>
      <c r="E65" s="95" t="s">
        <v>57</v>
      </c>
      <c r="F65" s="95" t="s">
        <v>57</v>
      </c>
      <c r="G65" s="168">
        <v>2.94</v>
      </c>
      <c r="H65" s="118"/>
      <c r="I65" s="95">
        <f t="shared" ref="I65" si="152">(G65-H65)</f>
        <v>2.94</v>
      </c>
      <c r="J65" s="95">
        <f t="shared" ref="J65" si="153">I65*D65</f>
        <v>2.94</v>
      </c>
      <c r="K65" s="103"/>
      <c r="L65" s="162" t="s">
        <v>21</v>
      </c>
      <c r="M65" s="108">
        <v>1</v>
      </c>
      <c r="N65" s="169">
        <v>7.79</v>
      </c>
      <c r="O65" s="168">
        <v>2.7</v>
      </c>
      <c r="P65" s="92"/>
      <c r="Q65" s="92"/>
      <c r="R65" s="108">
        <f t="shared" si="144"/>
        <v>21.033000000000001</v>
      </c>
      <c r="S65" s="146"/>
      <c r="T65" s="108"/>
      <c r="U65" s="92"/>
      <c r="V65" s="103"/>
      <c r="W65" s="108" t="s">
        <v>22</v>
      </c>
      <c r="X65" s="163">
        <f t="shared" si="145"/>
        <v>7.79</v>
      </c>
      <c r="Y65" s="103"/>
      <c r="Z65" s="162" t="s">
        <v>27</v>
      </c>
      <c r="AA65" s="108"/>
      <c r="AB65" s="108"/>
      <c r="AC65" s="108">
        <f t="shared" ref="AC65" si="154">G65</f>
        <v>2.94</v>
      </c>
      <c r="AD65" s="108">
        <f t="shared" ref="AD65" si="155">H65</f>
        <v>0</v>
      </c>
      <c r="AE65" s="108">
        <f t="shared" ref="AE65" si="156">I65</f>
        <v>2.94</v>
      </c>
      <c r="AF65" s="108">
        <f t="shared" ref="AF65" si="157">J65</f>
        <v>2.94</v>
      </c>
      <c r="AG65" s="103"/>
      <c r="AH65" s="92"/>
      <c r="AI65" s="108"/>
      <c r="AJ65" s="90"/>
      <c r="AK65" s="90"/>
      <c r="AL65" s="90"/>
      <c r="AM65" s="90"/>
    </row>
    <row r="66" spans="1:39" s="11" customFormat="1" ht="14.4">
      <c r="A66" s="16"/>
      <c r="B66" s="138" t="s">
        <v>95</v>
      </c>
      <c r="C66" s="95" t="s">
        <v>27</v>
      </c>
      <c r="D66" s="95">
        <v>1</v>
      </c>
      <c r="E66" s="95" t="s">
        <v>57</v>
      </c>
      <c r="F66" s="95" t="s">
        <v>57</v>
      </c>
      <c r="G66" s="123">
        <v>37.36</v>
      </c>
      <c r="H66" s="118"/>
      <c r="I66" s="95">
        <f t="shared" si="0"/>
        <v>37.36</v>
      </c>
      <c r="J66" s="95">
        <f t="shared" si="1"/>
        <v>37.36</v>
      </c>
      <c r="K66" s="103"/>
      <c r="L66" s="162" t="s">
        <v>21</v>
      </c>
      <c r="M66" s="108">
        <v>1</v>
      </c>
      <c r="N66" s="145">
        <v>23.47</v>
      </c>
      <c r="O66" s="123">
        <v>3</v>
      </c>
      <c r="P66" s="92"/>
      <c r="Q66" s="92"/>
      <c r="R66" s="108">
        <f t="shared" si="144"/>
        <v>70.41</v>
      </c>
      <c r="S66" s="146"/>
      <c r="T66" s="108"/>
      <c r="U66" s="92"/>
      <c r="V66" s="103"/>
      <c r="W66" s="108" t="s">
        <v>22</v>
      </c>
      <c r="X66" s="163">
        <f t="shared" si="145"/>
        <v>23.47</v>
      </c>
      <c r="Y66" s="103"/>
      <c r="Z66" s="162" t="s">
        <v>24</v>
      </c>
      <c r="AA66" s="108" t="str">
        <f t="shared" si="146"/>
        <v>cad</v>
      </c>
      <c r="AB66" s="108" t="str">
        <f t="shared" si="147"/>
        <v>cad</v>
      </c>
      <c r="AC66" s="108">
        <f t="shared" si="148"/>
        <v>37.36</v>
      </c>
      <c r="AD66" s="108">
        <f t="shared" si="149"/>
        <v>0</v>
      </c>
      <c r="AE66" s="108">
        <f t="shared" si="150"/>
        <v>37.36</v>
      </c>
      <c r="AF66" s="108">
        <f t="shared" si="151"/>
        <v>37.36</v>
      </c>
      <c r="AG66" s="103"/>
      <c r="AH66" s="92"/>
      <c r="AI66" s="108"/>
      <c r="AJ66" s="90"/>
      <c r="AK66" s="90"/>
      <c r="AL66" s="90"/>
      <c r="AM66" s="90"/>
    </row>
    <row r="67" spans="1:39" s="11" customFormat="1" ht="14.4">
      <c r="A67" s="16"/>
      <c r="B67" s="138" t="s">
        <v>96</v>
      </c>
      <c r="C67" s="95" t="s">
        <v>27</v>
      </c>
      <c r="D67" s="95">
        <v>1</v>
      </c>
      <c r="E67" s="95" t="s">
        <v>57</v>
      </c>
      <c r="F67" s="95" t="s">
        <v>57</v>
      </c>
      <c r="G67" s="123">
        <v>44.78</v>
      </c>
      <c r="H67" s="118"/>
      <c r="I67" s="95">
        <f t="shared" si="0"/>
        <v>44.78</v>
      </c>
      <c r="J67" s="95">
        <f t="shared" si="1"/>
        <v>44.78</v>
      </c>
      <c r="K67" s="103"/>
      <c r="L67" s="162" t="s">
        <v>21</v>
      </c>
      <c r="M67" s="108">
        <v>1</v>
      </c>
      <c r="N67" s="145">
        <v>26.25</v>
      </c>
      <c r="O67" s="123">
        <v>3</v>
      </c>
      <c r="P67" s="92"/>
      <c r="Q67" s="92"/>
      <c r="R67" s="108">
        <f t="shared" si="144"/>
        <v>78.75</v>
      </c>
      <c r="S67" s="146"/>
      <c r="T67" s="108"/>
      <c r="U67" s="92"/>
      <c r="V67" s="103"/>
      <c r="W67" s="108" t="s">
        <v>22</v>
      </c>
      <c r="X67" s="163">
        <f t="shared" si="145"/>
        <v>26.25</v>
      </c>
      <c r="Y67" s="103"/>
      <c r="Z67" s="162" t="s">
        <v>24</v>
      </c>
      <c r="AA67" s="108" t="str">
        <f t="shared" si="146"/>
        <v>cad</v>
      </c>
      <c r="AB67" s="108" t="str">
        <f t="shared" si="147"/>
        <v>cad</v>
      </c>
      <c r="AC67" s="108">
        <f t="shared" si="148"/>
        <v>44.78</v>
      </c>
      <c r="AD67" s="108">
        <f t="shared" si="149"/>
        <v>0</v>
      </c>
      <c r="AE67" s="108">
        <f t="shared" si="150"/>
        <v>44.78</v>
      </c>
      <c r="AF67" s="108">
        <f t="shared" si="151"/>
        <v>44.78</v>
      </c>
      <c r="AG67" s="103"/>
      <c r="AH67" s="92"/>
      <c r="AI67" s="108"/>
      <c r="AJ67" s="90"/>
      <c r="AK67" s="90"/>
      <c r="AL67" s="90"/>
      <c r="AM67" s="90"/>
    </row>
    <row r="68" spans="1:39" s="11" customFormat="1" ht="14.4">
      <c r="A68" s="16"/>
      <c r="B68" s="138" t="s">
        <v>97</v>
      </c>
      <c r="C68" s="95" t="s">
        <v>27</v>
      </c>
      <c r="D68" s="95">
        <v>1</v>
      </c>
      <c r="E68" s="95" t="s">
        <v>57</v>
      </c>
      <c r="F68" s="95" t="s">
        <v>57</v>
      </c>
      <c r="G68" s="123">
        <v>44.78</v>
      </c>
      <c r="H68" s="118"/>
      <c r="I68" s="95">
        <f t="shared" si="0"/>
        <v>44.78</v>
      </c>
      <c r="J68" s="95">
        <f t="shared" si="1"/>
        <v>44.78</v>
      </c>
      <c r="K68" s="103"/>
      <c r="L68" s="162" t="s">
        <v>21</v>
      </c>
      <c r="M68" s="108">
        <v>1</v>
      </c>
      <c r="N68" s="145">
        <v>26.25</v>
      </c>
      <c r="O68" s="123">
        <v>3</v>
      </c>
      <c r="P68" s="92"/>
      <c r="Q68" s="92"/>
      <c r="R68" s="108">
        <f t="shared" si="144"/>
        <v>78.75</v>
      </c>
      <c r="S68" s="146"/>
      <c r="T68" s="108"/>
      <c r="U68" s="92"/>
      <c r="V68" s="103"/>
      <c r="W68" s="108" t="s">
        <v>22</v>
      </c>
      <c r="X68" s="163">
        <f t="shared" si="145"/>
        <v>26.25</v>
      </c>
      <c r="Y68" s="103"/>
      <c r="Z68" s="162" t="s">
        <v>24</v>
      </c>
      <c r="AA68" s="108" t="str">
        <f t="shared" si="146"/>
        <v>cad</v>
      </c>
      <c r="AB68" s="108" t="str">
        <f t="shared" si="147"/>
        <v>cad</v>
      </c>
      <c r="AC68" s="108">
        <f t="shared" si="148"/>
        <v>44.78</v>
      </c>
      <c r="AD68" s="108">
        <f t="shared" si="149"/>
        <v>0</v>
      </c>
      <c r="AE68" s="108">
        <f t="shared" si="150"/>
        <v>44.78</v>
      </c>
      <c r="AF68" s="108">
        <f t="shared" si="151"/>
        <v>44.78</v>
      </c>
      <c r="AG68" s="103"/>
      <c r="AH68" s="92"/>
      <c r="AI68" s="108"/>
      <c r="AJ68" s="90"/>
      <c r="AK68" s="90"/>
      <c r="AL68" s="90"/>
      <c r="AM68" s="90"/>
    </row>
    <row r="69" spans="1:39" s="11" customFormat="1" ht="14.4">
      <c r="A69" s="16"/>
      <c r="B69" s="138" t="s">
        <v>98</v>
      </c>
      <c r="C69" s="95" t="s">
        <v>27</v>
      </c>
      <c r="D69" s="95">
        <v>1</v>
      </c>
      <c r="E69" s="95" t="s">
        <v>57</v>
      </c>
      <c r="F69" s="95" t="s">
        <v>57</v>
      </c>
      <c r="G69" s="123">
        <v>53.85</v>
      </c>
      <c r="H69" s="118"/>
      <c r="I69" s="95">
        <f t="shared" si="0"/>
        <v>53.85</v>
      </c>
      <c r="J69" s="95">
        <f t="shared" si="1"/>
        <v>53.85</v>
      </c>
      <c r="K69" s="103"/>
      <c r="L69" s="162" t="s">
        <v>21</v>
      </c>
      <c r="M69" s="108">
        <v>1</v>
      </c>
      <c r="N69" s="145">
        <v>28.27</v>
      </c>
      <c r="O69" s="123">
        <v>3</v>
      </c>
      <c r="P69" s="92"/>
      <c r="Q69" s="92"/>
      <c r="R69" s="108">
        <f t="shared" si="144"/>
        <v>84.81</v>
      </c>
      <c r="S69" s="146"/>
      <c r="T69" s="108"/>
      <c r="U69" s="92"/>
      <c r="V69" s="103"/>
      <c r="W69" s="108" t="s">
        <v>22</v>
      </c>
      <c r="X69" s="163">
        <f t="shared" si="145"/>
        <v>28.27</v>
      </c>
      <c r="Y69" s="103"/>
      <c r="Z69" s="162" t="s">
        <v>24</v>
      </c>
      <c r="AA69" s="108" t="str">
        <f t="shared" si="146"/>
        <v>cad</v>
      </c>
      <c r="AB69" s="108" t="str">
        <f t="shared" si="147"/>
        <v>cad</v>
      </c>
      <c r="AC69" s="108">
        <f t="shared" si="148"/>
        <v>53.85</v>
      </c>
      <c r="AD69" s="108">
        <f t="shared" si="149"/>
        <v>0</v>
      </c>
      <c r="AE69" s="108">
        <f t="shared" si="150"/>
        <v>53.85</v>
      </c>
      <c r="AF69" s="108">
        <f t="shared" si="151"/>
        <v>53.85</v>
      </c>
      <c r="AG69" s="103"/>
      <c r="AH69" s="92"/>
      <c r="AI69" s="108"/>
      <c r="AJ69" s="90"/>
      <c r="AK69" s="90"/>
      <c r="AL69" s="90"/>
      <c r="AM69" s="90"/>
    </row>
    <row r="70" spans="1:39" s="11" customFormat="1" ht="14.4">
      <c r="A70" s="16"/>
      <c r="B70" s="138" t="s">
        <v>157</v>
      </c>
      <c r="C70" s="95" t="s">
        <v>29</v>
      </c>
      <c r="D70" s="95">
        <v>1</v>
      </c>
      <c r="E70" s="95" t="s">
        <v>57</v>
      </c>
      <c r="F70" s="95" t="s">
        <v>57</v>
      </c>
      <c r="G70" s="123">
        <v>13.26</v>
      </c>
      <c r="H70" s="118"/>
      <c r="I70" s="95">
        <f t="shared" ref="I70" si="158">(G70-H70)</f>
        <v>13.26</v>
      </c>
      <c r="J70" s="95">
        <f t="shared" ref="J70" si="159">I70*D70</f>
        <v>13.26</v>
      </c>
      <c r="K70" s="103"/>
      <c r="L70" s="162" t="s">
        <v>19</v>
      </c>
      <c r="M70" s="108">
        <v>1</v>
      </c>
      <c r="N70" s="145">
        <v>15.92</v>
      </c>
      <c r="O70" s="123">
        <v>2.7</v>
      </c>
      <c r="P70" s="92"/>
      <c r="Q70" s="92"/>
      <c r="R70" s="108">
        <f t="shared" ref="R70" si="160">(N70*O70-P70)*M70</f>
        <v>42.984000000000002</v>
      </c>
      <c r="S70" s="146"/>
      <c r="T70" s="108" t="s">
        <v>357</v>
      </c>
      <c r="U70" s="92">
        <f t="shared" ref="U70" si="161">N70*M70</f>
        <v>15.92</v>
      </c>
      <c r="V70" s="103"/>
      <c r="W70" s="108" t="s">
        <v>19</v>
      </c>
      <c r="X70" s="163">
        <f t="shared" si="145"/>
        <v>15.92</v>
      </c>
      <c r="Y70" s="103"/>
      <c r="Z70" s="162" t="s">
        <v>27</v>
      </c>
      <c r="AA70" s="108" t="str">
        <f t="shared" ref="AA70" si="162">E70</f>
        <v>cad</v>
      </c>
      <c r="AB70" s="108" t="str">
        <f t="shared" ref="AB70" si="163">F70</f>
        <v>cad</v>
      </c>
      <c r="AC70" s="108">
        <f t="shared" ref="AC70" si="164">G70</f>
        <v>13.26</v>
      </c>
      <c r="AD70" s="108">
        <f t="shared" ref="AD70" si="165">H70</f>
        <v>0</v>
      </c>
      <c r="AE70" s="108">
        <f t="shared" ref="AE70" si="166">I70</f>
        <v>13.26</v>
      </c>
      <c r="AF70" s="108">
        <f t="shared" ref="AF70" si="167">J70</f>
        <v>13.26</v>
      </c>
      <c r="AG70" s="103"/>
      <c r="AH70" s="92"/>
      <c r="AI70" s="108"/>
      <c r="AJ70" s="90"/>
      <c r="AK70" s="90"/>
      <c r="AL70" s="90"/>
      <c r="AM70" s="90"/>
    </row>
    <row r="71" spans="1:39" s="11" customFormat="1" ht="14.4">
      <c r="A71" s="16"/>
      <c r="B71" s="138" t="s">
        <v>99</v>
      </c>
      <c r="C71" s="95" t="s">
        <v>27</v>
      </c>
      <c r="D71" s="95">
        <v>1</v>
      </c>
      <c r="E71" s="95" t="s">
        <v>57</v>
      </c>
      <c r="F71" s="95" t="s">
        <v>57</v>
      </c>
      <c r="G71" s="123">
        <v>34.630000000000003</v>
      </c>
      <c r="H71" s="118"/>
      <c r="I71" s="95">
        <f t="shared" si="0"/>
        <v>34.630000000000003</v>
      </c>
      <c r="J71" s="95">
        <f t="shared" si="1"/>
        <v>34.630000000000003</v>
      </c>
      <c r="K71" s="103"/>
      <c r="L71" s="162" t="s">
        <v>21</v>
      </c>
      <c r="M71" s="108">
        <v>1</v>
      </c>
      <c r="N71" s="145">
        <v>23.37</v>
      </c>
      <c r="O71" s="123">
        <v>3</v>
      </c>
      <c r="P71" s="92"/>
      <c r="Q71" s="92"/>
      <c r="R71" s="108">
        <f t="shared" si="144"/>
        <v>70.11</v>
      </c>
      <c r="S71" s="146"/>
      <c r="T71" s="108"/>
      <c r="U71" s="92"/>
      <c r="V71" s="103"/>
      <c r="W71" s="108" t="s">
        <v>22</v>
      </c>
      <c r="X71" s="163">
        <f t="shared" si="145"/>
        <v>23.37</v>
      </c>
      <c r="Y71" s="103"/>
      <c r="Z71" s="162" t="s">
        <v>24</v>
      </c>
      <c r="AA71" s="108" t="str">
        <f t="shared" si="146"/>
        <v>cad</v>
      </c>
      <c r="AB71" s="108" t="str">
        <f t="shared" si="147"/>
        <v>cad</v>
      </c>
      <c r="AC71" s="108">
        <f t="shared" si="148"/>
        <v>34.630000000000003</v>
      </c>
      <c r="AD71" s="108">
        <f t="shared" si="149"/>
        <v>0</v>
      </c>
      <c r="AE71" s="108">
        <f t="shared" si="150"/>
        <v>34.630000000000003</v>
      </c>
      <c r="AF71" s="108">
        <f t="shared" si="151"/>
        <v>34.630000000000003</v>
      </c>
      <c r="AG71" s="103"/>
      <c r="AH71" s="92"/>
      <c r="AI71" s="108"/>
      <c r="AJ71" s="90"/>
      <c r="AK71" s="90"/>
      <c r="AL71" s="90"/>
      <c r="AM71" s="90"/>
    </row>
    <row r="72" spans="1:39" s="11" customFormat="1" ht="14.4">
      <c r="A72" s="16"/>
      <c r="B72" s="138" t="s">
        <v>100</v>
      </c>
      <c r="C72" s="95" t="s">
        <v>17</v>
      </c>
      <c r="D72" s="95">
        <v>1</v>
      </c>
      <c r="E72" s="95" t="s">
        <v>57</v>
      </c>
      <c r="F72" s="95" t="s">
        <v>57</v>
      </c>
      <c r="G72" s="123">
        <v>31.86</v>
      </c>
      <c r="H72" s="118"/>
      <c r="I72" s="95">
        <f t="shared" si="0"/>
        <v>31.86</v>
      </c>
      <c r="J72" s="95">
        <f t="shared" si="1"/>
        <v>31.86</v>
      </c>
      <c r="K72" s="103"/>
      <c r="L72" s="162" t="s">
        <v>17</v>
      </c>
      <c r="M72" s="108">
        <v>1</v>
      </c>
      <c r="N72" s="145">
        <v>29.83</v>
      </c>
      <c r="O72" s="123">
        <v>2.7</v>
      </c>
      <c r="P72" s="92"/>
      <c r="Q72" s="92"/>
      <c r="R72" s="108">
        <f t="shared" si="144"/>
        <v>80.540999999999997</v>
      </c>
      <c r="S72" s="146"/>
      <c r="T72" s="108" t="s">
        <v>357</v>
      </c>
      <c r="U72" s="92">
        <f t="shared" si="142"/>
        <v>29.83</v>
      </c>
      <c r="V72" s="103"/>
      <c r="W72" s="108" t="s">
        <v>17</v>
      </c>
      <c r="X72" s="163">
        <f t="shared" si="145"/>
        <v>29.83</v>
      </c>
      <c r="Y72" s="103"/>
      <c r="Z72" s="162" t="s">
        <v>17</v>
      </c>
      <c r="AA72" s="108" t="str">
        <f t="shared" si="146"/>
        <v>cad</v>
      </c>
      <c r="AB72" s="108" t="str">
        <f t="shared" si="147"/>
        <v>cad</v>
      </c>
      <c r="AC72" s="108">
        <f t="shared" si="148"/>
        <v>31.86</v>
      </c>
      <c r="AD72" s="108">
        <f t="shared" si="149"/>
        <v>0</v>
      </c>
      <c r="AE72" s="108">
        <f t="shared" si="150"/>
        <v>31.86</v>
      </c>
      <c r="AF72" s="108">
        <f t="shared" si="151"/>
        <v>31.86</v>
      </c>
      <c r="AG72" s="103"/>
      <c r="AH72" s="92" t="s">
        <v>357</v>
      </c>
      <c r="AI72" s="108">
        <f t="shared" ref="AI72" si="168">N72*M72</f>
        <v>29.83</v>
      </c>
      <c r="AJ72" s="90"/>
      <c r="AK72" s="90"/>
      <c r="AL72" s="90"/>
      <c r="AM72" s="90"/>
    </row>
    <row r="73" spans="1:39" s="11" customFormat="1" ht="14.4">
      <c r="A73" s="16"/>
      <c r="B73" s="138" t="s">
        <v>101</v>
      </c>
      <c r="C73" s="95" t="s">
        <v>20</v>
      </c>
      <c r="D73" s="95">
        <v>1</v>
      </c>
      <c r="E73" s="95" t="s">
        <v>57</v>
      </c>
      <c r="F73" s="95" t="s">
        <v>57</v>
      </c>
      <c r="G73" s="123">
        <v>40.909999999999997</v>
      </c>
      <c r="H73" s="118"/>
      <c r="I73" s="95">
        <f>(G73-H73)</f>
        <v>40.909999999999997</v>
      </c>
      <c r="J73" s="95">
        <f>I73*D73</f>
        <v>40.909999999999997</v>
      </c>
      <c r="K73" s="103"/>
      <c r="L73" s="162" t="s">
        <v>24</v>
      </c>
      <c r="M73" s="108">
        <v>1</v>
      </c>
      <c r="N73" s="145">
        <v>26.71</v>
      </c>
      <c r="O73" s="123">
        <v>4.95</v>
      </c>
      <c r="P73" s="92"/>
      <c r="Q73" s="92"/>
      <c r="R73" s="108">
        <f t="shared" si="144"/>
        <v>132.21450000000002</v>
      </c>
      <c r="S73" s="146"/>
      <c r="T73" s="108" t="s">
        <v>357</v>
      </c>
      <c r="U73" s="92">
        <f t="shared" si="142"/>
        <v>26.71</v>
      </c>
      <c r="V73" s="103"/>
      <c r="W73" s="108" t="s">
        <v>20</v>
      </c>
      <c r="X73" s="163">
        <f t="shared" si="145"/>
        <v>26.71</v>
      </c>
      <c r="Y73" s="103"/>
      <c r="Z73" s="162" t="s">
        <v>20</v>
      </c>
      <c r="AA73" s="108" t="str">
        <f t="shared" si="146"/>
        <v>cad</v>
      </c>
      <c r="AB73" s="108" t="str">
        <f t="shared" si="147"/>
        <v>cad</v>
      </c>
      <c r="AC73" s="108">
        <f t="shared" si="148"/>
        <v>40.909999999999997</v>
      </c>
      <c r="AD73" s="108">
        <f t="shared" si="149"/>
        <v>0</v>
      </c>
      <c r="AE73" s="108">
        <f t="shared" si="150"/>
        <v>40.909999999999997</v>
      </c>
      <c r="AF73" s="108">
        <f t="shared" si="151"/>
        <v>40.909999999999997</v>
      </c>
      <c r="AG73" s="103"/>
      <c r="AH73" s="92"/>
      <c r="AI73" s="108"/>
      <c r="AJ73" s="90"/>
      <c r="AK73" s="90"/>
      <c r="AL73" s="90"/>
      <c r="AM73" s="90"/>
    </row>
    <row r="74" spans="1:39" s="11" customFormat="1" ht="14.4">
      <c r="A74" s="16"/>
      <c r="B74" s="138"/>
      <c r="C74" s="95" t="s">
        <v>20</v>
      </c>
      <c r="D74" s="95">
        <v>1</v>
      </c>
      <c r="E74" s="95" t="s">
        <v>57</v>
      </c>
      <c r="F74" s="95" t="s">
        <v>57</v>
      </c>
      <c r="G74" s="95">
        <v>9.7100000000000009</v>
      </c>
      <c r="H74" s="118"/>
      <c r="I74" s="95">
        <f>(G74-H74)</f>
        <v>9.7100000000000009</v>
      </c>
      <c r="J74" s="95">
        <f>I74*D74</f>
        <v>9.7100000000000009</v>
      </c>
      <c r="K74" s="103"/>
      <c r="L74" s="162"/>
      <c r="M74" s="108"/>
      <c r="N74" s="162"/>
      <c r="O74" s="108"/>
      <c r="P74" s="92"/>
      <c r="Q74" s="92"/>
      <c r="R74" s="108"/>
      <c r="S74" s="146"/>
      <c r="T74" s="108"/>
      <c r="U74" s="92"/>
      <c r="V74" s="103"/>
      <c r="W74" s="108"/>
      <c r="X74" s="92"/>
      <c r="Y74" s="103"/>
      <c r="Z74" s="162"/>
      <c r="AA74" s="108"/>
      <c r="AB74" s="108"/>
      <c r="AC74" s="108">
        <f t="shared" si="148"/>
        <v>9.7100000000000009</v>
      </c>
      <c r="AD74" s="108"/>
      <c r="AE74" s="108"/>
      <c r="AF74" s="108"/>
      <c r="AG74" s="103"/>
      <c r="AH74" s="92"/>
      <c r="AI74" s="108"/>
      <c r="AJ74" s="90"/>
      <c r="AK74" s="90"/>
      <c r="AL74" s="90"/>
      <c r="AM74" s="90"/>
    </row>
    <row r="75" spans="1:39" s="11" customFormat="1" ht="14.4">
      <c r="A75" s="16"/>
      <c r="B75" s="118" t="s">
        <v>102</v>
      </c>
      <c r="C75" s="95"/>
      <c r="D75" s="95"/>
      <c r="E75" s="95"/>
      <c r="F75" s="95"/>
      <c r="G75" s="95"/>
      <c r="H75" s="118"/>
      <c r="I75" s="95"/>
      <c r="J75" s="95"/>
      <c r="K75" s="103"/>
      <c r="L75" s="162"/>
      <c r="M75" s="108"/>
      <c r="N75" s="162"/>
      <c r="O75" s="108"/>
      <c r="P75" s="92"/>
      <c r="Q75" s="92"/>
      <c r="R75" s="108"/>
      <c r="S75" s="146"/>
      <c r="T75" s="108"/>
      <c r="U75" s="108"/>
      <c r="V75" s="103"/>
      <c r="W75" s="108"/>
      <c r="X75" s="92"/>
      <c r="Y75" s="103"/>
      <c r="Z75" s="162"/>
      <c r="AA75" s="108"/>
      <c r="AB75" s="108"/>
      <c r="AC75" s="108"/>
      <c r="AD75" s="108"/>
      <c r="AE75" s="108"/>
      <c r="AF75" s="108"/>
      <c r="AG75" s="103"/>
      <c r="AH75" s="92"/>
      <c r="AI75" s="108"/>
      <c r="AJ75" s="90"/>
      <c r="AK75" s="90"/>
      <c r="AL75" s="90"/>
      <c r="AM75" s="90"/>
    </row>
    <row r="76" spans="1:39" s="11" customFormat="1" ht="14.4">
      <c r="A76" s="16"/>
      <c r="B76" s="118" t="s">
        <v>103</v>
      </c>
      <c r="C76" s="95"/>
      <c r="D76" s="95"/>
      <c r="E76" s="95"/>
      <c r="F76" s="95"/>
      <c r="G76" s="95"/>
      <c r="H76" s="118"/>
      <c r="I76" s="95"/>
      <c r="J76" s="95"/>
      <c r="K76" s="103"/>
      <c r="L76" s="162"/>
      <c r="M76" s="108"/>
      <c r="N76" s="162"/>
      <c r="O76" s="108"/>
      <c r="P76" s="92"/>
      <c r="Q76" s="92"/>
      <c r="R76" s="108"/>
      <c r="S76" s="146"/>
      <c r="T76" s="108"/>
      <c r="U76" s="108"/>
      <c r="V76" s="103"/>
      <c r="W76" s="108"/>
      <c r="X76" s="163"/>
      <c r="Y76" s="103"/>
      <c r="Z76" s="162"/>
      <c r="AA76" s="108"/>
      <c r="AB76" s="108"/>
      <c r="AC76" s="108"/>
      <c r="AD76" s="108"/>
      <c r="AE76" s="108"/>
      <c r="AF76" s="108"/>
      <c r="AG76" s="103"/>
      <c r="AH76" s="92"/>
      <c r="AI76" s="108"/>
      <c r="AJ76" s="90"/>
      <c r="AK76" s="90"/>
      <c r="AL76" s="90"/>
      <c r="AM76" s="90"/>
    </row>
    <row r="77" spans="1:39" s="11" customFormat="1" ht="14.4">
      <c r="A77" s="16"/>
      <c r="B77" s="138" t="s">
        <v>105</v>
      </c>
      <c r="C77" s="95" t="s">
        <v>17</v>
      </c>
      <c r="D77" s="95">
        <v>1</v>
      </c>
      <c r="E77" s="95" t="s">
        <v>57</v>
      </c>
      <c r="F77" s="95" t="s">
        <v>57</v>
      </c>
      <c r="G77" s="95">
        <v>10.23</v>
      </c>
      <c r="H77" s="118"/>
      <c r="I77" s="95">
        <f t="shared" si="0"/>
        <v>10.23</v>
      </c>
      <c r="J77" s="95">
        <f t="shared" si="1"/>
        <v>10.23</v>
      </c>
      <c r="K77" s="85"/>
      <c r="L77" s="95" t="s">
        <v>17</v>
      </c>
      <c r="M77" s="95">
        <v>1</v>
      </c>
      <c r="N77" s="123">
        <v>15.31</v>
      </c>
      <c r="O77" s="123">
        <v>2.7</v>
      </c>
      <c r="P77" s="118"/>
      <c r="Q77" s="118"/>
      <c r="R77" s="95">
        <f t="shared" si="144"/>
        <v>41.337000000000003</v>
      </c>
      <c r="S77" s="87"/>
      <c r="T77" s="95" t="s">
        <v>358</v>
      </c>
      <c r="U77" s="118">
        <f t="shared" ref="U77:U80" si="169">N77*M77</f>
        <v>15.31</v>
      </c>
      <c r="V77" s="85"/>
      <c r="W77" s="108" t="s">
        <v>17</v>
      </c>
      <c r="X77" s="163">
        <f t="shared" ref="X77:X80" si="170">N77*M77</f>
        <v>15.31</v>
      </c>
      <c r="Y77" s="85"/>
      <c r="Z77" s="95" t="s">
        <v>17</v>
      </c>
      <c r="AA77" s="95" t="str">
        <f t="shared" si="146"/>
        <v>cad</v>
      </c>
      <c r="AB77" s="95" t="str">
        <f t="shared" si="147"/>
        <v>cad</v>
      </c>
      <c r="AC77" s="95">
        <f t="shared" si="148"/>
        <v>10.23</v>
      </c>
      <c r="AD77" s="95">
        <f t="shared" si="149"/>
        <v>0</v>
      </c>
      <c r="AE77" s="95">
        <f t="shared" si="150"/>
        <v>10.23</v>
      </c>
      <c r="AF77" s="95">
        <f t="shared" si="151"/>
        <v>10.23</v>
      </c>
      <c r="AG77" s="85"/>
      <c r="AH77" s="118" t="s">
        <v>357</v>
      </c>
      <c r="AI77" s="108">
        <f t="shared" ref="AI77:AI80" si="171">N77*M77</f>
        <v>15.31</v>
      </c>
      <c r="AJ77" s="90"/>
      <c r="AK77" s="90"/>
      <c r="AL77" s="90"/>
      <c r="AM77" s="90"/>
    </row>
    <row r="78" spans="1:39" s="11" customFormat="1" ht="14.4">
      <c r="A78" s="16"/>
      <c r="B78" s="138" t="s">
        <v>106</v>
      </c>
      <c r="C78" s="95" t="s">
        <v>20</v>
      </c>
      <c r="D78" s="95">
        <v>1</v>
      </c>
      <c r="E78" s="95" t="s">
        <v>57</v>
      </c>
      <c r="F78" s="95" t="s">
        <v>57</v>
      </c>
      <c r="G78" s="123">
        <v>43.47</v>
      </c>
      <c r="H78" s="118"/>
      <c r="I78" s="95">
        <f t="shared" ref="I78:I79" si="172">(G78-H78)</f>
        <v>43.47</v>
      </c>
      <c r="J78" s="95">
        <f t="shared" ref="J78:J79" si="173">I78*D78</f>
        <v>43.47</v>
      </c>
      <c r="K78" s="103"/>
      <c r="L78" s="162" t="s">
        <v>24</v>
      </c>
      <c r="M78" s="108">
        <v>1</v>
      </c>
      <c r="N78" s="145">
        <v>27.85</v>
      </c>
      <c r="O78" s="123">
        <v>4.95</v>
      </c>
      <c r="P78" s="92"/>
      <c r="Q78" s="92"/>
      <c r="R78" s="108">
        <f t="shared" si="144"/>
        <v>137.85750000000002</v>
      </c>
      <c r="S78" s="146"/>
      <c r="T78" s="108" t="s">
        <v>357</v>
      </c>
      <c r="U78" s="92">
        <f t="shared" si="169"/>
        <v>27.85</v>
      </c>
      <c r="V78" s="103"/>
      <c r="W78" s="108" t="s">
        <v>20</v>
      </c>
      <c r="X78" s="163">
        <f t="shared" si="170"/>
        <v>27.85</v>
      </c>
      <c r="Y78" s="103"/>
      <c r="Z78" s="162" t="s">
        <v>20</v>
      </c>
      <c r="AA78" s="108" t="str">
        <f t="shared" si="146"/>
        <v>cad</v>
      </c>
      <c r="AB78" s="108" t="str">
        <f t="shared" si="147"/>
        <v>cad</v>
      </c>
      <c r="AC78" s="108">
        <f t="shared" si="148"/>
        <v>43.47</v>
      </c>
      <c r="AD78" s="108">
        <f t="shared" si="149"/>
        <v>0</v>
      </c>
      <c r="AE78" s="108">
        <f t="shared" si="150"/>
        <v>43.47</v>
      </c>
      <c r="AF78" s="108">
        <f t="shared" si="151"/>
        <v>43.47</v>
      </c>
      <c r="AG78" s="103"/>
      <c r="AH78" s="92"/>
      <c r="AI78" s="108"/>
      <c r="AJ78" s="90"/>
      <c r="AK78" s="90"/>
      <c r="AL78" s="90"/>
      <c r="AM78" s="90"/>
    </row>
    <row r="79" spans="1:39" s="11" customFormat="1" ht="14.4">
      <c r="A79" s="16"/>
      <c r="B79" s="201" t="s">
        <v>637</v>
      </c>
      <c r="C79" s="95" t="s">
        <v>17</v>
      </c>
      <c r="D79" s="95">
        <v>1</v>
      </c>
      <c r="E79" s="95" t="s">
        <v>57</v>
      </c>
      <c r="F79" s="95" t="s">
        <v>57</v>
      </c>
      <c r="G79" s="168">
        <v>29.44</v>
      </c>
      <c r="H79" s="118"/>
      <c r="I79" s="95">
        <f t="shared" si="172"/>
        <v>29.44</v>
      </c>
      <c r="J79" s="95">
        <f t="shared" si="173"/>
        <v>29.44</v>
      </c>
      <c r="K79" s="103"/>
      <c r="L79" s="162" t="s">
        <v>17</v>
      </c>
      <c r="M79" s="108">
        <v>1</v>
      </c>
      <c r="N79" s="169">
        <v>29.92</v>
      </c>
      <c r="O79" s="168">
        <v>2.7</v>
      </c>
      <c r="P79" s="92"/>
      <c r="Q79" s="92"/>
      <c r="R79" s="108">
        <f t="shared" si="144"/>
        <v>80.784000000000006</v>
      </c>
      <c r="S79" s="146"/>
      <c r="T79" s="108"/>
      <c r="U79" s="92"/>
      <c r="V79" s="103"/>
      <c r="W79" s="108" t="s">
        <v>17</v>
      </c>
      <c r="X79" s="163">
        <f t="shared" si="170"/>
        <v>29.92</v>
      </c>
      <c r="Y79" s="103"/>
      <c r="Z79" s="162" t="s">
        <v>17</v>
      </c>
      <c r="AA79" s="108"/>
      <c r="AB79" s="108"/>
      <c r="AC79" s="108">
        <f t="shared" si="148"/>
        <v>29.44</v>
      </c>
      <c r="AD79" s="108"/>
      <c r="AE79" s="108">
        <f t="shared" ref="AE79" si="174">I79</f>
        <v>29.44</v>
      </c>
      <c r="AF79" s="108">
        <f t="shared" ref="AF79" si="175">J79</f>
        <v>29.44</v>
      </c>
      <c r="AG79" s="103"/>
      <c r="AH79" s="92" t="s">
        <v>17</v>
      </c>
      <c r="AI79" s="108">
        <f t="shared" si="171"/>
        <v>29.92</v>
      </c>
      <c r="AJ79" s="90"/>
      <c r="AK79" s="90"/>
      <c r="AL79" s="90"/>
      <c r="AM79" s="90"/>
    </row>
    <row r="80" spans="1:39" s="11" customFormat="1" ht="14.4">
      <c r="A80" s="16"/>
      <c r="B80" s="138" t="s">
        <v>334</v>
      </c>
      <c r="C80" s="95" t="s">
        <v>29</v>
      </c>
      <c r="D80" s="95">
        <v>1</v>
      </c>
      <c r="E80" s="95" t="s">
        <v>57</v>
      </c>
      <c r="F80" s="95" t="s">
        <v>57</v>
      </c>
      <c r="G80" s="123">
        <v>2.5099999999999998</v>
      </c>
      <c r="H80" s="118"/>
      <c r="I80" s="95">
        <f t="shared" si="0"/>
        <v>2.5099999999999998</v>
      </c>
      <c r="J80" s="95">
        <f t="shared" si="1"/>
        <v>2.5099999999999998</v>
      </c>
      <c r="K80" s="103"/>
      <c r="L80" s="162" t="s">
        <v>19</v>
      </c>
      <c r="M80" s="108">
        <v>1</v>
      </c>
      <c r="N80" s="145">
        <v>6.59</v>
      </c>
      <c r="O80" s="123">
        <v>2.7</v>
      </c>
      <c r="P80" s="92"/>
      <c r="Q80" s="92"/>
      <c r="R80" s="108">
        <f t="shared" si="144"/>
        <v>17.792999999999999</v>
      </c>
      <c r="S80" s="146"/>
      <c r="T80" s="108" t="s">
        <v>358</v>
      </c>
      <c r="U80" s="92">
        <f t="shared" si="169"/>
        <v>6.59</v>
      </c>
      <c r="V80" s="103"/>
      <c r="W80" s="108" t="s">
        <v>19</v>
      </c>
      <c r="X80" s="163">
        <f t="shared" si="170"/>
        <v>6.59</v>
      </c>
      <c r="Y80" s="103"/>
      <c r="Z80" s="162" t="s">
        <v>17</v>
      </c>
      <c r="AA80" s="108" t="str">
        <f t="shared" si="146"/>
        <v>cad</v>
      </c>
      <c r="AB80" s="108" t="str">
        <f t="shared" si="147"/>
        <v>cad</v>
      </c>
      <c r="AC80" s="108">
        <f t="shared" si="148"/>
        <v>2.5099999999999998</v>
      </c>
      <c r="AD80" s="108">
        <f t="shared" si="149"/>
        <v>0</v>
      </c>
      <c r="AE80" s="108">
        <f t="shared" si="150"/>
        <v>2.5099999999999998</v>
      </c>
      <c r="AF80" s="108">
        <f t="shared" si="151"/>
        <v>2.5099999999999998</v>
      </c>
      <c r="AG80" s="103"/>
      <c r="AH80" s="92" t="s">
        <v>357</v>
      </c>
      <c r="AI80" s="108">
        <f t="shared" si="171"/>
        <v>6.59</v>
      </c>
      <c r="AJ80" s="90"/>
      <c r="AK80" s="90"/>
      <c r="AL80" s="90"/>
      <c r="AM80" s="90"/>
    </row>
    <row r="81" spans="2:39" ht="15.75" customHeight="1">
      <c r="B81" s="85"/>
      <c r="C81" s="85"/>
      <c r="D81" s="85"/>
      <c r="E81" s="85"/>
      <c r="F81" s="85"/>
      <c r="G81" s="87"/>
      <c r="H81" s="85"/>
      <c r="I81" s="85"/>
      <c r="J81" s="189">
        <f>SUM(J12:J80)</f>
        <v>1191.3300000000002</v>
      </c>
      <c r="K81" s="85"/>
      <c r="L81" s="85"/>
      <c r="M81" s="87"/>
      <c r="N81" s="189">
        <f>SUM(N14:N80)</f>
        <v>1078.1499999999999</v>
      </c>
      <c r="O81" s="87"/>
      <c r="P81" s="87"/>
      <c r="Q81" s="85"/>
      <c r="R81" s="189">
        <f>SUM(R12:R80)</f>
        <v>3153.6645000000008</v>
      </c>
      <c r="S81" s="155"/>
      <c r="T81" s="155"/>
      <c r="U81" s="189">
        <f>SUM(U12:U80)</f>
        <v>416.06999999999994</v>
      </c>
      <c r="V81" s="85"/>
      <c r="W81" s="87"/>
      <c r="X81" s="268">
        <f>SUM(X12:X80)</f>
        <v>1022.63</v>
      </c>
      <c r="Y81" s="85"/>
      <c r="Z81" s="85"/>
      <c r="AA81" s="85"/>
      <c r="AB81" s="85"/>
      <c r="AC81" s="85"/>
      <c r="AD81" s="85"/>
      <c r="AE81" s="85"/>
      <c r="AF81" s="189">
        <f>SUM(AF12:AF80)</f>
        <v>1214.1200000000001</v>
      </c>
      <c r="AG81" s="85"/>
      <c r="AH81" s="85"/>
      <c r="AI81" s="189">
        <f>SUM(AI14,AI16,AI21:AI28,AI29,AI31,AI34:AI42,AI50:AI51,AI52:AI60,AI72,AI77,AI79,AI80)</f>
        <v>612.65</v>
      </c>
      <c r="AJ81" s="83"/>
      <c r="AK81" s="83"/>
      <c r="AL81" s="83"/>
      <c r="AM81" s="83"/>
    </row>
    <row r="82" spans="2:39" ht="15.75" customHeight="1">
      <c r="B82" s="227" t="s">
        <v>5</v>
      </c>
      <c r="C82" s="187"/>
      <c r="D82" s="83"/>
      <c r="E82" s="83"/>
      <c r="F82" s="83"/>
      <c r="G82" s="83"/>
      <c r="H82" s="83"/>
      <c r="I82" s="83"/>
      <c r="J82" s="170"/>
      <c r="K82" s="83"/>
      <c r="L82" s="80"/>
      <c r="M82" s="170"/>
      <c r="N82" s="170"/>
      <c r="O82" s="170"/>
      <c r="P82" s="170"/>
      <c r="Q82" s="83"/>
      <c r="R82" s="83"/>
      <c r="S82" s="83"/>
      <c r="T82" s="83"/>
      <c r="U82" s="226"/>
      <c r="V82" s="83"/>
      <c r="W82" s="87"/>
      <c r="X82" s="269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</row>
    <row r="83" spans="2:39" ht="15.75" customHeight="1">
      <c r="B83" s="227"/>
      <c r="C83" s="187"/>
      <c r="D83" s="83"/>
      <c r="E83" s="83"/>
      <c r="F83" s="83"/>
      <c r="G83" s="83"/>
      <c r="H83" s="83"/>
      <c r="I83" s="83"/>
      <c r="J83" s="170"/>
      <c r="K83" s="83"/>
      <c r="L83" s="83"/>
      <c r="M83" s="170"/>
      <c r="N83" s="170"/>
      <c r="O83" s="170"/>
      <c r="P83" s="170"/>
      <c r="Q83" s="83"/>
      <c r="R83" s="83"/>
      <c r="S83" s="83"/>
      <c r="T83" s="83"/>
      <c r="U83" s="83"/>
      <c r="V83" s="83"/>
      <c r="W83" s="87"/>
      <c r="X83" s="269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</row>
    <row r="84" spans="2:39" ht="15.75" customHeight="1">
      <c r="B84" s="227" t="s">
        <v>3</v>
      </c>
      <c r="C84" s="187"/>
      <c r="D84" s="83"/>
      <c r="E84" s="83"/>
      <c r="F84" s="83"/>
      <c r="G84" s="83"/>
      <c r="H84" s="83"/>
      <c r="I84" s="83"/>
      <c r="J84" s="170"/>
      <c r="K84" s="83"/>
      <c r="L84" s="83"/>
      <c r="M84" s="227" t="s">
        <v>2</v>
      </c>
      <c r="N84" s="187"/>
      <c r="O84" s="170"/>
      <c r="P84" s="170"/>
      <c r="Q84" s="83"/>
      <c r="R84" s="83"/>
      <c r="S84" s="83"/>
      <c r="T84" s="83"/>
      <c r="U84" s="83"/>
      <c r="V84" s="83"/>
      <c r="W84" s="87"/>
      <c r="X84" s="269"/>
      <c r="Y84" s="83"/>
      <c r="Z84" s="83"/>
      <c r="AA84" s="83"/>
      <c r="AB84" s="83"/>
      <c r="AC84" s="227" t="s">
        <v>4</v>
      </c>
      <c r="AD84" s="187"/>
      <c r="AE84" s="83"/>
      <c r="AF84" s="83"/>
      <c r="AG84" s="83"/>
      <c r="AH84" s="227" t="s">
        <v>34</v>
      </c>
      <c r="AI84" s="80"/>
      <c r="AJ84" s="80"/>
      <c r="AK84" s="80"/>
      <c r="AL84" s="188"/>
      <c r="AM84" s="83"/>
    </row>
    <row r="85" spans="2:39" ht="15.75" customHeight="1">
      <c r="B85" s="162" t="s">
        <v>17</v>
      </c>
      <c r="C85" s="218">
        <f>SUMIF(C$12:C$80,B85,J$12:J$80)</f>
        <v>160.91</v>
      </c>
      <c r="D85" s="83"/>
      <c r="E85" s="83"/>
      <c r="F85" s="83"/>
      <c r="G85" s="83"/>
      <c r="H85" s="83"/>
      <c r="I85" s="83"/>
      <c r="J85" s="170"/>
      <c r="K85" s="83"/>
      <c r="L85" s="83"/>
      <c r="M85" s="162" t="s">
        <v>17</v>
      </c>
      <c r="N85" s="219">
        <f>SUMIF(L$12:L$80,M85,R$12:R$80)</f>
        <v>463.642</v>
      </c>
      <c r="O85" s="170"/>
      <c r="P85" s="170"/>
      <c r="Q85" s="83"/>
      <c r="R85" s="83"/>
      <c r="S85" s="83"/>
      <c r="T85" s="83"/>
      <c r="U85" s="83"/>
      <c r="V85" s="83"/>
      <c r="W85" s="87"/>
      <c r="X85" s="269"/>
      <c r="Y85" s="83"/>
      <c r="Z85" s="83"/>
      <c r="AA85" s="83"/>
      <c r="AB85" s="83"/>
      <c r="AC85" s="228" t="s">
        <v>17</v>
      </c>
      <c r="AD85" s="221">
        <f>SUMIF(Z$12:Z$80,AC85,AF$12:AF$80)</f>
        <v>421.28000000000003</v>
      </c>
      <c r="AE85" s="83"/>
      <c r="AF85" s="83"/>
      <c r="AG85" s="83"/>
      <c r="AH85" s="118" t="s">
        <v>39</v>
      </c>
      <c r="AI85" s="324" t="s">
        <v>364</v>
      </c>
      <c r="AJ85" s="324"/>
      <c r="AK85" s="324"/>
      <c r="AL85" s="118" t="s">
        <v>365</v>
      </c>
      <c r="AM85" s="83"/>
    </row>
    <row r="86" spans="2:39" ht="15.75" customHeight="1">
      <c r="B86" s="162" t="s">
        <v>18</v>
      </c>
      <c r="C86" s="218">
        <f t="shared" ref="C86:C100" si="176">SUMIF(C$12:C$80,B86,J$12:J$80)</f>
        <v>0</v>
      </c>
      <c r="D86" s="83"/>
      <c r="E86" s="83"/>
      <c r="F86" s="83"/>
      <c r="G86" s="83"/>
      <c r="H86" s="83"/>
      <c r="I86" s="83"/>
      <c r="J86" s="170"/>
      <c r="K86" s="83"/>
      <c r="L86" s="83"/>
      <c r="M86" s="162" t="s">
        <v>18</v>
      </c>
      <c r="N86" s="219">
        <f>SUMIF(L$12:L$80,M86,R$12:R$80)</f>
        <v>232.173</v>
      </c>
      <c r="O86" s="170"/>
      <c r="P86" s="170"/>
      <c r="Q86" s="83"/>
      <c r="R86" s="83"/>
      <c r="S86" s="83"/>
      <c r="T86" s="83"/>
      <c r="U86" s="83"/>
      <c r="V86" s="83"/>
      <c r="W86" s="87"/>
      <c r="X86" s="269"/>
      <c r="Y86" s="83"/>
      <c r="Z86" s="83"/>
      <c r="AA86" s="83"/>
      <c r="AB86" s="83"/>
      <c r="AC86" s="228" t="s">
        <v>18</v>
      </c>
      <c r="AD86" s="221">
        <f t="shared" ref="AD86:AD95" si="177">SUMIF(Z$12:Z$80,AC86,AF$12:AF$80)</f>
        <v>89.460000000000008</v>
      </c>
      <c r="AE86" s="83"/>
      <c r="AF86" s="83"/>
      <c r="AG86" s="83"/>
      <c r="AH86" s="118" t="s">
        <v>357</v>
      </c>
      <c r="AI86" s="323" t="s">
        <v>363</v>
      </c>
      <c r="AJ86" s="323"/>
      <c r="AK86" s="323"/>
      <c r="AL86" s="95">
        <f>AI81</f>
        <v>612.65</v>
      </c>
      <c r="AM86" s="83"/>
    </row>
    <row r="87" spans="2:39" ht="15.75" customHeight="1">
      <c r="B87" s="162" t="s">
        <v>19</v>
      </c>
      <c r="C87" s="218">
        <f t="shared" si="176"/>
        <v>0</v>
      </c>
      <c r="D87" s="83"/>
      <c r="E87" s="83"/>
      <c r="F87" s="83"/>
      <c r="G87" s="83"/>
      <c r="H87" s="83"/>
      <c r="I87" s="83"/>
      <c r="J87" s="170"/>
      <c r="K87" s="83"/>
      <c r="L87" s="83"/>
      <c r="M87" s="162" t="s">
        <v>19</v>
      </c>
      <c r="N87" s="219">
        <f t="shared" ref="N87:N89" si="178">SUMIF(L$12:L$80,M87,R$12:R$80)</f>
        <v>1435.9459999999997</v>
      </c>
      <c r="O87" s="170"/>
      <c r="P87" s="170"/>
      <c r="Q87" s="83"/>
      <c r="R87" s="83"/>
      <c r="S87" s="83"/>
      <c r="T87" s="83"/>
      <c r="U87" s="83"/>
      <c r="V87" s="83"/>
      <c r="W87" s="87"/>
      <c r="X87" s="269"/>
      <c r="Y87" s="83"/>
      <c r="Z87" s="83"/>
      <c r="AA87" s="83"/>
      <c r="AB87" s="83"/>
      <c r="AC87" s="228" t="s">
        <v>19</v>
      </c>
      <c r="AD87" s="221">
        <f t="shared" si="177"/>
        <v>42.21</v>
      </c>
      <c r="AE87" s="83"/>
      <c r="AF87" s="83"/>
      <c r="AG87" s="83"/>
      <c r="AH87" s="83"/>
      <c r="AI87" s="83"/>
      <c r="AJ87" s="83"/>
      <c r="AK87" s="83"/>
      <c r="AL87" s="83"/>
      <c r="AM87" s="83"/>
    </row>
    <row r="88" spans="2:39" ht="15.75" customHeight="1">
      <c r="B88" s="162" t="s">
        <v>20</v>
      </c>
      <c r="C88" s="218">
        <f t="shared" si="176"/>
        <v>135</v>
      </c>
      <c r="D88" s="83"/>
      <c r="E88" s="83"/>
      <c r="F88" s="83"/>
      <c r="G88" s="83"/>
      <c r="H88" s="83"/>
      <c r="I88" s="83"/>
      <c r="J88" s="170"/>
      <c r="K88" s="83"/>
      <c r="L88" s="83"/>
      <c r="M88" s="162" t="s">
        <v>20</v>
      </c>
      <c r="N88" s="219">
        <f t="shared" si="178"/>
        <v>124.524</v>
      </c>
      <c r="O88" s="170"/>
      <c r="P88" s="170"/>
      <c r="Q88" s="83"/>
      <c r="R88" s="83"/>
      <c r="S88" s="83"/>
      <c r="T88" s="83"/>
      <c r="U88" s="83"/>
      <c r="V88" s="83"/>
      <c r="W88" s="87"/>
      <c r="X88" s="269"/>
      <c r="Y88" s="83"/>
      <c r="Z88" s="83"/>
      <c r="AA88" s="83"/>
      <c r="AB88" s="83"/>
      <c r="AC88" s="162" t="s">
        <v>20</v>
      </c>
      <c r="AD88" s="221">
        <f t="shared" si="177"/>
        <v>125.28999999999999</v>
      </c>
      <c r="AE88" s="83"/>
      <c r="AF88" s="83"/>
      <c r="AG88" s="83"/>
      <c r="AH88" s="83"/>
      <c r="AI88" s="83"/>
      <c r="AJ88" s="83"/>
      <c r="AK88" s="83"/>
      <c r="AL88" s="83"/>
      <c r="AM88" s="83"/>
    </row>
    <row r="89" spans="2:39" ht="15.75" customHeight="1">
      <c r="B89" s="162" t="s">
        <v>21</v>
      </c>
      <c r="C89" s="218">
        <f t="shared" si="176"/>
        <v>141.70999999999998</v>
      </c>
      <c r="D89" s="83"/>
      <c r="E89" s="83"/>
      <c r="F89" s="83"/>
      <c r="G89" s="83"/>
      <c r="H89" s="83"/>
      <c r="I89" s="83"/>
      <c r="J89" s="170"/>
      <c r="K89" s="83"/>
      <c r="L89" s="83"/>
      <c r="M89" s="162" t="s">
        <v>21</v>
      </c>
      <c r="N89" s="219">
        <f t="shared" si="178"/>
        <v>495.09300000000002</v>
      </c>
      <c r="O89" s="170"/>
      <c r="P89" s="170"/>
      <c r="Q89" s="83"/>
      <c r="R89" s="83"/>
      <c r="S89" s="83"/>
      <c r="T89" s="83"/>
      <c r="U89" s="83"/>
      <c r="V89" s="83"/>
      <c r="W89" s="87"/>
      <c r="X89" s="269"/>
      <c r="Y89" s="83"/>
      <c r="Z89" s="83"/>
      <c r="AA89" s="83"/>
      <c r="AB89" s="83"/>
      <c r="AC89" s="162" t="s">
        <v>21</v>
      </c>
      <c r="AD89" s="221">
        <f t="shared" si="177"/>
        <v>0</v>
      </c>
      <c r="AE89" s="83"/>
      <c r="AF89" s="83"/>
      <c r="AG89" s="83"/>
      <c r="AH89" s="83"/>
      <c r="AI89" s="83"/>
      <c r="AJ89" s="83"/>
      <c r="AK89" s="83"/>
      <c r="AL89" s="83"/>
      <c r="AM89" s="83"/>
    </row>
    <row r="90" spans="2:39" ht="15.75" customHeight="1">
      <c r="B90" s="162" t="s">
        <v>22</v>
      </c>
      <c r="C90" s="218">
        <f t="shared" si="176"/>
        <v>95.16</v>
      </c>
      <c r="D90" s="83"/>
      <c r="E90" s="83"/>
      <c r="F90" s="83"/>
      <c r="G90" s="83"/>
      <c r="H90" s="83"/>
      <c r="I90" s="83"/>
      <c r="J90" s="170"/>
      <c r="K90" s="83"/>
      <c r="L90" s="83"/>
      <c r="M90" s="162" t="s">
        <v>22</v>
      </c>
      <c r="N90" s="219">
        <f>SUMIF(L$12:L$80,M90,R$12:R$80)</f>
        <v>0</v>
      </c>
      <c r="O90" s="170"/>
      <c r="P90" s="170"/>
      <c r="Q90" s="83"/>
      <c r="R90" s="83"/>
      <c r="S90" s="83"/>
      <c r="T90" s="83"/>
      <c r="U90" s="83"/>
      <c r="V90" s="83"/>
      <c r="W90" s="87"/>
      <c r="X90" s="269"/>
      <c r="Y90" s="83"/>
      <c r="Z90" s="83"/>
      <c r="AA90" s="83"/>
      <c r="AB90" s="83"/>
      <c r="AC90" s="162" t="s">
        <v>22</v>
      </c>
      <c r="AD90" s="221">
        <f t="shared" si="177"/>
        <v>0</v>
      </c>
      <c r="AE90" s="83"/>
      <c r="AF90" s="83"/>
      <c r="AG90" s="83"/>
      <c r="AH90" s="83"/>
      <c r="AI90" s="83"/>
      <c r="AJ90" s="83"/>
      <c r="AK90" s="83"/>
      <c r="AL90" s="83"/>
      <c r="AM90" s="83"/>
    </row>
    <row r="91" spans="2:39" ht="15.75" customHeight="1">
      <c r="B91" s="162" t="s">
        <v>23</v>
      </c>
      <c r="C91" s="218">
        <f t="shared" si="176"/>
        <v>0</v>
      </c>
      <c r="D91" s="83"/>
      <c r="E91" s="83"/>
      <c r="F91" s="83"/>
      <c r="G91" s="83"/>
      <c r="H91" s="83"/>
      <c r="I91" s="83"/>
      <c r="J91" s="170"/>
      <c r="K91" s="83"/>
      <c r="L91" s="83"/>
      <c r="M91" s="162" t="s">
        <v>23</v>
      </c>
      <c r="N91" s="219">
        <f>SUMIF(L$12:L$80,M91,R$12:R$80)</f>
        <v>0</v>
      </c>
      <c r="O91" s="170"/>
      <c r="P91" s="170"/>
      <c r="Q91" s="83"/>
      <c r="R91" s="83"/>
      <c r="S91" s="83"/>
      <c r="T91" s="83"/>
      <c r="U91" s="83"/>
      <c r="V91" s="83"/>
      <c r="W91" s="87"/>
      <c r="X91" s="269"/>
      <c r="Y91" s="83"/>
      <c r="Z91" s="83"/>
      <c r="AA91" s="83"/>
      <c r="AB91" s="83"/>
      <c r="AC91" s="162" t="s">
        <v>23</v>
      </c>
      <c r="AD91" s="221">
        <f t="shared" si="177"/>
        <v>0</v>
      </c>
      <c r="AE91" s="83"/>
      <c r="AF91" s="83"/>
      <c r="AG91" s="83"/>
      <c r="AH91" s="83"/>
      <c r="AI91" s="83"/>
      <c r="AJ91" s="83"/>
      <c r="AK91" s="83"/>
      <c r="AL91" s="83"/>
      <c r="AM91" s="83"/>
    </row>
    <row r="92" spans="2:39" ht="15.75" customHeight="1">
      <c r="B92" s="162" t="s">
        <v>24</v>
      </c>
      <c r="C92" s="218">
        <f t="shared" si="176"/>
        <v>9.7100000000000009</v>
      </c>
      <c r="D92" s="83"/>
      <c r="E92" s="83"/>
      <c r="F92" s="83"/>
      <c r="G92" s="83"/>
      <c r="H92" s="83"/>
      <c r="I92" s="83"/>
      <c r="J92" s="170"/>
      <c r="K92" s="83"/>
      <c r="L92" s="83"/>
      <c r="M92" s="162" t="s">
        <v>24</v>
      </c>
      <c r="N92" s="219">
        <f t="shared" ref="N92:N106" si="179">SUMIF(L$12:L$80,M92,R$12:R$80)</f>
        <v>402.28650000000005</v>
      </c>
      <c r="O92" s="170"/>
      <c r="P92" s="170"/>
      <c r="Q92" s="83"/>
      <c r="R92" s="83"/>
      <c r="S92" s="83"/>
      <c r="T92" s="83"/>
      <c r="U92" s="83"/>
      <c r="V92" s="83"/>
      <c r="W92" s="87"/>
      <c r="X92" s="269"/>
      <c r="Y92" s="83"/>
      <c r="Z92" s="83"/>
      <c r="AA92" s="83"/>
      <c r="AB92" s="83"/>
      <c r="AC92" s="162" t="s">
        <v>24</v>
      </c>
      <c r="AD92" s="221">
        <f t="shared" si="177"/>
        <v>266.38</v>
      </c>
      <c r="AE92" s="83"/>
      <c r="AF92" s="83"/>
      <c r="AG92" s="83"/>
      <c r="AH92" s="83"/>
      <c r="AI92" s="83"/>
      <c r="AJ92" s="83"/>
      <c r="AK92" s="83"/>
      <c r="AL92" s="83"/>
      <c r="AM92" s="83"/>
    </row>
    <row r="93" spans="2:39" ht="15.75" customHeight="1">
      <c r="B93" s="162" t="s">
        <v>25</v>
      </c>
      <c r="C93" s="218">
        <f t="shared" si="176"/>
        <v>0</v>
      </c>
      <c r="D93" s="83"/>
      <c r="E93" s="83"/>
      <c r="F93" s="83"/>
      <c r="G93" s="83"/>
      <c r="H93" s="83"/>
      <c r="I93" s="83"/>
      <c r="J93" s="170"/>
      <c r="K93" s="83"/>
      <c r="L93" s="83"/>
      <c r="M93" s="162" t="s">
        <v>25</v>
      </c>
      <c r="N93" s="219">
        <f t="shared" si="179"/>
        <v>0</v>
      </c>
      <c r="O93" s="170"/>
      <c r="P93" s="170"/>
      <c r="Q93" s="83"/>
      <c r="R93" s="83"/>
      <c r="S93" s="83"/>
      <c r="T93" s="83"/>
      <c r="U93" s="83"/>
      <c r="V93" s="83"/>
      <c r="W93" s="87"/>
      <c r="X93" s="87"/>
      <c r="Y93" s="83"/>
      <c r="Z93" s="83"/>
      <c r="AA93" s="83"/>
      <c r="AB93" s="83"/>
      <c r="AC93" s="162" t="s">
        <v>25</v>
      </c>
      <c r="AD93" s="221">
        <f t="shared" si="177"/>
        <v>0</v>
      </c>
      <c r="AE93" s="83"/>
      <c r="AF93" s="83"/>
      <c r="AG93" s="83"/>
      <c r="AH93" s="83"/>
      <c r="AI93" s="83"/>
      <c r="AJ93" s="83"/>
      <c r="AK93" s="83"/>
      <c r="AL93" s="83"/>
      <c r="AM93" s="83"/>
    </row>
    <row r="94" spans="2:39" ht="15.75" customHeight="1">
      <c r="B94" s="162" t="s">
        <v>26</v>
      </c>
      <c r="C94" s="218">
        <f t="shared" si="176"/>
        <v>0</v>
      </c>
      <c r="D94" s="83"/>
      <c r="E94" s="83"/>
      <c r="F94" s="83"/>
      <c r="G94" s="83"/>
      <c r="H94" s="83"/>
      <c r="I94" s="83"/>
      <c r="J94" s="170"/>
      <c r="K94" s="83"/>
      <c r="L94" s="83"/>
      <c r="M94" s="162" t="s">
        <v>26</v>
      </c>
      <c r="N94" s="219">
        <f t="shared" si="179"/>
        <v>0</v>
      </c>
      <c r="O94" s="170"/>
      <c r="P94" s="170"/>
      <c r="Q94" s="83"/>
      <c r="R94" s="83"/>
      <c r="S94" s="83"/>
      <c r="T94" s="83"/>
      <c r="U94" s="83"/>
      <c r="V94" s="83"/>
      <c r="W94" s="87"/>
      <c r="X94" s="87"/>
      <c r="Y94" s="83"/>
      <c r="Z94" s="83"/>
      <c r="AA94" s="83"/>
      <c r="AB94" s="83"/>
      <c r="AC94" s="162" t="s">
        <v>26</v>
      </c>
      <c r="AD94" s="221">
        <f t="shared" si="177"/>
        <v>0</v>
      </c>
      <c r="AE94" s="83"/>
      <c r="AF94" s="83"/>
      <c r="AG94" s="83"/>
      <c r="AH94" s="83"/>
      <c r="AI94" s="83"/>
      <c r="AJ94" s="83"/>
      <c r="AK94" s="83"/>
      <c r="AL94" s="83"/>
      <c r="AM94" s="83"/>
    </row>
    <row r="95" spans="2:39" ht="15.75" customHeight="1">
      <c r="B95" s="162" t="s">
        <v>27</v>
      </c>
      <c r="C95" s="218">
        <f t="shared" si="176"/>
        <v>269.32</v>
      </c>
      <c r="D95" s="83"/>
      <c r="E95" s="83"/>
      <c r="F95" s="83"/>
      <c r="G95" s="83"/>
      <c r="H95" s="83"/>
      <c r="I95" s="83"/>
      <c r="J95" s="170"/>
      <c r="K95" s="83"/>
      <c r="L95" s="83"/>
      <c r="M95" s="162" t="s">
        <v>27</v>
      </c>
      <c r="N95" s="219">
        <f t="shared" si="179"/>
        <v>0</v>
      </c>
      <c r="O95" s="170"/>
      <c r="P95" s="170"/>
      <c r="Q95" s="83"/>
      <c r="R95" s="83"/>
      <c r="S95" s="83"/>
      <c r="T95" s="83"/>
      <c r="U95" s="83"/>
      <c r="V95" s="83"/>
      <c r="W95" s="87"/>
      <c r="X95" s="269"/>
      <c r="Y95" s="83"/>
      <c r="Z95" s="83"/>
      <c r="AA95" s="83"/>
      <c r="AB95" s="83"/>
      <c r="AC95" s="162" t="s">
        <v>27</v>
      </c>
      <c r="AD95" s="221">
        <f t="shared" si="177"/>
        <v>269.5</v>
      </c>
      <c r="AE95" s="83"/>
      <c r="AF95" s="83"/>
      <c r="AG95" s="83"/>
      <c r="AH95" s="83"/>
      <c r="AI95" s="83"/>
      <c r="AJ95" s="83"/>
      <c r="AK95" s="83"/>
      <c r="AL95" s="83"/>
      <c r="AM95" s="83"/>
    </row>
    <row r="96" spans="2:39" ht="15.75" customHeight="1">
      <c r="B96" s="162" t="s">
        <v>337</v>
      </c>
      <c r="C96" s="218">
        <f t="shared" si="176"/>
        <v>0</v>
      </c>
      <c r="D96" s="170"/>
      <c r="E96" s="83"/>
      <c r="F96" s="83"/>
      <c r="G96" s="83"/>
      <c r="H96" s="83"/>
      <c r="I96" s="83"/>
      <c r="J96" s="170"/>
      <c r="K96" s="83"/>
      <c r="L96" s="83"/>
      <c r="M96" s="162" t="s">
        <v>337</v>
      </c>
      <c r="N96" s="219">
        <f t="shared" si="179"/>
        <v>0</v>
      </c>
      <c r="O96" s="170"/>
      <c r="P96" s="170"/>
      <c r="Q96" s="83"/>
      <c r="R96" s="83"/>
      <c r="S96" s="83"/>
      <c r="T96" s="83"/>
      <c r="U96" s="83"/>
      <c r="V96" s="83"/>
      <c r="W96" s="87"/>
      <c r="X96" s="269"/>
      <c r="Y96" s="83"/>
      <c r="Z96" s="83"/>
      <c r="AA96" s="83"/>
      <c r="AB96" s="83"/>
      <c r="AC96" s="85"/>
      <c r="AD96" s="189">
        <f>SUM(AD85:AD95)</f>
        <v>1214.1199999999999</v>
      </c>
      <c r="AE96" s="83"/>
      <c r="AF96" s="83"/>
      <c r="AG96" s="83"/>
      <c r="AH96" s="83"/>
      <c r="AI96" s="83"/>
      <c r="AJ96" s="83"/>
      <c r="AK96" s="83"/>
      <c r="AL96" s="83"/>
      <c r="AM96" s="83"/>
    </row>
    <row r="97" spans="2:39" ht="15.75" customHeight="1">
      <c r="B97" s="162" t="s">
        <v>338</v>
      </c>
      <c r="C97" s="218">
        <f t="shared" si="176"/>
        <v>0</v>
      </c>
      <c r="D97" s="170"/>
      <c r="E97" s="83"/>
      <c r="F97" s="83"/>
      <c r="G97" s="83"/>
      <c r="H97" s="83"/>
      <c r="I97" s="83"/>
      <c r="J97" s="170"/>
      <c r="K97" s="83"/>
      <c r="L97" s="83"/>
      <c r="M97" s="162" t="s">
        <v>338</v>
      </c>
      <c r="N97" s="219">
        <f t="shared" si="179"/>
        <v>0</v>
      </c>
      <c r="O97" s="170"/>
      <c r="P97" s="170"/>
      <c r="Q97" s="83"/>
      <c r="R97" s="83"/>
      <c r="S97" s="83"/>
      <c r="T97" s="83"/>
      <c r="U97" s="83"/>
      <c r="V97" s="83"/>
      <c r="W97" s="87"/>
      <c r="X97" s="85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</row>
    <row r="98" spans="2:39" ht="15.75" customHeight="1">
      <c r="B98" s="162" t="s">
        <v>339</v>
      </c>
      <c r="C98" s="218">
        <f t="shared" si="176"/>
        <v>0</v>
      </c>
      <c r="D98" s="83"/>
      <c r="E98" s="83"/>
      <c r="F98" s="83"/>
      <c r="G98" s="83"/>
      <c r="H98" s="83"/>
      <c r="I98" s="83"/>
      <c r="J98" s="170"/>
      <c r="K98" s="83"/>
      <c r="L98" s="83"/>
      <c r="M98" s="162" t="s">
        <v>339</v>
      </c>
      <c r="N98" s="219">
        <f t="shared" si="179"/>
        <v>0</v>
      </c>
      <c r="O98" s="170"/>
      <c r="P98" s="170"/>
      <c r="Q98" s="83"/>
      <c r="R98" s="83"/>
      <c r="S98" s="83"/>
      <c r="T98" s="83"/>
      <c r="U98" s="83"/>
      <c r="V98" s="83"/>
      <c r="W98" s="87"/>
      <c r="X98" s="85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</row>
    <row r="99" spans="2:39" ht="15.75" customHeight="1">
      <c r="B99" s="162" t="s">
        <v>28</v>
      </c>
      <c r="C99" s="218">
        <f t="shared" si="176"/>
        <v>0</v>
      </c>
      <c r="D99" s="83"/>
      <c r="E99" s="83"/>
      <c r="F99" s="83"/>
      <c r="G99" s="83"/>
      <c r="H99" s="83"/>
      <c r="I99" s="83"/>
      <c r="J99" s="170"/>
      <c r="K99" s="83"/>
      <c r="L99" s="83"/>
      <c r="M99" s="162" t="s">
        <v>28</v>
      </c>
      <c r="N99" s="219">
        <f t="shared" si="179"/>
        <v>0</v>
      </c>
      <c r="O99" s="170"/>
      <c r="P99" s="170"/>
      <c r="Q99" s="83"/>
      <c r="R99" s="83"/>
      <c r="S99" s="83"/>
      <c r="T99" s="83"/>
      <c r="U99" s="83"/>
      <c r="V99" s="83"/>
      <c r="W99" s="87"/>
      <c r="X99" s="87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</row>
    <row r="100" spans="2:39" ht="15.75" customHeight="1">
      <c r="B100" s="162" t="s">
        <v>29</v>
      </c>
      <c r="C100" s="218">
        <f t="shared" si="176"/>
        <v>379.52</v>
      </c>
      <c r="D100" s="83"/>
      <c r="E100" s="313"/>
      <c r="F100" s="313"/>
      <c r="G100" s="83"/>
      <c r="H100" s="83"/>
      <c r="I100" s="83"/>
      <c r="J100" s="170"/>
      <c r="K100" s="83"/>
      <c r="L100" s="83"/>
      <c r="M100" s="162" t="s">
        <v>29</v>
      </c>
      <c r="N100" s="219">
        <f t="shared" si="179"/>
        <v>0</v>
      </c>
      <c r="O100" s="170"/>
      <c r="P100" s="170"/>
      <c r="Q100" s="83"/>
      <c r="R100" s="83"/>
      <c r="S100" s="83"/>
      <c r="T100" s="83"/>
      <c r="U100" s="83"/>
      <c r="V100" s="83"/>
      <c r="W100" s="87"/>
      <c r="X100" s="85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</row>
    <row r="101" spans="2:39" ht="15.75" customHeight="1">
      <c r="B101" s="85"/>
      <c r="C101" s="224">
        <f>SUM(C85:C100)</f>
        <v>1191.33</v>
      </c>
      <c r="D101" s="83"/>
      <c r="E101" s="83"/>
      <c r="F101" s="83"/>
      <c r="G101" s="83"/>
      <c r="H101" s="83"/>
      <c r="I101" s="83"/>
      <c r="J101" s="170"/>
      <c r="K101" s="83"/>
      <c r="L101" s="83"/>
      <c r="M101" s="162" t="s">
        <v>30</v>
      </c>
      <c r="N101" s="219">
        <f t="shared" si="179"/>
        <v>0</v>
      </c>
      <c r="O101" s="170"/>
      <c r="P101" s="170"/>
      <c r="Q101" s="83"/>
      <c r="R101" s="83"/>
      <c r="S101" s="83"/>
      <c r="T101" s="83"/>
      <c r="U101" s="83"/>
      <c r="V101" s="83"/>
      <c r="W101" s="87"/>
      <c r="X101" s="87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</row>
    <row r="102" spans="2:39" ht="15.75" customHeight="1">
      <c r="B102" s="83"/>
      <c r="C102" s="187"/>
      <c r="D102" s="83"/>
      <c r="E102" s="83"/>
      <c r="F102" s="83"/>
      <c r="G102" s="83"/>
      <c r="H102" s="83"/>
      <c r="I102" s="83"/>
      <c r="J102" s="170"/>
      <c r="K102" s="83"/>
      <c r="L102" s="83"/>
      <c r="M102" s="162" t="s">
        <v>340</v>
      </c>
      <c r="N102" s="219">
        <f t="shared" si="179"/>
        <v>0</v>
      </c>
      <c r="O102" s="170"/>
      <c r="P102" s="170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</row>
    <row r="103" spans="2:39" ht="15.75" customHeight="1">
      <c r="B103" s="83"/>
      <c r="C103" s="187"/>
      <c r="D103" s="83"/>
      <c r="E103" s="83"/>
      <c r="F103" s="83"/>
      <c r="G103" s="83"/>
      <c r="H103" s="83"/>
      <c r="I103" s="83"/>
      <c r="J103" s="170"/>
      <c r="K103" s="83"/>
      <c r="L103" s="83"/>
      <c r="M103" s="162" t="s">
        <v>341</v>
      </c>
      <c r="N103" s="219">
        <f t="shared" si="179"/>
        <v>0</v>
      </c>
      <c r="O103" s="170"/>
      <c r="P103" s="170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</row>
    <row r="104" spans="2:39" ht="15.75" customHeight="1">
      <c r="B104" s="83"/>
      <c r="C104" s="187"/>
      <c r="D104" s="83"/>
      <c r="E104" s="83"/>
      <c r="F104" s="83"/>
      <c r="G104" s="83"/>
      <c r="H104" s="83"/>
      <c r="I104" s="83"/>
      <c r="J104" s="170"/>
      <c r="K104" s="83"/>
      <c r="L104" s="83"/>
      <c r="M104" s="162" t="s">
        <v>31</v>
      </c>
      <c r="N104" s="219">
        <f t="shared" si="179"/>
        <v>0</v>
      </c>
      <c r="O104" s="170"/>
      <c r="P104" s="170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</row>
    <row r="105" spans="2:39" ht="15.75" customHeight="1">
      <c r="B105" s="83"/>
      <c r="C105" s="187"/>
      <c r="D105" s="83"/>
      <c r="E105" s="83"/>
      <c r="F105" s="83"/>
      <c r="G105" s="83"/>
      <c r="H105" s="83"/>
      <c r="I105" s="83"/>
      <c r="J105" s="170"/>
      <c r="K105" s="83"/>
      <c r="L105" s="83"/>
      <c r="M105" s="162" t="s">
        <v>571</v>
      </c>
      <c r="N105" s="219">
        <f t="shared" si="179"/>
        <v>0</v>
      </c>
      <c r="O105" s="170"/>
      <c r="P105" s="170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</row>
    <row r="106" spans="2:39" ht="15.75" customHeight="1">
      <c r="B106" s="83"/>
      <c r="C106" s="187"/>
      <c r="D106" s="83"/>
      <c r="E106" s="83"/>
      <c r="F106" s="83"/>
      <c r="G106" s="83"/>
      <c r="H106" s="83"/>
      <c r="I106" s="83"/>
      <c r="J106" s="170"/>
      <c r="K106" s="83"/>
      <c r="L106" s="83"/>
      <c r="M106" s="162" t="s">
        <v>32</v>
      </c>
      <c r="N106" s="219">
        <f t="shared" si="179"/>
        <v>0</v>
      </c>
      <c r="O106" s="170"/>
      <c r="P106" s="170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</row>
    <row r="107" spans="2:39" ht="15.75" customHeight="1">
      <c r="B107" s="83"/>
      <c r="C107" s="187"/>
      <c r="D107" s="83"/>
      <c r="E107" s="83"/>
      <c r="F107" s="83"/>
      <c r="G107" s="83"/>
      <c r="H107" s="83"/>
      <c r="I107" s="83"/>
      <c r="J107" s="170"/>
      <c r="K107" s="83"/>
      <c r="L107" s="83"/>
      <c r="M107" s="83"/>
      <c r="N107" s="189">
        <f>SUM(N85:N106)</f>
        <v>3153.6644999999994</v>
      </c>
      <c r="O107" s="170"/>
      <c r="P107" s="170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</row>
    <row r="108" spans="2:39" ht="15.75" customHeight="1">
      <c r="B108" s="227" t="s">
        <v>33</v>
      </c>
      <c r="C108" s="80"/>
      <c r="D108" s="80"/>
      <c r="E108" s="80"/>
      <c r="F108" s="188"/>
      <c r="G108" s="83"/>
      <c r="H108" s="83"/>
      <c r="I108" s="83"/>
      <c r="J108" s="170"/>
      <c r="K108" s="83"/>
      <c r="L108" s="83"/>
      <c r="M108" s="170"/>
      <c r="N108" s="170"/>
      <c r="O108" s="170"/>
      <c r="P108" s="170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</row>
    <row r="109" spans="2:39" ht="15" customHeight="1">
      <c r="B109" s="83"/>
      <c r="C109" s="80"/>
      <c r="D109" s="80"/>
      <c r="E109" s="80"/>
      <c r="F109" s="188"/>
      <c r="G109" s="83"/>
      <c r="H109" s="83"/>
      <c r="I109" s="83"/>
      <c r="J109" s="170"/>
      <c r="K109" s="83"/>
      <c r="L109" s="83"/>
      <c r="M109" s="170"/>
      <c r="N109" s="170"/>
      <c r="O109" s="170"/>
      <c r="P109" s="170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</row>
    <row r="110" spans="2:39" ht="60" customHeight="1">
      <c r="B110" s="91" t="s">
        <v>357</v>
      </c>
      <c r="C110" s="323" t="s">
        <v>359</v>
      </c>
      <c r="D110" s="323"/>
      <c r="E110" s="323"/>
      <c r="F110" s="213">
        <f>SUM(X14,X31,X40,X72,X77,X79)</f>
        <v>170.37</v>
      </c>
      <c r="G110" s="83"/>
      <c r="H110" s="83"/>
      <c r="I110" s="83"/>
      <c r="J110" s="170"/>
      <c r="K110" s="83"/>
      <c r="L110" s="83"/>
      <c r="M110" s="170"/>
      <c r="N110" s="170"/>
      <c r="O110" s="170"/>
      <c r="P110" s="170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</row>
    <row r="111" spans="2:39" ht="60" customHeight="1">
      <c r="B111" s="91" t="s">
        <v>366</v>
      </c>
      <c r="C111" s="323" t="s">
        <v>360</v>
      </c>
      <c r="D111" s="323"/>
      <c r="E111" s="323"/>
      <c r="F111" s="213">
        <f>SUM(X54,X55:X57,X59)</f>
        <v>85.990000000000009</v>
      </c>
      <c r="G111" s="83"/>
      <c r="H111" s="83"/>
      <c r="I111" s="83"/>
      <c r="J111" s="170"/>
      <c r="K111" s="83"/>
      <c r="L111" s="83"/>
      <c r="M111" s="170"/>
      <c r="N111" s="170"/>
      <c r="O111" s="170"/>
      <c r="P111" s="170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</row>
    <row r="112" spans="2:39" ht="40.049999999999997" customHeight="1">
      <c r="B112" s="91" t="s">
        <v>358</v>
      </c>
      <c r="C112" s="323" t="s">
        <v>361</v>
      </c>
      <c r="D112" s="323"/>
      <c r="E112" s="323"/>
      <c r="F112" s="213">
        <f>SUM(X23,X25,X26,X28,X29,X34,X35:X39,X41:X42,X44:X51,X52:X53,X58,X60,X61,X62,X70,X80)</f>
        <v>519.19000000000005</v>
      </c>
      <c r="G112" s="83"/>
      <c r="H112" s="83"/>
      <c r="I112" s="83"/>
      <c r="J112" s="170"/>
      <c r="K112" s="83"/>
      <c r="L112" s="83"/>
      <c r="M112" s="170"/>
      <c r="N112" s="170"/>
      <c r="O112" s="170"/>
      <c r="P112" s="170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</row>
    <row r="113" spans="2:39" ht="60" customHeight="1">
      <c r="B113" s="91" t="s">
        <v>356</v>
      </c>
      <c r="C113" s="323" t="s">
        <v>362</v>
      </c>
      <c r="D113" s="323"/>
      <c r="E113" s="323"/>
      <c r="F113" s="213">
        <f>SUM(X32,X73,X78)</f>
        <v>81.27000000000001</v>
      </c>
      <c r="G113" s="83"/>
      <c r="H113" s="83"/>
      <c r="I113" s="83"/>
      <c r="J113" s="170"/>
      <c r="K113" s="83"/>
      <c r="L113" s="83"/>
      <c r="M113" s="170"/>
      <c r="N113" s="170"/>
      <c r="O113" s="170"/>
      <c r="P113" s="170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</row>
    <row r="114" spans="2:39" ht="60" customHeight="1">
      <c r="B114" s="91" t="s">
        <v>530</v>
      </c>
      <c r="C114" s="323" t="s">
        <v>532</v>
      </c>
      <c r="D114" s="323"/>
      <c r="E114" s="323"/>
      <c r="F114" s="213"/>
      <c r="G114" s="83"/>
      <c r="H114" s="83"/>
      <c r="I114" s="83"/>
      <c r="J114" s="170"/>
      <c r="K114" s="83"/>
      <c r="L114" s="83"/>
      <c r="M114" s="170"/>
      <c r="N114" s="170"/>
      <c r="O114" s="170"/>
      <c r="P114" s="170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</row>
    <row r="115" spans="2:39" ht="49.95" customHeight="1">
      <c r="B115" s="91" t="s">
        <v>599</v>
      </c>
      <c r="C115" s="323" t="s">
        <v>619</v>
      </c>
      <c r="D115" s="323"/>
      <c r="E115" s="323"/>
      <c r="F115" s="213">
        <f>SUM(X64:X69,X71)</f>
        <v>165.81</v>
      </c>
      <c r="G115" s="83"/>
      <c r="H115" s="83"/>
      <c r="I115" s="83"/>
      <c r="J115" s="170"/>
      <c r="K115" s="83"/>
      <c r="L115" s="83"/>
      <c r="M115" s="170"/>
      <c r="N115" s="170"/>
      <c r="O115" s="170"/>
      <c r="P115" s="170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</row>
    <row r="116" spans="2:39" ht="15.75" customHeight="1">
      <c r="B116" s="83"/>
      <c r="C116" s="80"/>
      <c r="D116" s="80"/>
      <c r="E116" s="80"/>
      <c r="F116" s="66">
        <f>SUM(F110:F115)</f>
        <v>1022.6300000000001</v>
      </c>
      <c r="G116" s="83"/>
      <c r="H116" s="83"/>
      <c r="I116" s="83"/>
      <c r="J116" s="170"/>
      <c r="K116" s="83"/>
      <c r="L116" s="83"/>
      <c r="M116" s="170"/>
      <c r="N116" s="170"/>
      <c r="O116" s="170"/>
      <c r="P116" s="170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</row>
    <row r="117" spans="2:39" ht="15.75" customHeight="1">
      <c r="B117" s="83"/>
      <c r="C117" s="187"/>
      <c r="D117" s="83"/>
      <c r="E117" s="83"/>
      <c r="F117" s="83"/>
      <c r="G117" s="83"/>
      <c r="H117" s="83"/>
      <c r="I117" s="83"/>
      <c r="J117" s="170"/>
      <c r="K117" s="83"/>
      <c r="L117" s="83"/>
      <c r="M117" s="170"/>
      <c r="N117" s="170"/>
      <c r="O117" s="170"/>
      <c r="P117" s="170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</row>
    <row r="118" spans="2:39" ht="15.75" customHeight="1">
      <c r="B118" s="83"/>
      <c r="C118" s="187"/>
      <c r="D118" s="83"/>
      <c r="E118" s="83"/>
      <c r="F118" s="83"/>
      <c r="G118" s="83"/>
      <c r="H118" s="83"/>
      <c r="I118" s="83"/>
      <c r="J118" s="170"/>
      <c r="K118" s="83"/>
      <c r="L118" s="83"/>
      <c r="M118" s="170"/>
      <c r="N118" s="170"/>
      <c r="O118" s="170"/>
      <c r="P118" s="170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</row>
    <row r="119" spans="2:39" ht="15.75" customHeight="1">
      <c r="B119" s="83"/>
      <c r="C119" s="187"/>
      <c r="D119" s="83"/>
      <c r="E119" s="83"/>
      <c r="F119" s="83"/>
      <c r="G119" s="83"/>
      <c r="H119" s="83"/>
      <c r="I119" s="83"/>
      <c r="J119" s="170"/>
      <c r="K119" s="83"/>
      <c r="L119" s="83"/>
      <c r="M119" s="170"/>
      <c r="N119" s="170"/>
      <c r="O119" s="170"/>
      <c r="P119" s="170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</row>
    <row r="120" spans="2:39" ht="15.75" customHeight="1">
      <c r="B120" s="83"/>
      <c r="C120" s="187"/>
      <c r="D120" s="83"/>
      <c r="E120" s="83"/>
      <c r="F120" s="83"/>
      <c r="G120" s="83"/>
      <c r="H120" s="83"/>
      <c r="I120" s="83"/>
      <c r="J120" s="170"/>
      <c r="K120" s="83"/>
      <c r="L120" s="83"/>
      <c r="M120" s="170"/>
      <c r="N120" s="170"/>
      <c r="O120" s="170"/>
      <c r="P120" s="170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</row>
    <row r="121" spans="2:39" ht="15.75" customHeight="1">
      <c r="B121" s="83"/>
      <c r="C121" s="187"/>
      <c r="D121" s="83"/>
      <c r="E121" s="83"/>
      <c r="F121" s="83"/>
      <c r="G121" s="83"/>
      <c r="H121" s="83"/>
      <c r="I121" s="83"/>
      <c r="J121" s="170"/>
      <c r="K121" s="83"/>
      <c r="L121" s="83"/>
      <c r="M121" s="170"/>
      <c r="N121" s="170"/>
      <c r="O121" s="170"/>
      <c r="P121" s="170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</row>
    <row r="122" spans="2:39" ht="15.75" customHeight="1">
      <c r="B122" s="83"/>
      <c r="C122" s="187"/>
      <c r="D122" s="83"/>
      <c r="E122" s="83"/>
      <c r="F122" s="83"/>
      <c r="G122" s="83"/>
      <c r="H122" s="83"/>
      <c r="I122" s="83"/>
      <c r="J122" s="170"/>
      <c r="K122" s="83"/>
      <c r="L122" s="83"/>
      <c r="M122" s="170"/>
      <c r="N122" s="170"/>
      <c r="O122" s="170"/>
      <c r="P122" s="170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</row>
    <row r="123" spans="2:39" ht="15.75" customHeight="1">
      <c r="B123" s="83"/>
      <c r="C123" s="187"/>
      <c r="D123" s="83"/>
      <c r="E123" s="83"/>
      <c r="F123" s="83"/>
      <c r="G123" s="83"/>
      <c r="H123" s="83"/>
      <c r="I123" s="83"/>
      <c r="J123" s="170"/>
      <c r="K123" s="83"/>
      <c r="L123" s="83"/>
      <c r="M123" s="170"/>
      <c r="N123" s="170"/>
      <c r="O123" s="170"/>
      <c r="P123" s="170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</row>
    <row r="124" spans="2:39" ht="15.75" customHeight="1">
      <c r="B124" s="83"/>
      <c r="C124" s="187"/>
      <c r="D124" s="170"/>
      <c r="E124" s="83"/>
      <c r="F124" s="83"/>
      <c r="G124" s="83"/>
      <c r="H124" s="83"/>
      <c r="I124" s="83"/>
      <c r="J124" s="170"/>
      <c r="K124" s="83"/>
      <c r="L124" s="83"/>
      <c r="M124" s="170"/>
      <c r="N124" s="170"/>
      <c r="O124" s="170"/>
      <c r="P124" s="170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</row>
    <row r="125" spans="2:39" ht="15.75" customHeight="1">
      <c r="B125" s="83"/>
      <c r="C125" s="187"/>
      <c r="D125" s="83"/>
      <c r="E125" s="83"/>
      <c r="F125" s="83"/>
      <c r="G125" s="83"/>
      <c r="H125" s="83"/>
      <c r="I125" s="83"/>
      <c r="J125" s="170"/>
      <c r="K125" s="83"/>
      <c r="L125" s="83"/>
      <c r="M125" s="170"/>
      <c r="N125" s="170"/>
      <c r="O125" s="170"/>
      <c r="P125" s="170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</row>
    <row r="126" spans="2:39" ht="15.75" customHeight="1">
      <c r="B126" s="83"/>
      <c r="C126" s="187"/>
      <c r="D126" s="83"/>
      <c r="E126" s="83"/>
      <c r="F126" s="83"/>
      <c r="G126" s="83"/>
      <c r="H126" s="83"/>
      <c r="I126" s="83"/>
      <c r="J126" s="170"/>
      <c r="K126" s="83"/>
      <c r="L126" s="83"/>
      <c r="M126" s="170"/>
      <c r="N126" s="170"/>
      <c r="O126" s="170"/>
      <c r="P126" s="170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</row>
    <row r="127" spans="2:39" ht="15.75" customHeight="1">
      <c r="B127" s="83"/>
      <c r="C127" s="187"/>
      <c r="D127" s="83"/>
      <c r="E127" s="83"/>
      <c r="F127" s="83"/>
      <c r="G127" s="83"/>
      <c r="H127" s="83"/>
      <c r="I127" s="83"/>
      <c r="J127" s="170"/>
      <c r="K127" s="83"/>
      <c r="L127" s="83"/>
      <c r="M127" s="170"/>
      <c r="N127" s="170"/>
      <c r="O127" s="170"/>
      <c r="P127" s="170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</row>
    <row r="128" spans="2:39" ht="15.75" customHeight="1">
      <c r="B128" s="83"/>
      <c r="C128" s="187"/>
      <c r="D128" s="83"/>
      <c r="E128" s="83"/>
      <c r="F128" s="83"/>
      <c r="G128" s="83"/>
      <c r="H128" s="83"/>
      <c r="I128" s="83"/>
      <c r="J128" s="170"/>
      <c r="K128" s="83"/>
      <c r="L128" s="83"/>
      <c r="M128" s="170"/>
      <c r="N128" s="170"/>
      <c r="O128" s="170"/>
      <c r="P128" s="170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</row>
    <row r="129" spans="2:39" ht="15.75" customHeight="1">
      <c r="B129" s="83"/>
      <c r="C129" s="187"/>
      <c r="D129" s="83"/>
      <c r="E129" s="83"/>
      <c r="F129" s="83"/>
      <c r="G129" s="83"/>
      <c r="H129" s="83"/>
      <c r="I129" s="83"/>
      <c r="J129" s="170"/>
      <c r="K129" s="83"/>
      <c r="L129" s="83"/>
      <c r="M129" s="170"/>
      <c r="N129" s="170"/>
      <c r="O129" s="170"/>
      <c r="P129" s="170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</row>
    <row r="130" spans="2:39" ht="15.75" customHeight="1">
      <c r="B130" s="83"/>
      <c r="C130" s="187"/>
      <c r="D130" s="83"/>
      <c r="E130" s="83"/>
      <c r="F130" s="83"/>
      <c r="G130" s="83"/>
      <c r="H130" s="83"/>
      <c r="I130" s="83"/>
      <c r="J130" s="170"/>
      <c r="K130" s="83"/>
      <c r="L130" s="83"/>
      <c r="M130" s="170"/>
      <c r="N130" s="170"/>
      <c r="O130" s="170"/>
      <c r="P130" s="170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</row>
    <row r="131" spans="2:39" ht="15.75" customHeight="1">
      <c r="B131" s="83"/>
      <c r="C131" s="187"/>
      <c r="D131" s="83"/>
      <c r="E131" s="83"/>
      <c r="F131" s="83"/>
      <c r="G131" s="83"/>
      <c r="H131" s="83"/>
      <c r="I131" s="83"/>
      <c r="J131" s="170"/>
      <c r="K131" s="83"/>
      <c r="L131" s="83"/>
      <c r="M131" s="170"/>
      <c r="N131" s="170"/>
      <c r="O131" s="170"/>
      <c r="P131" s="170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</row>
    <row r="132" spans="2:39" ht="15.75" customHeight="1">
      <c r="B132" s="83"/>
      <c r="C132" s="187"/>
      <c r="D132" s="83"/>
      <c r="E132" s="83"/>
      <c r="F132" s="83"/>
      <c r="G132" s="83"/>
      <c r="H132" s="83"/>
      <c r="I132" s="83"/>
      <c r="J132" s="170"/>
      <c r="K132" s="83"/>
      <c r="L132" s="83"/>
      <c r="M132" s="170"/>
      <c r="N132" s="170"/>
      <c r="O132" s="170"/>
      <c r="P132" s="170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</row>
    <row r="133" spans="2:39" ht="15.75" customHeight="1">
      <c r="B133" s="83"/>
      <c r="C133" s="187"/>
      <c r="D133" s="83"/>
      <c r="E133" s="83"/>
      <c r="F133" s="83"/>
      <c r="G133" s="83"/>
      <c r="H133" s="83"/>
      <c r="I133" s="83"/>
      <c r="J133" s="170"/>
      <c r="K133" s="83"/>
      <c r="L133" s="83"/>
      <c r="M133" s="170"/>
      <c r="N133" s="170"/>
      <c r="O133" s="170"/>
      <c r="P133" s="170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</row>
    <row r="134" spans="2:39" ht="15.75" customHeight="1">
      <c r="B134" s="83"/>
      <c r="C134" s="187"/>
      <c r="D134" s="83"/>
      <c r="E134" s="83"/>
      <c r="F134" s="83"/>
      <c r="G134" s="83"/>
      <c r="H134" s="83"/>
      <c r="I134" s="83"/>
      <c r="J134" s="170"/>
      <c r="K134" s="83"/>
      <c r="L134" s="83"/>
      <c r="M134" s="170"/>
      <c r="N134" s="170"/>
      <c r="O134" s="170"/>
      <c r="P134" s="170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</row>
    <row r="135" spans="2:39" ht="15.75" customHeight="1">
      <c r="B135" s="83"/>
      <c r="C135" s="187"/>
      <c r="D135" s="83"/>
      <c r="E135" s="83"/>
      <c r="F135" s="83"/>
      <c r="G135" s="83"/>
      <c r="H135" s="83"/>
      <c r="I135" s="83"/>
      <c r="J135" s="170"/>
      <c r="K135" s="83"/>
      <c r="L135" s="83"/>
      <c r="M135" s="170"/>
      <c r="N135" s="170"/>
      <c r="O135" s="170"/>
      <c r="P135" s="170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</row>
    <row r="136" spans="2:39" ht="15.75" customHeight="1">
      <c r="B136" s="83"/>
      <c r="C136" s="187"/>
      <c r="D136" s="83"/>
      <c r="E136" s="83"/>
      <c r="F136" s="83"/>
      <c r="G136" s="83"/>
      <c r="H136" s="83"/>
      <c r="I136" s="83"/>
      <c r="J136" s="170"/>
      <c r="K136" s="83"/>
      <c r="L136" s="83"/>
      <c r="M136" s="170"/>
      <c r="N136" s="170"/>
      <c r="O136" s="170"/>
      <c r="P136" s="170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</row>
    <row r="137" spans="2:39" ht="15.75" customHeight="1">
      <c r="B137" s="83"/>
      <c r="C137" s="187"/>
      <c r="D137" s="170"/>
      <c r="E137" s="83"/>
      <c r="F137" s="83"/>
      <c r="G137" s="83"/>
      <c r="H137" s="83"/>
      <c r="I137" s="83"/>
      <c r="J137" s="170"/>
      <c r="K137" s="83"/>
      <c r="L137" s="83"/>
      <c r="M137" s="170"/>
      <c r="N137" s="170"/>
      <c r="O137" s="170"/>
      <c r="P137" s="170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</row>
    <row r="138" spans="2:39" ht="15.75" customHeight="1">
      <c r="B138" s="83"/>
      <c r="C138" s="187"/>
      <c r="D138" s="83"/>
      <c r="E138" s="83"/>
      <c r="F138" s="83"/>
      <c r="G138" s="83"/>
      <c r="H138" s="83"/>
      <c r="I138" s="83"/>
      <c r="J138" s="170"/>
      <c r="K138" s="83"/>
      <c r="L138" s="83"/>
      <c r="M138" s="170"/>
      <c r="N138" s="170"/>
      <c r="O138" s="170"/>
      <c r="P138" s="170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</row>
    <row r="139" spans="2:39" ht="15.75" customHeight="1">
      <c r="B139" s="83"/>
      <c r="C139" s="187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</row>
    <row r="140" spans="2:39" ht="15.75" customHeight="1">
      <c r="B140" s="83"/>
      <c r="C140" s="187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</row>
    <row r="141" spans="2:39" ht="15.75" customHeight="1">
      <c r="B141" s="83"/>
      <c r="C141" s="187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</row>
    <row r="142" spans="2:39" ht="51" customHeight="1">
      <c r="B142" s="83"/>
      <c r="C142" s="187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</row>
    <row r="143" spans="2:39" ht="52.5" customHeight="1">
      <c r="B143" s="83"/>
      <c r="C143" s="187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</row>
    <row r="144" spans="2:39" ht="35.25" customHeight="1">
      <c r="B144" s="83"/>
      <c r="C144" s="187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</row>
    <row r="145" spans="2:39" ht="42.75" customHeight="1">
      <c r="B145" s="83"/>
      <c r="C145" s="187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</row>
    <row r="146" spans="2:39" ht="15.75" customHeight="1">
      <c r="B146" s="83"/>
      <c r="C146" s="187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</row>
    <row r="147" spans="2:39" ht="15.75" customHeight="1">
      <c r="B147" s="83"/>
      <c r="C147" s="80"/>
      <c r="D147" s="80"/>
      <c r="E147" s="80"/>
      <c r="F147" s="188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</row>
    <row r="148" spans="2:39" ht="15.75" customHeight="1">
      <c r="B148" s="227"/>
      <c r="C148" s="80"/>
      <c r="D148" s="80"/>
      <c r="E148" s="80"/>
      <c r="F148" s="188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</row>
    <row r="149" spans="2:39" ht="15.75" customHeight="1">
      <c r="B149" s="83"/>
      <c r="C149" s="187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</row>
    <row r="150" spans="2:39" ht="15.75" customHeight="1">
      <c r="B150" s="83"/>
      <c r="C150" s="187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</row>
    <row r="151" spans="2:39" ht="23.25" customHeight="1">
      <c r="B151" s="83"/>
      <c r="C151" s="187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</row>
    <row r="152" spans="2:39" ht="15.75" customHeight="1">
      <c r="B152" s="83"/>
      <c r="C152" s="187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</row>
    <row r="153" spans="2:39" ht="15.75" customHeight="1">
      <c r="B153" s="83"/>
      <c r="C153" s="187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</row>
    <row r="154" spans="2:39" ht="15.75" customHeight="1">
      <c r="B154" s="83"/>
      <c r="C154" s="187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</row>
    <row r="155" spans="2:39" ht="15.75" customHeight="1">
      <c r="B155" s="83"/>
      <c r="C155" s="187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</row>
    <row r="156" spans="2:39" ht="15.75" customHeight="1">
      <c r="B156" s="83"/>
      <c r="C156" s="187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</row>
    <row r="157" spans="2:39" ht="15.75" customHeight="1">
      <c r="B157" s="83"/>
      <c r="C157" s="187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</row>
    <row r="158" spans="2:39" ht="15.75" customHeight="1">
      <c r="B158" s="83"/>
      <c r="C158" s="187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</row>
    <row r="159" spans="2:39" ht="15.75" customHeight="1">
      <c r="B159" s="83"/>
      <c r="C159" s="187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</row>
    <row r="160" spans="2:39" ht="15.75" customHeight="1">
      <c r="B160" s="83"/>
      <c r="C160" s="187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</row>
    <row r="161" spans="2:39" ht="15.75" customHeight="1">
      <c r="B161" s="83"/>
      <c r="C161" s="187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</row>
    <row r="162" spans="2:39" ht="15.75" customHeight="1">
      <c r="B162" s="83"/>
      <c r="C162" s="187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</row>
    <row r="163" spans="2:39" ht="15.75" customHeight="1">
      <c r="B163" s="83"/>
      <c r="C163" s="187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</row>
    <row r="164" spans="2:39" ht="15.75" customHeight="1">
      <c r="B164" s="83"/>
      <c r="C164" s="187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</row>
    <row r="165" spans="2:39" ht="15.75" customHeight="1">
      <c r="B165" s="83"/>
      <c r="C165" s="187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</row>
    <row r="166" spans="2:39" ht="15.75" customHeight="1">
      <c r="B166" s="83"/>
      <c r="C166" s="187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</row>
    <row r="167" spans="2:39" ht="15.75" customHeight="1">
      <c r="B167" s="83"/>
      <c r="C167" s="187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</row>
    <row r="168" spans="2:39" ht="15.75" customHeight="1">
      <c r="B168" s="83"/>
      <c r="C168" s="187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</row>
    <row r="169" spans="2:39" ht="15.75" customHeight="1">
      <c r="B169" s="83"/>
      <c r="C169" s="187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</row>
    <row r="170" spans="2:39" ht="15.75" customHeight="1">
      <c r="B170" s="83"/>
      <c r="C170" s="187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</row>
    <row r="171" spans="2:39" ht="15.75" customHeight="1">
      <c r="B171" s="83"/>
      <c r="C171" s="187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</row>
    <row r="172" spans="2:39" ht="15.75" customHeight="1">
      <c r="B172" s="83"/>
      <c r="C172" s="187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</row>
    <row r="173" spans="2:39" ht="15.75" customHeight="1">
      <c r="B173" s="83"/>
      <c r="C173" s="187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</row>
    <row r="174" spans="2:39" ht="15.75" customHeight="1">
      <c r="B174" s="83"/>
      <c r="C174" s="187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</row>
    <row r="175" spans="2:39" ht="15.75" customHeight="1">
      <c r="B175" s="83"/>
      <c r="C175" s="187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</row>
    <row r="176" spans="2:39" ht="15.75" customHeight="1">
      <c r="B176" s="83"/>
      <c r="C176" s="187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</row>
    <row r="177" spans="2:39" ht="15.75" customHeight="1">
      <c r="B177" s="83"/>
      <c r="C177" s="187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</row>
    <row r="178" spans="2:39" ht="15.75" customHeight="1">
      <c r="B178" s="83"/>
      <c r="C178" s="187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</row>
    <row r="179" spans="2:39" ht="15.75" customHeight="1">
      <c r="B179" s="83"/>
      <c r="C179" s="187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</row>
    <row r="180" spans="2:39" ht="15.75" customHeight="1">
      <c r="B180" s="83"/>
      <c r="C180" s="187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</row>
    <row r="181" spans="2:39" ht="15.75" customHeight="1">
      <c r="B181" s="83"/>
      <c r="C181" s="187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</row>
    <row r="182" spans="2:39" ht="15.75" customHeight="1"/>
    <row r="183" spans="2:39" ht="15.75" customHeight="1"/>
    <row r="184" spans="2:39" ht="15.75" customHeight="1"/>
    <row r="185" spans="2:39" ht="15.75" customHeight="1"/>
    <row r="186" spans="2:39" ht="15.75" customHeight="1"/>
    <row r="187" spans="2:39" ht="15.75" customHeight="1"/>
    <row r="188" spans="2:39" ht="15.75" customHeight="1"/>
    <row r="189" spans="2:39" ht="15.75" customHeight="1"/>
    <row r="190" spans="2:39" ht="15.75" customHeight="1"/>
    <row r="191" spans="2:39" ht="15.75" customHeight="1"/>
    <row r="192" spans="2:39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</sheetData>
  <mergeCells count="8">
    <mergeCell ref="AI85:AK85"/>
    <mergeCell ref="C114:E114"/>
    <mergeCell ref="C115:E115"/>
    <mergeCell ref="AI86:AK86"/>
    <mergeCell ref="C110:E110"/>
    <mergeCell ref="C111:E111"/>
    <mergeCell ref="C112:E112"/>
    <mergeCell ref="C113:E113"/>
  </mergeCells>
  <phoneticPr fontId="19" type="noConversion"/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1048539"/>
  <sheetViews>
    <sheetView zoomScale="110" zoomScaleNormal="110" workbookViewId="0">
      <selection activeCell="L32" sqref="L32"/>
    </sheetView>
  </sheetViews>
  <sheetFormatPr defaultRowHeight="15" customHeight="1"/>
  <cols>
    <col min="1" max="1" width="5.19921875" style="16" customWidth="1"/>
    <col min="2" max="2" width="17.69921875" style="16" customWidth="1"/>
    <col min="3" max="3" width="6.69921875" style="21" customWidth="1"/>
    <col min="4" max="4" width="6.8984375" style="16" customWidth="1"/>
    <col min="5" max="5" width="6.69921875" style="16" customWidth="1"/>
    <col min="6" max="6" width="7.59765625" style="28" customWidth="1"/>
    <col min="7" max="7" width="7.8984375" style="16" customWidth="1"/>
    <col min="8" max="8" width="7.5" style="16" customWidth="1"/>
    <col min="9" max="9" width="8.69921875" style="16" customWidth="1"/>
    <col min="10" max="10" width="8.796875" style="16" customWidth="1"/>
    <col min="11" max="11" width="2.796875" style="16" customWidth="1"/>
    <col min="12" max="12" width="6.69921875" style="16" customWidth="1"/>
    <col min="13" max="13" width="5.69921875" style="16" bestFit="1" customWidth="1"/>
    <col min="14" max="14" width="8.69921875" style="5" customWidth="1"/>
    <col min="15" max="15" width="8.5" style="5" bestFit="1" customWidth="1"/>
    <col min="16" max="16" width="10" style="5" customWidth="1"/>
    <col min="17" max="17" width="10.3984375" style="5" customWidth="1"/>
    <col min="18" max="18" width="9.59765625" style="5" customWidth="1"/>
    <col min="19" max="19" width="2.69921875" style="5" customWidth="1"/>
    <col min="20" max="20" width="6.69921875" style="5" customWidth="1"/>
    <col min="21" max="21" width="9.296875" style="5" customWidth="1"/>
    <col min="22" max="22" width="2.796875" style="5" customWidth="1"/>
    <col min="23" max="23" width="6.796875" style="5" customWidth="1"/>
    <col min="24" max="24" width="7.3984375" style="5" bestFit="1" customWidth="1"/>
    <col min="25" max="25" width="8.69921875" style="5" customWidth="1"/>
    <col min="26" max="26" width="7.69921875" style="5" customWidth="1"/>
    <col min="27" max="27" width="8.796875" style="5" customWidth="1"/>
    <col min="28" max="28" width="8.69921875" style="5" customWidth="1"/>
    <col min="29" max="29" width="9.796875" style="5" customWidth="1"/>
    <col min="30" max="30" width="12.59765625" customWidth="1"/>
    <col min="31" max="31" width="9.796875" customWidth="1"/>
    <col min="32" max="33" width="13.3984375" customWidth="1"/>
    <col min="34" max="35" width="8.296875" customWidth="1"/>
    <col min="36" max="1022" width="13.3984375" customWidth="1"/>
  </cols>
  <sheetData>
    <row r="1" spans="1:29" ht="15" customHeight="1">
      <c r="C1" s="16"/>
    </row>
    <row r="2" spans="1:29" ht="15" customHeight="1">
      <c r="A2" s="279" t="s">
        <v>281</v>
      </c>
      <c r="B2" s="284" t="s">
        <v>282</v>
      </c>
      <c r="C2" s="191"/>
      <c r="D2" s="191"/>
      <c r="E2" s="191"/>
      <c r="F2" s="191"/>
      <c r="G2" s="191"/>
      <c r="J2" s="66" t="s">
        <v>423</v>
      </c>
    </row>
    <row r="3" spans="1:29" ht="15" customHeight="1">
      <c r="A3" s="279" t="s">
        <v>283</v>
      </c>
      <c r="B3" s="284" t="s">
        <v>284</v>
      </c>
      <c r="C3" s="191"/>
      <c r="D3" s="191"/>
      <c r="E3" s="191"/>
      <c r="F3" s="191"/>
      <c r="G3" s="191"/>
      <c r="J3" s="67" t="s">
        <v>391</v>
      </c>
    </row>
    <row r="4" spans="1:29" ht="15" customHeight="1">
      <c r="A4" s="191"/>
      <c r="B4" s="285" t="s">
        <v>636</v>
      </c>
      <c r="C4" s="191"/>
      <c r="D4" s="191"/>
      <c r="E4" s="191"/>
      <c r="F4" s="191"/>
      <c r="G4" s="191"/>
      <c r="J4" s="68" t="s">
        <v>392</v>
      </c>
    </row>
    <row r="5" spans="1:29" ht="15" customHeight="1">
      <c r="J5" s="70" t="s">
        <v>442</v>
      </c>
    </row>
    <row r="6" spans="1:29" ht="15" customHeight="1">
      <c r="J6" s="71" t="s">
        <v>526</v>
      </c>
    </row>
    <row r="7" spans="1:29" ht="13.8">
      <c r="B7" s="44"/>
      <c r="L7" s="44"/>
      <c r="M7" s="44"/>
      <c r="T7" s="47"/>
      <c r="U7" s="47"/>
      <c r="W7" s="47"/>
    </row>
    <row r="8" spans="1:29" ht="13.8">
      <c r="B8" s="273" t="s">
        <v>35</v>
      </c>
      <c r="C8" s="188"/>
      <c r="D8" s="191"/>
      <c r="E8" s="191"/>
      <c r="F8" s="191"/>
      <c r="G8" s="191"/>
      <c r="H8" s="191"/>
      <c r="I8" s="191"/>
      <c r="J8" s="191"/>
      <c r="K8" s="191"/>
      <c r="L8" s="273" t="s">
        <v>36</v>
      </c>
      <c r="M8" s="273"/>
      <c r="N8" s="235"/>
      <c r="O8" s="235"/>
      <c r="P8" s="235"/>
      <c r="Q8" s="235"/>
      <c r="R8" s="235"/>
      <c r="S8" s="235"/>
      <c r="T8" s="273" t="s">
        <v>33</v>
      </c>
      <c r="U8" s="274"/>
      <c r="V8" s="235"/>
      <c r="W8" s="274" t="s">
        <v>37</v>
      </c>
    </row>
    <row r="9" spans="1:29" ht="15" customHeight="1">
      <c r="A9" s="10" t="s">
        <v>353</v>
      </c>
    </row>
    <row r="10" spans="1:29" ht="14.4">
      <c r="A10" s="10" t="s">
        <v>344</v>
      </c>
      <c r="B10" s="79" t="s">
        <v>38</v>
      </c>
      <c r="C10" s="79" t="s">
        <v>39</v>
      </c>
      <c r="D10" s="79" t="s">
        <v>40</v>
      </c>
      <c r="E10" s="79" t="s">
        <v>41</v>
      </c>
      <c r="F10" s="79" t="s">
        <v>42</v>
      </c>
      <c r="G10" s="79" t="s">
        <v>43</v>
      </c>
      <c r="H10" s="79" t="s">
        <v>44</v>
      </c>
      <c r="I10" s="79" t="s">
        <v>45</v>
      </c>
      <c r="J10" s="79" t="s">
        <v>46</v>
      </c>
      <c r="K10" s="83"/>
      <c r="L10" s="82" t="s">
        <v>39</v>
      </c>
      <c r="M10" s="82" t="s">
        <v>40</v>
      </c>
      <c r="N10" s="82" t="s">
        <v>47</v>
      </c>
      <c r="O10" s="82" t="s">
        <v>48</v>
      </c>
      <c r="P10" s="82" t="s">
        <v>44</v>
      </c>
      <c r="Q10" s="82" t="s">
        <v>49</v>
      </c>
      <c r="R10" s="82" t="s">
        <v>46</v>
      </c>
      <c r="S10" s="83"/>
      <c r="T10" s="84" t="s">
        <v>39</v>
      </c>
      <c r="U10" s="84" t="s">
        <v>47</v>
      </c>
      <c r="V10" s="85"/>
      <c r="W10" s="88" t="s">
        <v>39</v>
      </c>
      <c r="X10" s="88" t="s">
        <v>41</v>
      </c>
      <c r="Y10" s="88" t="s">
        <v>42</v>
      </c>
      <c r="Z10" s="88" t="s">
        <v>43</v>
      </c>
      <c r="AA10" s="88" t="s">
        <v>44</v>
      </c>
      <c r="AB10" s="88" t="s">
        <v>45</v>
      </c>
      <c r="AC10" s="88" t="s">
        <v>46</v>
      </c>
    </row>
    <row r="11" spans="1:29" ht="14.4">
      <c r="B11" s="79"/>
      <c r="C11" s="79" t="s">
        <v>50</v>
      </c>
      <c r="D11" s="79"/>
      <c r="E11" s="79" t="s">
        <v>51</v>
      </c>
      <c r="F11" s="79" t="s">
        <v>52</v>
      </c>
      <c r="G11" s="79" t="s">
        <v>51</v>
      </c>
      <c r="H11" s="79" t="s">
        <v>51</v>
      </c>
      <c r="I11" s="79" t="s">
        <v>51</v>
      </c>
      <c r="J11" s="79" t="s">
        <v>51</v>
      </c>
      <c r="K11" s="83"/>
      <c r="L11" s="82" t="s">
        <v>53</v>
      </c>
      <c r="M11" s="82"/>
      <c r="N11" s="82" t="s">
        <v>52</v>
      </c>
      <c r="O11" s="82" t="s">
        <v>51</v>
      </c>
      <c r="P11" s="82" t="s">
        <v>51</v>
      </c>
      <c r="Q11" s="82" t="s">
        <v>51</v>
      </c>
      <c r="R11" s="82" t="s">
        <v>51</v>
      </c>
      <c r="S11" s="83"/>
      <c r="T11" s="84"/>
      <c r="U11" s="84" t="s">
        <v>52</v>
      </c>
      <c r="V11" s="85"/>
      <c r="W11" s="88" t="s">
        <v>54</v>
      </c>
      <c r="X11" s="88" t="s">
        <v>51</v>
      </c>
      <c r="Y11" s="88" t="s">
        <v>52</v>
      </c>
      <c r="Z11" s="88" t="s">
        <v>51</v>
      </c>
      <c r="AA11" s="88" t="s">
        <v>51</v>
      </c>
      <c r="AB11" s="88" t="s">
        <v>51</v>
      </c>
      <c r="AC11" s="88" t="s">
        <v>51</v>
      </c>
    </row>
    <row r="12" spans="1:29" s="11" customFormat="1" ht="14.4">
      <c r="A12" s="18"/>
      <c r="B12" s="138" t="s">
        <v>55</v>
      </c>
      <c r="C12" s="162" t="s">
        <v>56</v>
      </c>
      <c r="D12" s="108">
        <v>1</v>
      </c>
      <c r="E12" s="108" t="s">
        <v>57</v>
      </c>
      <c r="F12" s="108" t="s">
        <v>57</v>
      </c>
      <c r="G12" s="145">
        <v>11.55</v>
      </c>
      <c r="H12" s="92"/>
      <c r="I12" s="108">
        <f t="shared" ref="I12:I29" si="0">(G12-H12)</f>
        <v>11.55</v>
      </c>
      <c r="J12" s="108">
        <f t="shared" ref="J12:J29" si="1">I12*D12</f>
        <v>11.55</v>
      </c>
      <c r="K12" s="90"/>
      <c r="L12" s="162" t="s">
        <v>30</v>
      </c>
      <c r="M12" s="108">
        <v>1</v>
      </c>
      <c r="N12" s="145">
        <v>14.26</v>
      </c>
      <c r="O12" s="108">
        <v>3.2</v>
      </c>
      <c r="P12" s="163">
        <v>2.1</v>
      </c>
      <c r="Q12" s="92"/>
      <c r="R12" s="108">
        <f t="shared" ref="R12:R29" si="2">(N12*O12-P12)*M12</f>
        <v>43.532000000000004</v>
      </c>
      <c r="S12" s="110"/>
      <c r="T12" s="108" t="s">
        <v>20</v>
      </c>
      <c r="U12" s="92">
        <f>N12*M12</f>
        <v>14.26</v>
      </c>
      <c r="V12" s="103"/>
      <c r="W12" s="108" t="s">
        <v>20</v>
      </c>
      <c r="X12" s="108" t="str">
        <f t="shared" ref="X12:AC15" si="3">E12</f>
        <v>cad</v>
      </c>
      <c r="Y12" s="108" t="str">
        <f t="shared" si="3"/>
        <v>cad</v>
      </c>
      <c r="Z12" s="108">
        <f t="shared" si="3"/>
        <v>11.55</v>
      </c>
      <c r="AA12" s="108">
        <f t="shared" si="3"/>
        <v>0</v>
      </c>
      <c r="AB12" s="108">
        <f t="shared" si="3"/>
        <v>11.55</v>
      </c>
      <c r="AC12" s="108">
        <f t="shared" si="3"/>
        <v>11.55</v>
      </c>
    </row>
    <row r="13" spans="1:29" s="11" customFormat="1" ht="14.4">
      <c r="A13" s="18"/>
      <c r="B13" s="138" t="s">
        <v>58</v>
      </c>
      <c r="C13" s="162" t="s">
        <v>56</v>
      </c>
      <c r="D13" s="108">
        <v>1</v>
      </c>
      <c r="E13" s="108" t="s">
        <v>57</v>
      </c>
      <c r="F13" s="108" t="s">
        <v>57</v>
      </c>
      <c r="G13" s="145">
        <v>6.27</v>
      </c>
      <c r="H13" s="92"/>
      <c r="I13" s="108">
        <f t="shared" si="0"/>
        <v>6.27</v>
      </c>
      <c r="J13" s="108">
        <f t="shared" si="1"/>
        <v>6.27</v>
      </c>
      <c r="K13" s="90"/>
      <c r="L13" s="162" t="s">
        <v>30</v>
      </c>
      <c r="M13" s="108">
        <v>1</v>
      </c>
      <c r="N13" s="145">
        <v>11.73</v>
      </c>
      <c r="O13" s="108">
        <v>3.2</v>
      </c>
      <c r="P13" s="163">
        <v>4.2</v>
      </c>
      <c r="Q13" s="92"/>
      <c r="R13" s="108">
        <f t="shared" si="2"/>
        <v>33.335999999999999</v>
      </c>
      <c r="S13" s="110"/>
      <c r="T13" s="108" t="s">
        <v>20</v>
      </c>
      <c r="U13" s="92">
        <f>N13*M13</f>
        <v>11.73</v>
      </c>
      <c r="V13" s="103"/>
      <c r="W13" s="108" t="s">
        <v>20</v>
      </c>
      <c r="X13" s="108" t="str">
        <f t="shared" si="3"/>
        <v>cad</v>
      </c>
      <c r="Y13" s="108" t="str">
        <f t="shared" si="3"/>
        <v>cad</v>
      </c>
      <c r="Z13" s="108">
        <f t="shared" si="3"/>
        <v>6.27</v>
      </c>
      <c r="AA13" s="108">
        <f t="shared" si="3"/>
        <v>0</v>
      </c>
      <c r="AB13" s="108">
        <f t="shared" si="3"/>
        <v>6.27</v>
      </c>
      <c r="AC13" s="108">
        <f t="shared" si="3"/>
        <v>6.27</v>
      </c>
    </row>
    <row r="14" spans="1:29" s="11" customFormat="1" ht="14.4">
      <c r="A14" s="18"/>
      <c r="B14" s="118" t="s">
        <v>59</v>
      </c>
      <c r="C14" s="162" t="s">
        <v>56</v>
      </c>
      <c r="D14" s="108">
        <v>1</v>
      </c>
      <c r="E14" s="108" t="s">
        <v>57</v>
      </c>
      <c r="F14" s="108" t="s">
        <v>57</v>
      </c>
      <c r="G14" s="162">
        <v>40.909999999999997</v>
      </c>
      <c r="H14" s="92"/>
      <c r="I14" s="108">
        <f t="shared" si="0"/>
        <v>40.909999999999997</v>
      </c>
      <c r="J14" s="108">
        <f t="shared" si="1"/>
        <v>40.909999999999997</v>
      </c>
      <c r="K14" s="90"/>
      <c r="L14" s="162" t="s">
        <v>30</v>
      </c>
      <c r="M14" s="108">
        <v>1</v>
      </c>
      <c r="N14" s="162">
        <v>26.71</v>
      </c>
      <c r="O14" s="108">
        <v>3.2</v>
      </c>
      <c r="P14" s="163">
        <v>2.1</v>
      </c>
      <c r="Q14" s="92"/>
      <c r="R14" s="108">
        <f t="shared" si="2"/>
        <v>83.372000000000014</v>
      </c>
      <c r="S14" s="110"/>
      <c r="T14" s="108" t="s">
        <v>20</v>
      </c>
      <c r="U14" s="92">
        <f>N14*M14</f>
        <v>26.71</v>
      </c>
      <c r="V14" s="103"/>
      <c r="W14" s="108" t="s">
        <v>20</v>
      </c>
      <c r="X14" s="108" t="str">
        <f t="shared" si="3"/>
        <v>cad</v>
      </c>
      <c r="Y14" s="108" t="str">
        <f t="shared" si="3"/>
        <v>cad</v>
      </c>
      <c r="Z14" s="108">
        <f t="shared" si="3"/>
        <v>40.909999999999997</v>
      </c>
      <c r="AA14" s="108">
        <f t="shared" si="3"/>
        <v>0</v>
      </c>
      <c r="AB14" s="108">
        <f t="shared" si="3"/>
        <v>40.909999999999997</v>
      </c>
      <c r="AC14" s="108">
        <f t="shared" si="3"/>
        <v>40.909999999999997</v>
      </c>
    </row>
    <row r="15" spans="1:29" s="11" customFormat="1" ht="14.4">
      <c r="A15" s="18"/>
      <c r="B15" s="138" t="s">
        <v>60</v>
      </c>
      <c r="C15" s="108" t="s">
        <v>56</v>
      </c>
      <c r="D15" s="108">
        <v>1</v>
      </c>
      <c r="E15" s="108" t="s">
        <v>57</v>
      </c>
      <c r="F15" s="108" t="s">
        <v>57</v>
      </c>
      <c r="G15" s="123">
        <v>625.62</v>
      </c>
      <c r="H15" s="92"/>
      <c r="I15" s="108">
        <f t="shared" si="0"/>
        <v>625.62</v>
      </c>
      <c r="J15" s="108">
        <f t="shared" si="1"/>
        <v>625.62</v>
      </c>
      <c r="K15" s="90"/>
      <c r="L15" s="162" t="s">
        <v>30</v>
      </c>
      <c r="M15" s="108">
        <v>1</v>
      </c>
      <c r="N15" s="123">
        <v>151.80000000000001</v>
      </c>
      <c r="O15" s="108">
        <v>3.2</v>
      </c>
      <c r="P15" s="92">
        <v>22.66</v>
      </c>
      <c r="Q15" s="92"/>
      <c r="R15" s="108">
        <f t="shared" si="2"/>
        <v>463.1</v>
      </c>
      <c r="S15" s="110"/>
      <c r="T15" s="108" t="s">
        <v>20</v>
      </c>
      <c r="U15" s="92">
        <f t="shared" ref="U15:U18" si="4">N15*M15</f>
        <v>151.80000000000001</v>
      </c>
      <c r="V15" s="103"/>
      <c r="W15" s="108" t="s">
        <v>337</v>
      </c>
      <c r="X15" s="108" t="str">
        <f t="shared" si="3"/>
        <v>cad</v>
      </c>
      <c r="Y15" s="108" t="str">
        <f t="shared" si="3"/>
        <v>cad</v>
      </c>
      <c r="Z15" s="108">
        <f t="shared" si="3"/>
        <v>625.62</v>
      </c>
      <c r="AA15" s="108">
        <f t="shared" ref="AA15:AA29" si="5">H15</f>
        <v>0</v>
      </c>
      <c r="AB15" s="108">
        <f t="shared" si="3"/>
        <v>625.62</v>
      </c>
      <c r="AC15" s="108">
        <f t="shared" si="3"/>
        <v>625.62</v>
      </c>
    </row>
    <row r="16" spans="1:29" s="11" customFormat="1" ht="14.4">
      <c r="A16" s="18"/>
      <c r="B16" s="138" t="s">
        <v>61</v>
      </c>
      <c r="C16" s="162" t="s">
        <v>56</v>
      </c>
      <c r="D16" s="108">
        <v>1</v>
      </c>
      <c r="E16" s="108" t="s">
        <v>57</v>
      </c>
      <c r="F16" s="108" t="s">
        <v>57</v>
      </c>
      <c r="G16" s="145">
        <v>13.35</v>
      </c>
      <c r="H16" s="92"/>
      <c r="I16" s="108">
        <f t="shared" si="0"/>
        <v>13.35</v>
      </c>
      <c r="J16" s="108">
        <f t="shared" si="1"/>
        <v>13.35</v>
      </c>
      <c r="K16" s="90"/>
      <c r="L16" s="162" t="s">
        <v>30</v>
      </c>
      <c r="M16" s="108">
        <v>1</v>
      </c>
      <c r="N16" s="145">
        <v>15.42</v>
      </c>
      <c r="O16" s="108">
        <v>3.2</v>
      </c>
      <c r="P16" s="92">
        <v>3.35</v>
      </c>
      <c r="Q16" s="92"/>
      <c r="R16" s="108">
        <f t="shared" si="2"/>
        <v>45.994</v>
      </c>
      <c r="S16" s="110"/>
      <c r="T16" s="108" t="s">
        <v>20</v>
      </c>
      <c r="U16" s="92">
        <f t="shared" si="4"/>
        <v>15.42</v>
      </c>
      <c r="V16" s="103"/>
      <c r="W16" s="108" t="s">
        <v>337</v>
      </c>
      <c r="X16" s="108" t="str">
        <f t="shared" ref="X16:X29" si="6">E16</f>
        <v>cad</v>
      </c>
      <c r="Y16" s="108" t="str">
        <f t="shared" ref="Y16:Y29" si="7">F16</f>
        <v>cad</v>
      </c>
      <c r="Z16" s="108">
        <f t="shared" ref="Z16:Z29" si="8">G16</f>
        <v>13.35</v>
      </c>
      <c r="AA16" s="108">
        <f t="shared" si="5"/>
        <v>0</v>
      </c>
      <c r="AB16" s="108">
        <f t="shared" ref="AB16:AB29" si="9">I16</f>
        <v>13.35</v>
      </c>
      <c r="AC16" s="108">
        <f t="shared" ref="AC16:AC29" si="10">J16</f>
        <v>13.35</v>
      </c>
    </row>
    <row r="17" spans="1:29" s="11" customFormat="1" ht="14.4">
      <c r="A17" s="18"/>
      <c r="B17" s="138" t="s">
        <v>62</v>
      </c>
      <c r="C17" s="162" t="s">
        <v>56</v>
      </c>
      <c r="D17" s="108">
        <v>1</v>
      </c>
      <c r="E17" s="108" t="s">
        <v>57</v>
      </c>
      <c r="F17" s="108" t="s">
        <v>57</v>
      </c>
      <c r="G17" s="145">
        <v>32.270000000000003</v>
      </c>
      <c r="H17" s="92"/>
      <c r="I17" s="108">
        <f t="shared" si="0"/>
        <v>32.270000000000003</v>
      </c>
      <c r="J17" s="108">
        <f t="shared" si="1"/>
        <v>32.270000000000003</v>
      </c>
      <c r="K17" s="90"/>
      <c r="L17" s="162" t="s">
        <v>30</v>
      </c>
      <c r="M17" s="108">
        <v>1</v>
      </c>
      <c r="N17" s="145">
        <v>24.11</v>
      </c>
      <c r="O17" s="108">
        <v>3.2</v>
      </c>
      <c r="P17" s="92">
        <v>3.35</v>
      </c>
      <c r="Q17" s="92"/>
      <c r="R17" s="108">
        <f t="shared" si="2"/>
        <v>73.802000000000007</v>
      </c>
      <c r="S17" s="110"/>
      <c r="T17" s="108" t="s">
        <v>20</v>
      </c>
      <c r="U17" s="92">
        <f t="shared" si="4"/>
        <v>24.11</v>
      </c>
      <c r="V17" s="103"/>
      <c r="W17" s="108" t="s">
        <v>20</v>
      </c>
      <c r="X17" s="108" t="str">
        <f t="shared" si="6"/>
        <v>cad</v>
      </c>
      <c r="Y17" s="108" t="str">
        <f t="shared" si="7"/>
        <v>cad</v>
      </c>
      <c r="Z17" s="108">
        <f t="shared" si="8"/>
        <v>32.270000000000003</v>
      </c>
      <c r="AA17" s="108">
        <f t="shared" si="5"/>
        <v>0</v>
      </c>
      <c r="AB17" s="108">
        <f t="shared" si="9"/>
        <v>32.270000000000003</v>
      </c>
      <c r="AC17" s="108">
        <f t="shared" si="10"/>
        <v>32.270000000000003</v>
      </c>
    </row>
    <row r="18" spans="1:29" s="11" customFormat="1" ht="14.4">
      <c r="A18" s="18"/>
      <c r="B18" s="138" t="s">
        <v>63</v>
      </c>
      <c r="C18" s="162" t="s">
        <v>56</v>
      </c>
      <c r="D18" s="108">
        <v>1</v>
      </c>
      <c r="E18" s="108" t="s">
        <v>57</v>
      </c>
      <c r="F18" s="108" t="s">
        <v>57</v>
      </c>
      <c r="G18" s="145">
        <v>11.63</v>
      </c>
      <c r="H18" s="92"/>
      <c r="I18" s="108">
        <f t="shared" si="0"/>
        <v>11.63</v>
      </c>
      <c r="J18" s="108">
        <f t="shared" si="1"/>
        <v>11.63</v>
      </c>
      <c r="K18" s="90"/>
      <c r="L18" s="162" t="s">
        <v>30</v>
      </c>
      <c r="M18" s="108">
        <v>1</v>
      </c>
      <c r="N18" s="145">
        <v>14.6</v>
      </c>
      <c r="O18" s="108">
        <v>3.2</v>
      </c>
      <c r="P18" s="92">
        <v>3.35</v>
      </c>
      <c r="Q18" s="92"/>
      <c r="R18" s="108">
        <f t="shared" si="2"/>
        <v>43.37</v>
      </c>
      <c r="S18" s="110"/>
      <c r="T18" s="108" t="s">
        <v>20</v>
      </c>
      <c r="U18" s="163">
        <f t="shared" si="4"/>
        <v>14.6</v>
      </c>
      <c r="V18" s="103"/>
      <c r="W18" s="108" t="s">
        <v>20</v>
      </c>
      <c r="X18" s="108" t="str">
        <f t="shared" si="6"/>
        <v>cad</v>
      </c>
      <c r="Y18" s="108" t="str">
        <f t="shared" si="7"/>
        <v>cad</v>
      </c>
      <c r="Z18" s="108">
        <f t="shared" si="8"/>
        <v>11.63</v>
      </c>
      <c r="AA18" s="108">
        <f t="shared" si="5"/>
        <v>0</v>
      </c>
      <c r="AB18" s="108">
        <f t="shared" si="9"/>
        <v>11.63</v>
      </c>
      <c r="AC18" s="108">
        <f t="shared" si="10"/>
        <v>11.63</v>
      </c>
    </row>
    <row r="19" spans="1:29" s="11" customFormat="1" ht="14.4">
      <c r="A19" s="18"/>
      <c r="B19" s="138" t="s">
        <v>64</v>
      </c>
      <c r="C19" s="95" t="s">
        <v>56</v>
      </c>
      <c r="D19" s="95">
        <v>1</v>
      </c>
      <c r="E19" s="95" t="s">
        <v>57</v>
      </c>
      <c r="F19" s="95" t="s">
        <v>57</v>
      </c>
      <c r="G19" s="123">
        <v>266.52</v>
      </c>
      <c r="H19" s="118"/>
      <c r="I19" s="95">
        <f t="shared" si="0"/>
        <v>266.52</v>
      </c>
      <c r="J19" s="95">
        <f t="shared" si="1"/>
        <v>266.52</v>
      </c>
      <c r="K19" s="83"/>
      <c r="L19" s="95" t="s">
        <v>29</v>
      </c>
      <c r="M19" s="95">
        <v>1</v>
      </c>
      <c r="N19" s="123">
        <v>71.12</v>
      </c>
      <c r="O19" s="95">
        <v>3.2</v>
      </c>
      <c r="P19" s="118">
        <v>9.24</v>
      </c>
      <c r="Q19" s="118"/>
      <c r="R19" s="95">
        <f t="shared" si="2"/>
        <v>218.34400000000002</v>
      </c>
      <c r="S19" s="170"/>
      <c r="T19" s="108" t="s">
        <v>20</v>
      </c>
      <c r="U19" s="163">
        <f t="shared" ref="U19" si="11">N19*M19</f>
        <v>71.12</v>
      </c>
      <c r="V19" s="85"/>
      <c r="W19" s="95" t="s">
        <v>337</v>
      </c>
      <c r="X19" s="95" t="str">
        <f t="shared" ref="X19:X20" si="12">E19</f>
        <v>cad</v>
      </c>
      <c r="Y19" s="95" t="str">
        <f t="shared" ref="Y19:Y20" si="13">F19</f>
        <v>cad</v>
      </c>
      <c r="Z19" s="95">
        <f t="shared" ref="Z19:Z20" si="14">G19</f>
        <v>266.52</v>
      </c>
      <c r="AA19" s="95">
        <f t="shared" si="5"/>
        <v>0</v>
      </c>
      <c r="AB19" s="95">
        <f t="shared" si="9"/>
        <v>266.52</v>
      </c>
      <c r="AC19" s="95">
        <f t="shared" si="10"/>
        <v>266.52</v>
      </c>
    </row>
    <row r="20" spans="1:29" s="11" customFormat="1" ht="14.4">
      <c r="A20" s="18"/>
      <c r="B20" s="201" t="s">
        <v>191</v>
      </c>
      <c r="C20" s="108" t="s">
        <v>56</v>
      </c>
      <c r="D20" s="108">
        <v>1</v>
      </c>
      <c r="E20" s="108" t="s">
        <v>57</v>
      </c>
      <c r="F20" s="108" t="s">
        <v>57</v>
      </c>
      <c r="G20" s="145">
        <v>26.56</v>
      </c>
      <c r="H20" s="92"/>
      <c r="I20" s="108">
        <f t="shared" ref="I20" si="15">(G20-H20)</f>
        <v>26.56</v>
      </c>
      <c r="J20" s="108">
        <f t="shared" ref="J20" si="16">I20*D20</f>
        <v>26.56</v>
      </c>
      <c r="K20" s="90"/>
      <c r="L20" s="162" t="s">
        <v>30</v>
      </c>
      <c r="M20" s="108">
        <v>1</v>
      </c>
      <c r="N20" s="145">
        <v>20.73</v>
      </c>
      <c r="O20" s="108">
        <v>3.2</v>
      </c>
      <c r="P20" s="163">
        <v>2.1</v>
      </c>
      <c r="Q20" s="92"/>
      <c r="R20" s="108">
        <f t="shared" si="2"/>
        <v>64.236000000000004</v>
      </c>
      <c r="S20" s="110"/>
      <c r="T20" s="108" t="s">
        <v>20</v>
      </c>
      <c r="U20" s="92">
        <f t="shared" ref="U20:U29" si="17">N20*M20</f>
        <v>20.73</v>
      </c>
      <c r="V20" s="103"/>
      <c r="W20" s="108" t="s">
        <v>20</v>
      </c>
      <c r="X20" s="108" t="str">
        <f t="shared" si="12"/>
        <v>cad</v>
      </c>
      <c r="Y20" s="108" t="str">
        <f t="shared" si="13"/>
        <v>cad</v>
      </c>
      <c r="Z20" s="108">
        <f t="shared" si="14"/>
        <v>26.56</v>
      </c>
      <c r="AA20" s="108">
        <f t="shared" ref="AA20" si="18">H20</f>
        <v>0</v>
      </c>
      <c r="AB20" s="108">
        <f t="shared" ref="AB20" si="19">I20</f>
        <v>26.56</v>
      </c>
      <c r="AC20" s="108">
        <f t="shared" ref="AC20" si="20">J20</f>
        <v>26.56</v>
      </c>
    </row>
    <row r="21" spans="1:29" s="11" customFormat="1" ht="14.4">
      <c r="A21" s="18"/>
      <c r="B21" s="138" t="s">
        <v>65</v>
      </c>
      <c r="C21" s="162" t="s">
        <v>56</v>
      </c>
      <c r="D21" s="108">
        <v>1</v>
      </c>
      <c r="E21" s="108" t="s">
        <v>57</v>
      </c>
      <c r="F21" s="108" t="s">
        <v>57</v>
      </c>
      <c r="G21" s="145">
        <v>6.27</v>
      </c>
      <c r="H21" s="92"/>
      <c r="I21" s="108">
        <f t="shared" si="0"/>
        <v>6.27</v>
      </c>
      <c r="J21" s="108">
        <f t="shared" si="1"/>
        <v>6.27</v>
      </c>
      <c r="K21" s="90"/>
      <c r="L21" s="162" t="s">
        <v>30</v>
      </c>
      <c r="M21" s="108">
        <v>1</v>
      </c>
      <c r="N21" s="145">
        <v>11.73</v>
      </c>
      <c r="O21" s="108">
        <v>3.2</v>
      </c>
      <c r="P21" s="163">
        <v>4.2</v>
      </c>
      <c r="Q21" s="92"/>
      <c r="R21" s="108">
        <f t="shared" si="2"/>
        <v>33.335999999999999</v>
      </c>
      <c r="S21" s="110"/>
      <c r="T21" s="108" t="s">
        <v>20</v>
      </c>
      <c r="U21" s="92">
        <f t="shared" si="17"/>
        <v>11.73</v>
      </c>
      <c r="V21" s="103"/>
      <c r="W21" s="108" t="s">
        <v>20</v>
      </c>
      <c r="X21" s="108" t="str">
        <f t="shared" si="6"/>
        <v>cad</v>
      </c>
      <c r="Y21" s="108" t="str">
        <f t="shared" si="7"/>
        <v>cad</v>
      </c>
      <c r="Z21" s="108">
        <f t="shared" si="8"/>
        <v>6.27</v>
      </c>
      <c r="AA21" s="108">
        <f t="shared" si="5"/>
        <v>0</v>
      </c>
      <c r="AB21" s="108">
        <f t="shared" si="9"/>
        <v>6.27</v>
      </c>
      <c r="AC21" s="108">
        <f t="shared" si="10"/>
        <v>6.27</v>
      </c>
    </row>
    <row r="22" spans="1:29" s="11" customFormat="1" ht="14.4">
      <c r="A22" s="18"/>
      <c r="B22" s="138" t="s">
        <v>66</v>
      </c>
      <c r="C22" s="162" t="s">
        <v>56</v>
      </c>
      <c r="D22" s="108">
        <v>1</v>
      </c>
      <c r="E22" s="108" t="s">
        <v>57</v>
      </c>
      <c r="F22" s="108" t="s">
        <v>57</v>
      </c>
      <c r="G22" s="162">
        <v>40.909999999999997</v>
      </c>
      <c r="H22" s="92"/>
      <c r="I22" s="108">
        <f t="shared" si="0"/>
        <v>40.909999999999997</v>
      </c>
      <c r="J22" s="108">
        <f t="shared" si="1"/>
        <v>40.909999999999997</v>
      </c>
      <c r="K22" s="90"/>
      <c r="L22" s="162" t="s">
        <v>30</v>
      </c>
      <c r="M22" s="108">
        <v>1</v>
      </c>
      <c r="N22" s="162">
        <v>26.71</v>
      </c>
      <c r="O22" s="108">
        <v>3.2</v>
      </c>
      <c r="P22" s="163">
        <v>2.1</v>
      </c>
      <c r="Q22" s="92"/>
      <c r="R22" s="108">
        <f t="shared" si="2"/>
        <v>83.372000000000014</v>
      </c>
      <c r="S22" s="110"/>
      <c r="T22" s="108" t="s">
        <v>20</v>
      </c>
      <c r="U22" s="92">
        <f t="shared" si="17"/>
        <v>26.71</v>
      </c>
      <c r="V22" s="103"/>
      <c r="W22" s="108" t="s">
        <v>20</v>
      </c>
      <c r="X22" s="108" t="str">
        <f t="shared" si="6"/>
        <v>cad</v>
      </c>
      <c r="Y22" s="108" t="str">
        <f t="shared" si="7"/>
        <v>cad</v>
      </c>
      <c r="Z22" s="108">
        <f t="shared" si="8"/>
        <v>40.909999999999997</v>
      </c>
      <c r="AA22" s="108">
        <f t="shared" si="5"/>
        <v>0</v>
      </c>
      <c r="AB22" s="108">
        <f t="shared" si="9"/>
        <v>40.909999999999997</v>
      </c>
      <c r="AC22" s="108">
        <f t="shared" si="10"/>
        <v>40.909999999999997</v>
      </c>
    </row>
    <row r="23" spans="1:29" s="11" customFormat="1" ht="14.4">
      <c r="A23" s="18"/>
      <c r="B23" s="138" t="s">
        <v>67</v>
      </c>
      <c r="C23" s="162" t="s">
        <v>56</v>
      </c>
      <c r="D23" s="108">
        <v>1</v>
      </c>
      <c r="E23" s="108" t="s">
        <v>57</v>
      </c>
      <c r="F23" s="108" t="s">
        <v>57</v>
      </c>
      <c r="G23" s="145">
        <v>14.43</v>
      </c>
      <c r="H23" s="163">
        <v>2.6</v>
      </c>
      <c r="I23" s="108">
        <f t="shared" si="0"/>
        <v>11.83</v>
      </c>
      <c r="J23" s="108">
        <f t="shared" si="1"/>
        <v>11.83</v>
      </c>
      <c r="K23" s="90"/>
      <c r="L23" s="162" t="s">
        <v>30</v>
      </c>
      <c r="M23" s="108">
        <v>1</v>
      </c>
      <c r="N23" s="145">
        <v>18</v>
      </c>
      <c r="O23" s="108">
        <v>3.2</v>
      </c>
      <c r="P23" s="163">
        <v>4.7</v>
      </c>
      <c r="Q23" s="92"/>
      <c r="R23" s="108">
        <f t="shared" si="2"/>
        <v>52.9</v>
      </c>
      <c r="S23" s="110"/>
      <c r="T23" s="108" t="s">
        <v>20</v>
      </c>
      <c r="U23" s="163">
        <f t="shared" si="17"/>
        <v>18</v>
      </c>
      <c r="V23" s="103"/>
      <c r="W23" s="108" t="s">
        <v>20</v>
      </c>
      <c r="X23" s="108" t="str">
        <f t="shared" si="6"/>
        <v>cad</v>
      </c>
      <c r="Y23" s="108" t="str">
        <f t="shared" si="7"/>
        <v>cad</v>
      </c>
      <c r="Z23" s="108">
        <f t="shared" si="8"/>
        <v>14.43</v>
      </c>
      <c r="AA23" s="108">
        <f t="shared" si="5"/>
        <v>2.6</v>
      </c>
      <c r="AB23" s="108">
        <f t="shared" si="9"/>
        <v>11.83</v>
      </c>
      <c r="AC23" s="108">
        <f t="shared" si="10"/>
        <v>11.83</v>
      </c>
    </row>
    <row r="24" spans="1:29" s="11" customFormat="1" ht="14.4">
      <c r="A24" s="18"/>
      <c r="B24" s="138" t="s">
        <v>335</v>
      </c>
      <c r="C24" s="162" t="s">
        <v>56</v>
      </c>
      <c r="D24" s="108">
        <v>1</v>
      </c>
      <c r="E24" s="108" t="s">
        <v>57</v>
      </c>
      <c r="F24" s="108" t="s">
        <v>57</v>
      </c>
      <c r="G24" s="145">
        <v>2.93</v>
      </c>
      <c r="H24" s="92"/>
      <c r="I24" s="108">
        <f t="shared" si="0"/>
        <v>2.93</v>
      </c>
      <c r="J24" s="108">
        <f t="shared" si="1"/>
        <v>2.93</v>
      </c>
      <c r="K24" s="90"/>
      <c r="L24" s="162" t="s">
        <v>30</v>
      </c>
      <c r="M24" s="108">
        <v>1</v>
      </c>
      <c r="N24" s="145">
        <v>7.19</v>
      </c>
      <c r="O24" s="108">
        <v>3.2</v>
      </c>
      <c r="P24" s="163"/>
      <c r="Q24" s="92"/>
      <c r="R24" s="108">
        <f t="shared" si="2"/>
        <v>23.008000000000003</v>
      </c>
      <c r="S24" s="110"/>
      <c r="T24" s="108" t="s">
        <v>20</v>
      </c>
      <c r="U24" s="92">
        <f t="shared" si="17"/>
        <v>7.19</v>
      </c>
      <c r="V24" s="103"/>
      <c r="W24" s="108" t="s">
        <v>20</v>
      </c>
      <c r="X24" s="108" t="str">
        <f t="shared" ref="X24" si="21">E24</f>
        <v>cad</v>
      </c>
      <c r="Y24" s="108" t="str">
        <f t="shared" ref="Y24" si="22">F24</f>
        <v>cad</v>
      </c>
      <c r="Z24" s="108">
        <f t="shared" ref="Z24" si="23">G24</f>
        <v>2.93</v>
      </c>
      <c r="AA24" s="108"/>
      <c r="AB24" s="108">
        <f t="shared" ref="AB24" si="24">I24</f>
        <v>2.93</v>
      </c>
      <c r="AC24" s="108">
        <f t="shared" ref="AC24" si="25">J24</f>
        <v>2.93</v>
      </c>
    </row>
    <row r="25" spans="1:29" s="11" customFormat="1" ht="14.4">
      <c r="A25" s="18"/>
      <c r="B25" s="138" t="s">
        <v>68</v>
      </c>
      <c r="C25" s="162" t="s">
        <v>56</v>
      </c>
      <c r="D25" s="108">
        <v>1</v>
      </c>
      <c r="E25" s="108" t="s">
        <v>57</v>
      </c>
      <c r="F25" s="108" t="s">
        <v>57</v>
      </c>
      <c r="G25" s="145">
        <v>65.48</v>
      </c>
      <c r="H25" s="163"/>
      <c r="I25" s="108">
        <f t="shared" si="0"/>
        <v>65.48</v>
      </c>
      <c r="J25" s="108">
        <f t="shared" si="1"/>
        <v>65.48</v>
      </c>
      <c r="K25" s="90"/>
      <c r="L25" s="162" t="s">
        <v>30</v>
      </c>
      <c r="M25" s="108">
        <v>1</v>
      </c>
      <c r="N25" s="145">
        <v>35.29</v>
      </c>
      <c r="O25" s="108">
        <v>3.2</v>
      </c>
      <c r="P25" s="163">
        <v>8.4</v>
      </c>
      <c r="Q25" s="92"/>
      <c r="R25" s="108">
        <f t="shared" si="2"/>
        <v>104.52799999999999</v>
      </c>
      <c r="S25" s="110"/>
      <c r="T25" s="108" t="s">
        <v>20</v>
      </c>
      <c r="U25" s="92">
        <f t="shared" si="17"/>
        <v>35.29</v>
      </c>
      <c r="V25" s="103"/>
      <c r="W25" s="108" t="s">
        <v>20</v>
      </c>
      <c r="X25" s="108" t="str">
        <f t="shared" si="6"/>
        <v>cad</v>
      </c>
      <c r="Y25" s="108" t="str">
        <f t="shared" si="7"/>
        <v>cad</v>
      </c>
      <c r="Z25" s="108">
        <f t="shared" si="8"/>
        <v>65.48</v>
      </c>
      <c r="AA25" s="108">
        <f t="shared" si="5"/>
        <v>0</v>
      </c>
      <c r="AB25" s="108">
        <f t="shared" si="9"/>
        <v>65.48</v>
      </c>
      <c r="AC25" s="108">
        <f t="shared" si="10"/>
        <v>65.48</v>
      </c>
    </row>
    <row r="26" spans="1:29" s="11" customFormat="1" ht="14.4">
      <c r="A26" s="18"/>
      <c r="B26" s="138" t="s">
        <v>69</v>
      </c>
      <c r="C26" s="162" t="s">
        <v>56</v>
      </c>
      <c r="D26" s="108">
        <v>1</v>
      </c>
      <c r="E26" s="108" t="s">
        <v>57</v>
      </c>
      <c r="F26" s="108" t="s">
        <v>57</v>
      </c>
      <c r="G26" s="145">
        <v>6.73</v>
      </c>
      <c r="H26" s="92"/>
      <c r="I26" s="108">
        <f t="shared" si="0"/>
        <v>6.73</v>
      </c>
      <c r="J26" s="108">
        <f t="shared" si="1"/>
        <v>6.73</v>
      </c>
      <c r="K26" s="90"/>
      <c r="L26" s="162" t="s">
        <v>30</v>
      </c>
      <c r="M26" s="108">
        <v>1</v>
      </c>
      <c r="N26" s="145">
        <v>10.38</v>
      </c>
      <c r="O26" s="108">
        <v>3.2</v>
      </c>
      <c r="P26" s="163">
        <v>2.1</v>
      </c>
      <c r="Q26" s="92"/>
      <c r="R26" s="108">
        <f t="shared" si="2"/>
        <v>31.116</v>
      </c>
      <c r="S26" s="110"/>
      <c r="T26" s="108" t="s">
        <v>20</v>
      </c>
      <c r="U26" s="92">
        <f t="shared" si="17"/>
        <v>10.38</v>
      </c>
      <c r="V26" s="103"/>
      <c r="W26" s="108" t="s">
        <v>20</v>
      </c>
      <c r="X26" s="108" t="str">
        <f t="shared" si="6"/>
        <v>cad</v>
      </c>
      <c r="Y26" s="108" t="str">
        <f t="shared" si="7"/>
        <v>cad</v>
      </c>
      <c r="Z26" s="108">
        <f t="shared" si="8"/>
        <v>6.73</v>
      </c>
      <c r="AA26" s="108">
        <f t="shared" si="5"/>
        <v>0</v>
      </c>
      <c r="AB26" s="108">
        <f t="shared" si="9"/>
        <v>6.73</v>
      </c>
      <c r="AC26" s="108">
        <f t="shared" si="10"/>
        <v>6.73</v>
      </c>
    </row>
    <row r="27" spans="1:29" s="11" customFormat="1" ht="14.4">
      <c r="A27" s="18"/>
      <c r="B27" s="138" t="s">
        <v>70</v>
      </c>
      <c r="C27" s="162" t="s">
        <v>56</v>
      </c>
      <c r="D27" s="108">
        <v>1</v>
      </c>
      <c r="E27" s="108" t="s">
        <v>57</v>
      </c>
      <c r="F27" s="108" t="s">
        <v>57</v>
      </c>
      <c r="G27" s="145">
        <v>7.53</v>
      </c>
      <c r="H27" s="92"/>
      <c r="I27" s="108">
        <f t="shared" si="0"/>
        <v>7.53</v>
      </c>
      <c r="J27" s="108">
        <f t="shared" si="1"/>
        <v>7.53</v>
      </c>
      <c r="K27" s="90"/>
      <c r="L27" s="162" t="s">
        <v>30</v>
      </c>
      <c r="M27" s="108">
        <v>1</v>
      </c>
      <c r="N27" s="145">
        <v>11</v>
      </c>
      <c r="O27" s="108">
        <v>3.2</v>
      </c>
      <c r="P27" s="163">
        <v>6.3</v>
      </c>
      <c r="Q27" s="92"/>
      <c r="R27" s="108">
        <f t="shared" si="2"/>
        <v>28.900000000000002</v>
      </c>
      <c r="S27" s="110"/>
      <c r="T27" s="108" t="s">
        <v>20</v>
      </c>
      <c r="U27" s="163">
        <f t="shared" si="17"/>
        <v>11</v>
      </c>
      <c r="V27" s="103"/>
      <c r="W27" s="108" t="s">
        <v>20</v>
      </c>
      <c r="X27" s="108" t="str">
        <f t="shared" si="6"/>
        <v>cad</v>
      </c>
      <c r="Y27" s="108" t="str">
        <f t="shared" si="7"/>
        <v>cad</v>
      </c>
      <c r="Z27" s="108">
        <f t="shared" si="8"/>
        <v>7.53</v>
      </c>
      <c r="AA27" s="108">
        <f t="shared" si="5"/>
        <v>0</v>
      </c>
      <c r="AB27" s="108">
        <f t="shared" si="9"/>
        <v>7.53</v>
      </c>
      <c r="AC27" s="108">
        <f t="shared" si="10"/>
        <v>7.53</v>
      </c>
    </row>
    <row r="28" spans="1:29" s="11" customFormat="1" ht="14.4">
      <c r="A28" s="18"/>
      <c r="B28" s="138" t="s">
        <v>71</v>
      </c>
      <c r="C28" s="162" t="s">
        <v>56</v>
      </c>
      <c r="D28" s="108">
        <v>1</v>
      </c>
      <c r="E28" s="108" t="s">
        <v>57</v>
      </c>
      <c r="F28" s="108" t="s">
        <v>57</v>
      </c>
      <c r="G28" s="145">
        <v>63.25</v>
      </c>
      <c r="H28" s="92"/>
      <c r="I28" s="108">
        <f t="shared" si="0"/>
        <v>63.25</v>
      </c>
      <c r="J28" s="108">
        <f t="shared" si="1"/>
        <v>63.25</v>
      </c>
      <c r="K28" s="90"/>
      <c r="L28" s="162" t="s">
        <v>30</v>
      </c>
      <c r="M28" s="108">
        <v>1</v>
      </c>
      <c r="N28" s="145">
        <v>41.68</v>
      </c>
      <c r="O28" s="108">
        <v>3.2</v>
      </c>
      <c r="P28" s="163">
        <v>2.1</v>
      </c>
      <c r="Q28" s="92"/>
      <c r="R28" s="108">
        <f t="shared" si="2"/>
        <v>131.27600000000001</v>
      </c>
      <c r="S28" s="110"/>
      <c r="T28" s="108" t="s">
        <v>20</v>
      </c>
      <c r="U28" s="92">
        <f t="shared" si="17"/>
        <v>41.68</v>
      </c>
      <c r="V28" s="103"/>
      <c r="W28" s="108" t="s">
        <v>20</v>
      </c>
      <c r="X28" s="108" t="str">
        <f t="shared" si="6"/>
        <v>cad</v>
      </c>
      <c r="Y28" s="108" t="str">
        <f t="shared" si="7"/>
        <v>cad</v>
      </c>
      <c r="Z28" s="108">
        <f t="shared" si="8"/>
        <v>63.25</v>
      </c>
      <c r="AA28" s="108">
        <f t="shared" si="5"/>
        <v>0</v>
      </c>
      <c r="AB28" s="108">
        <f t="shared" si="9"/>
        <v>63.25</v>
      </c>
      <c r="AC28" s="108">
        <f t="shared" si="10"/>
        <v>63.25</v>
      </c>
    </row>
    <row r="29" spans="1:29" s="11" customFormat="1" ht="14.4">
      <c r="A29" s="18"/>
      <c r="B29" s="138" t="s">
        <v>72</v>
      </c>
      <c r="C29" s="162" t="s">
        <v>56</v>
      </c>
      <c r="D29" s="108">
        <v>1</v>
      </c>
      <c r="E29" s="108" t="s">
        <v>57</v>
      </c>
      <c r="F29" s="108" t="s">
        <v>57</v>
      </c>
      <c r="G29" s="162">
        <v>40.909999999999997</v>
      </c>
      <c r="H29" s="92"/>
      <c r="I29" s="108">
        <f t="shared" si="0"/>
        <v>40.909999999999997</v>
      </c>
      <c r="J29" s="108">
        <f t="shared" si="1"/>
        <v>40.909999999999997</v>
      </c>
      <c r="K29" s="90"/>
      <c r="L29" s="162" t="s">
        <v>30</v>
      </c>
      <c r="M29" s="108">
        <v>1</v>
      </c>
      <c r="N29" s="162">
        <v>26.71</v>
      </c>
      <c r="O29" s="108">
        <v>3.2</v>
      </c>
      <c r="P29" s="163">
        <v>2.1</v>
      </c>
      <c r="Q29" s="92"/>
      <c r="R29" s="108">
        <f t="shared" si="2"/>
        <v>83.372000000000014</v>
      </c>
      <c r="S29" s="110"/>
      <c r="T29" s="108" t="s">
        <v>20</v>
      </c>
      <c r="U29" s="92">
        <f t="shared" si="17"/>
        <v>26.71</v>
      </c>
      <c r="V29" s="103"/>
      <c r="W29" s="108" t="s">
        <v>20</v>
      </c>
      <c r="X29" s="108" t="str">
        <f t="shared" si="6"/>
        <v>cad</v>
      </c>
      <c r="Y29" s="108" t="str">
        <f t="shared" si="7"/>
        <v>cad</v>
      </c>
      <c r="Z29" s="108">
        <f t="shared" si="8"/>
        <v>40.909999999999997</v>
      </c>
      <c r="AA29" s="108">
        <f t="shared" si="5"/>
        <v>0</v>
      </c>
      <c r="AB29" s="108">
        <f t="shared" si="9"/>
        <v>40.909999999999997</v>
      </c>
      <c r="AC29" s="108">
        <f t="shared" si="10"/>
        <v>40.909999999999997</v>
      </c>
    </row>
    <row r="30" spans="1:29" ht="15.75" customHeight="1">
      <c r="B30" s="85"/>
      <c r="C30" s="85"/>
      <c r="D30" s="85"/>
      <c r="E30" s="85"/>
      <c r="F30" s="85"/>
      <c r="G30" s="87">
        <f>SUM(G12:G24,G25:G29)</f>
        <v>1283.1200000000003</v>
      </c>
      <c r="H30" s="85"/>
      <c r="I30" s="85"/>
      <c r="J30" s="189">
        <f>SUM(J12:J24,J25:J29)</f>
        <v>1280.5200000000002</v>
      </c>
      <c r="K30" s="83"/>
      <c r="L30" s="85"/>
      <c r="M30" s="87"/>
      <c r="N30" s="87">
        <f>SUM(N12:N24,N25:N29)</f>
        <v>539.17000000000007</v>
      </c>
      <c r="O30" s="87"/>
      <c r="P30" s="87"/>
      <c r="Q30" s="85"/>
      <c r="R30" s="189">
        <f>SUM(R12:R29)</f>
        <v>1640.8940000000007</v>
      </c>
      <c r="S30" s="83"/>
      <c r="T30" s="85"/>
      <c r="U30" s="189">
        <f>SUM(U12:U24,U25:U29)</f>
        <v>539.17000000000007</v>
      </c>
      <c r="V30" s="85"/>
      <c r="W30" s="85"/>
      <c r="X30" s="85"/>
      <c r="Y30" s="85"/>
      <c r="Z30" s="85"/>
      <c r="AA30" s="85"/>
      <c r="AB30" s="85"/>
      <c r="AC30" s="189">
        <f>SUM(AC12:AC24,AC25:AC29)</f>
        <v>1280.5200000000002</v>
      </c>
    </row>
    <row r="31" spans="1:29" ht="15.75" customHeight="1">
      <c r="B31" s="227" t="s">
        <v>5</v>
      </c>
      <c r="C31" s="187"/>
      <c r="D31" s="83"/>
      <c r="E31" s="83"/>
      <c r="F31" s="191"/>
      <c r="G31" s="83"/>
      <c r="H31" s="83"/>
      <c r="I31" s="83"/>
      <c r="J31" s="170"/>
      <c r="K31" s="83"/>
      <c r="L31" s="80"/>
      <c r="M31" s="170"/>
      <c r="N31" s="170"/>
      <c r="O31" s="170"/>
      <c r="P31" s="170"/>
      <c r="Q31" s="83"/>
      <c r="R31" s="83"/>
      <c r="S31" s="83"/>
      <c r="T31" s="83"/>
      <c r="U31" s="226"/>
      <c r="V31" s="83"/>
      <c r="W31" s="83"/>
      <c r="X31" s="83"/>
      <c r="Y31" s="83"/>
      <c r="Z31" s="83"/>
      <c r="AA31" s="83"/>
      <c r="AB31" s="83"/>
      <c r="AC31" s="83"/>
    </row>
    <row r="32" spans="1:29" ht="15.75" customHeight="1">
      <c r="B32" s="227"/>
      <c r="C32" s="187"/>
      <c r="D32" s="83"/>
      <c r="E32" s="83"/>
      <c r="F32" s="191"/>
      <c r="G32" s="83"/>
      <c r="H32" s="83"/>
      <c r="I32" s="83"/>
      <c r="J32" s="170"/>
      <c r="K32" s="83"/>
      <c r="L32" s="83"/>
      <c r="M32" s="170"/>
      <c r="N32" s="170"/>
      <c r="O32" s="170"/>
      <c r="P32" s="170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2:35" ht="15.75" customHeight="1">
      <c r="B33" s="227" t="s">
        <v>3</v>
      </c>
      <c r="C33" s="187"/>
      <c r="D33" s="83"/>
      <c r="E33" s="83"/>
      <c r="F33" s="191"/>
      <c r="G33" s="83"/>
      <c r="H33" s="83"/>
      <c r="I33" s="83"/>
      <c r="J33" s="170"/>
      <c r="K33" s="83"/>
      <c r="L33" s="83"/>
      <c r="M33" s="170"/>
      <c r="N33" s="227" t="s">
        <v>2</v>
      </c>
      <c r="O33" s="187"/>
      <c r="P33" s="170"/>
      <c r="Q33" s="83"/>
      <c r="R33" s="83"/>
      <c r="S33" s="83"/>
      <c r="T33" s="83"/>
      <c r="U33" s="83"/>
      <c r="V33" s="83"/>
      <c r="W33" s="83"/>
      <c r="X33" s="227" t="s">
        <v>4</v>
      </c>
      <c r="Y33" s="187"/>
      <c r="Z33" s="83"/>
      <c r="AA33" s="83"/>
      <c r="AB33" s="83"/>
      <c r="AC33" s="83"/>
      <c r="AE33" s="20"/>
      <c r="AF33" s="15"/>
      <c r="AG33" s="15"/>
      <c r="AH33" s="15"/>
      <c r="AI33" s="10"/>
    </row>
    <row r="34" spans="2:35" ht="15.75" customHeight="1">
      <c r="B34" s="162" t="s">
        <v>17</v>
      </c>
      <c r="C34" s="218">
        <f>SUMIF(C$12:C$29,B34,J$12:J$29)</f>
        <v>0</v>
      </c>
      <c r="D34" s="83"/>
      <c r="E34" s="83"/>
      <c r="F34" s="191"/>
      <c r="G34" s="83"/>
      <c r="H34" s="83"/>
      <c r="I34" s="83"/>
      <c r="J34" s="170"/>
      <c r="K34" s="83"/>
      <c r="L34" s="83"/>
      <c r="M34" s="170"/>
      <c r="N34" s="162" t="s">
        <v>17</v>
      </c>
      <c r="O34" s="219">
        <f>SUMIF(L$12:L$29,N34,R$12:R$29)</f>
        <v>0</v>
      </c>
      <c r="P34" s="170"/>
      <c r="Q34" s="83"/>
      <c r="R34" s="83"/>
      <c r="S34" s="83"/>
      <c r="T34" s="83"/>
      <c r="U34" s="83"/>
      <c r="V34" s="83"/>
      <c r="W34" s="83"/>
      <c r="X34" s="228" t="s">
        <v>17</v>
      </c>
      <c r="Y34" s="221"/>
      <c r="Z34" s="83"/>
      <c r="AA34" s="83"/>
      <c r="AB34" s="83"/>
      <c r="AC34" s="83"/>
      <c r="AE34" s="9"/>
      <c r="AF34" s="9"/>
      <c r="AG34" s="9"/>
      <c r="AH34" s="9"/>
      <c r="AI34" s="9"/>
    </row>
    <row r="35" spans="2:35" ht="15.75" customHeight="1">
      <c r="B35" s="162" t="s">
        <v>18</v>
      </c>
      <c r="C35" s="218">
        <f t="shared" ref="C35:C43" si="26">SUMIF(C$12:C$29,B35,J$12:J$29)</f>
        <v>0</v>
      </c>
      <c r="D35" s="83"/>
      <c r="E35" s="83"/>
      <c r="F35" s="191"/>
      <c r="G35" s="83"/>
      <c r="H35" s="83"/>
      <c r="I35" s="83"/>
      <c r="J35" s="170"/>
      <c r="K35" s="83"/>
      <c r="L35" s="83"/>
      <c r="M35" s="170"/>
      <c r="N35" s="162" t="s">
        <v>18</v>
      </c>
      <c r="O35" s="219">
        <f t="shared" ref="O35:O52" si="27">SUMIF(L$12:L$29,N35,R$12:R$29)</f>
        <v>0</v>
      </c>
      <c r="P35" s="170"/>
      <c r="Q35" s="83"/>
      <c r="R35" s="83"/>
      <c r="S35" s="83"/>
      <c r="T35" s="83"/>
      <c r="U35" s="83"/>
      <c r="V35" s="83"/>
      <c r="W35" s="83"/>
      <c r="X35" s="228" t="s">
        <v>18</v>
      </c>
      <c r="Y35" s="221"/>
      <c r="Z35" s="83"/>
      <c r="AA35" s="83"/>
      <c r="AB35" s="83"/>
      <c r="AC35" s="83"/>
      <c r="AE35" s="9"/>
      <c r="AF35" s="38"/>
      <c r="AG35" s="38"/>
      <c r="AH35" s="38"/>
      <c r="AI35" s="31"/>
    </row>
    <row r="36" spans="2:35" ht="15.75" customHeight="1">
      <c r="B36" s="162" t="s">
        <v>19</v>
      </c>
      <c r="C36" s="218">
        <f t="shared" si="26"/>
        <v>0</v>
      </c>
      <c r="D36" s="83"/>
      <c r="E36" s="83"/>
      <c r="F36" s="191"/>
      <c r="G36" s="83"/>
      <c r="H36" s="83"/>
      <c r="I36" s="83"/>
      <c r="J36" s="170"/>
      <c r="K36" s="83"/>
      <c r="L36" s="83"/>
      <c r="M36" s="170"/>
      <c r="N36" s="162" t="s">
        <v>19</v>
      </c>
      <c r="O36" s="219">
        <f t="shared" si="27"/>
        <v>0</v>
      </c>
      <c r="P36" s="170"/>
      <c r="Q36" s="83"/>
      <c r="R36" s="83"/>
      <c r="S36" s="83"/>
      <c r="T36" s="83"/>
      <c r="U36" s="83"/>
      <c r="V36" s="83"/>
      <c r="W36" s="83"/>
      <c r="X36" s="228" t="s">
        <v>19</v>
      </c>
      <c r="Y36" s="221"/>
      <c r="Z36" s="83"/>
      <c r="AA36" s="83"/>
      <c r="AB36" s="83"/>
      <c r="AC36" s="83"/>
    </row>
    <row r="37" spans="2:35" ht="15.75" customHeight="1">
      <c r="B37" s="162" t="s">
        <v>20</v>
      </c>
      <c r="C37" s="218">
        <f t="shared" si="26"/>
        <v>0</v>
      </c>
      <c r="D37" s="83"/>
      <c r="E37" s="83"/>
      <c r="F37" s="191"/>
      <c r="G37" s="83"/>
      <c r="H37" s="83"/>
      <c r="I37" s="83"/>
      <c r="J37" s="170"/>
      <c r="K37" s="83"/>
      <c r="L37" s="83"/>
      <c r="M37" s="170"/>
      <c r="N37" s="162" t="s">
        <v>20</v>
      </c>
      <c r="O37" s="219">
        <f t="shared" si="27"/>
        <v>0</v>
      </c>
      <c r="P37" s="170"/>
      <c r="Q37" s="83"/>
      <c r="R37" s="83"/>
      <c r="S37" s="83"/>
      <c r="T37" s="83"/>
      <c r="U37" s="83"/>
      <c r="V37" s="83"/>
      <c r="W37" s="83"/>
      <c r="X37" s="162" t="s">
        <v>20</v>
      </c>
      <c r="Y37" s="221">
        <f>SUM(AC12:AC14,AC17:AC18,AC20:AC24,AC25:AC29)</f>
        <v>375.03</v>
      </c>
      <c r="Z37" s="83"/>
      <c r="AA37" s="83"/>
      <c r="AB37" s="83"/>
      <c r="AC37" s="83"/>
    </row>
    <row r="38" spans="2:35" ht="15.75" customHeight="1">
      <c r="B38" s="162" t="s">
        <v>21</v>
      </c>
      <c r="C38" s="218">
        <f t="shared" si="26"/>
        <v>0</v>
      </c>
      <c r="D38" s="83"/>
      <c r="E38" s="83"/>
      <c r="F38" s="191"/>
      <c r="G38" s="83"/>
      <c r="H38" s="83"/>
      <c r="I38" s="83"/>
      <c r="J38" s="170"/>
      <c r="K38" s="83"/>
      <c r="L38" s="83"/>
      <c r="M38" s="170"/>
      <c r="N38" s="162" t="s">
        <v>21</v>
      </c>
      <c r="O38" s="219">
        <f t="shared" si="27"/>
        <v>0</v>
      </c>
      <c r="P38" s="170"/>
      <c r="Q38" s="83"/>
      <c r="R38" s="83"/>
      <c r="S38" s="83"/>
      <c r="T38" s="83"/>
      <c r="U38" s="83"/>
      <c r="V38" s="83"/>
      <c r="W38" s="83"/>
      <c r="X38" s="162" t="s">
        <v>21</v>
      </c>
      <c r="Y38" s="221"/>
      <c r="Z38" s="83"/>
      <c r="AA38" s="83"/>
      <c r="AB38" s="83"/>
      <c r="AC38" s="83"/>
    </row>
    <row r="39" spans="2:35" ht="15.75" customHeight="1">
      <c r="B39" s="162" t="s">
        <v>22</v>
      </c>
      <c r="C39" s="218">
        <f t="shared" si="26"/>
        <v>0</v>
      </c>
      <c r="D39" s="83"/>
      <c r="E39" s="83"/>
      <c r="F39" s="191"/>
      <c r="G39" s="83"/>
      <c r="H39" s="83"/>
      <c r="I39" s="83"/>
      <c r="J39" s="170"/>
      <c r="K39" s="83"/>
      <c r="L39" s="83"/>
      <c r="M39" s="170"/>
      <c r="N39" s="162" t="s">
        <v>22</v>
      </c>
      <c r="O39" s="219">
        <f t="shared" si="27"/>
        <v>0</v>
      </c>
      <c r="P39" s="170"/>
      <c r="Q39" s="83"/>
      <c r="R39" s="83"/>
      <c r="S39" s="83"/>
      <c r="T39" s="83"/>
      <c r="U39" s="83"/>
      <c r="V39" s="83"/>
      <c r="W39" s="83"/>
      <c r="X39" s="162" t="s">
        <v>22</v>
      </c>
      <c r="Y39" s="221"/>
      <c r="Z39" s="83"/>
      <c r="AA39" s="83"/>
      <c r="AB39" s="83"/>
      <c r="AC39" s="83"/>
    </row>
    <row r="40" spans="2:35" ht="15.75" customHeight="1">
      <c r="B40" s="162" t="s">
        <v>23</v>
      </c>
      <c r="C40" s="218">
        <f t="shared" si="26"/>
        <v>0</v>
      </c>
      <c r="D40" s="83"/>
      <c r="E40" s="83"/>
      <c r="F40" s="191"/>
      <c r="G40" s="83"/>
      <c r="H40" s="83"/>
      <c r="I40" s="83"/>
      <c r="J40" s="170"/>
      <c r="K40" s="83"/>
      <c r="L40" s="83"/>
      <c r="M40" s="170"/>
      <c r="N40" s="162" t="s">
        <v>23</v>
      </c>
      <c r="O40" s="219">
        <f t="shared" si="27"/>
        <v>0</v>
      </c>
      <c r="P40" s="170"/>
      <c r="Q40" s="83"/>
      <c r="R40" s="83"/>
      <c r="S40" s="83"/>
      <c r="T40" s="83"/>
      <c r="U40" s="83"/>
      <c r="V40" s="83"/>
      <c r="W40" s="83"/>
      <c r="X40" s="162" t="s">
        <v>23</v>
      </c>
      <c r="Y40" s="221"/>
      <c r="Z40" s="83"/>
      <c r="AA40" s="83"/>
      <c r="AB40" s="83"/>
      <c r="AC40" s="83"/>
    </row>
    <row r="41" spans="2:35" ht="15.75" customHeight="1">
      <c r="B41" s="162" t="s">
        <v>56</v>
      </c>
      <c r="C41" s="218">
        <f t="shared" si="26"/>
        <v>1280.5200000000002</v>
      </c>
      <c r="D41" s="83"/>
      <c r="E41" s="83"/>
      <c r="F41" s="191"/>
      <c r="G41" s="83"/>
      <c r="H41" s="83"/>
      <c r="I41" s="83"/>
      <c r="J41" s="170"/>
      <c r="K41" s="83"/>
      <c r="L41" s="83"/>
      <c r="M41" s="170"/>
      <c r="N41" s="162" t="s">
        <v>24</v>
      </c>
      <c r="O41" s="219">
        <f t="shared" si="27"/>
        <v>0</v>
      </c>
      <c r="P41" s="170"/>
      <c r="Q41" s="83"/>
      <c r="R41" s="83"/>
      <c r="S41" s="83"/>
      <c r="T41" s="83"/>
      <c r="U41" s="83"/>
      <c r="V41" s="83"/>
      <c r="W41" s="83"/>
      <c r="X41" s="162" t="s">
        <v>24</v>
      </c>
      <c r="Y41" s="221"/>
      <c r="Z41" s="83"/>
      <c r="AA41" s="83"/>
      <c r="AB41" s="83"/>
      <c r="AC41" s="83"/>
    </row>
    <row r="42" spans="2:35" ht="15.75" customHeight="1">
      <c r="B42" s="162" t="s">
        <v>25</v>
      </c>
      <c r="C42" s="218">
        <f t="shared" si="26"/>
        <v>0</v>
      </c>
      <c r="D42" s="83"/>
      <c r="E42" s="83"/>
      <c r="F42" s="191"/>
      <c r="G42" s="83"/>
      <c r="H42" s="83"/>
      <c r="I42" s="83"/>
      <c r="J42" s="170"/>
      <c r="K42" s="83"/>
      <c r="L42" s="83"/>
      <c r="M42" s="170"/>
      <c r="N42" s="162" t="s">
        <v>25</v>
      </c>
      <c r="O42" s="219">
        <f t="shared" si="27"/>
        <v>0</v>
      </c>
      <c r="P42" s="170"/>
      <c r="Q42" s="83"/>
      <c r="R42" s="83"/>
      <c r="S42" s="83"/>
      <c r="T42" s="83"/>
      <c r="U42" s="83"/>
      <c r="V42" s="83"/>
      <c r="W42" s="83"/>
      <c r="X42" s="162" t="s">
        <v>25</v>
      </c>
      <c r="Y42" s="221"/>
      <c r="Z42" s="83"/>
      <c r="AA42" s="83"/>
      <c r="AB42" s="83"/>
      <c r="AC42" s="83"/>
    </row>
    <row r="43" spans="2:35" ht="15.75" customHeight="1">
      <c r="B43" s="162" t="s">
        <v>26</v>
      </c>
      <c r="C43" s="218">
        <f t="shared" si="26"/>
        <v>0</v>
      </c>
      <c r="D43" s="83"/>
      <c r="E43" s="83"/>
      <c r="F43" s="191"/>
      <c r="G43" s="83"/>
      <c r="H43" s="83"/>
      <c r="I43" s="83"/>
      <c r="J43" s="170"/>
      <c r="K43" s="83"/>
      <c r="L43" s="83"/>
      <c r="M43" s="170"/>
      <c r="N43" s="162" t="s">
        <v>27</v>
      </c>
      <c r="O43" s="219">
        <f t="shared" si="27"/>
        <v>0</v>
      </c>
      <c r="P43" s="170"/>
      <c r="Q43" s="83"/>
      <c r="R43" s="83"/>
      <c r="S43" s="83"/>
      <c r="T43" s="83"/>
      <c r="U43" s="83"/>
      <c r="V43" s="83"/>
      <c r="W43" s="83"/>
      <c r="X43" s="162" t="s">
        <v>26</v>
      </c>
      <c r="Y43" s="118"/>
      <c r="Z43" s="83"/>
      <c r="AA43" s="83"/>
      <c r="AB43" s="83"/>
      <c r="AC43" s="83"/>
    </row>
    <row r="44" spans="2:35" ht="15.75" customHeight="1">
      <c r="B44" s="87"/>
      <c r="C44" s="224">
        <f>SUM(C34:C43)</f>
        <v>1280.5200000000002</v>
      </c>
      <c r="D44" s="170">
        <f>C44-J30</f>
        <v>0</v>
      </c>
      <c r="E44" s="83"/>
      <c r="F44" s="191"/>
      <c r="G44" s="83"/>
      <c r="H44" s="83"/>
      <c r="I44" s="83"/>
      <c r="J44" s="170"/>
      <c r="K44" s="83"/>
      <c r="L44" s="83"/>
      <c r="M44" s="170"/>
      <c r="N44" s="162" t="s">
        <v>337</v>
      </c>
      <c r="O44" s="219">
        <f t="shared" si="27"/>
        <v>0</v>
      </c>
      <c r="P44" s="170"/>
      <c r="Q44" s="83"/>
      <c r="R44" s="83"/>
      <c r="S44" s="83"/>
      <c r="T44" s="83"/>
      <c r="U44" s="83"/>
      <c r="V44" s="83"/>
      <c r="W44" s="83"/>
      <c r="X44" s="162" t="s">
        <v>27</v>
      </c>
      <c r="Y44" s="118"/>
      <c r="Z44" s="83"/>
      <c r="AA44" s="83"/>
      <c r="AB44" s="83"/>
      <c r="AC44" s="83"/>
    </row>
    <row r="45" spans="2:35" ht="15.75" customHeight="1">
      <c r="B45" s="83"/>
      <c r="C45" s="187"/>
      <c r="D45" s="83"/>
      <c r="E45" s="83"/>
      <c r="F45" s="191"/>
      <c r="G45" s="83"/>
      <c r="H45" s="83"/>
      <c r="I45" s="83"/>
      <c r="J45" s="170"/>
      <c r="K45" s="83"/>
      <c r="L45" s="83"/>
      <c r="M45" s="170"/>
      <c r="N45" s="162" t="s">
        <v>338</v>
      </c>
      <c r="O45" s="219">
        <f t="shared" si="27"/>
        <v>0</v>
      </c>
      <c r="P45" s="170"/>
      <c r="Q45" s="83"/>
      <c r="R45" s="83"/>
      <c r="S45" s="83"/>
      <c r="T45" s="83"/>
      <c r="U45" s="83"/>
      <c r="V45" s="83"/>
      <c r="W45" s="83"/>
      <c r="X45" s="162" t="s">
        <v>337</v>
      </c>
      <c r="Y45" s="95">
        <f>SUM(AC15,AC16,AC19)</f>
        <v>905.49</v>
      </c>
      <c r="Z45" s="83"/>
      <c r="AA45" s="83"/>
      <c r="AB45" s="83"/>
      <c r="AC45" s="83"/>
    </row>
    <row r="46" spans="2:35" ht="15.75" customHeight="1">
      <c r="B46" s="83"/>
      <c r="C46" s="187"/>
      <c r="D46" s="83"/>
      <c r="E46" s="83"/>
      <c r="F46" s="191"/>
      <c r="G46" s="83"/>
      <c r="H46" s="83"/>
      <c r="I46" s="83"/>
      <c r="J46" s="170"/>
      <c r="K46" s="83"/>
      <c r="L46" s="83"/>
      <c r="M46" s="170"/>
      <c r="N46" s="162" t="s">
        <v>339</v>
      </c>
      <c r="O46" s="219">
        <f t="shared" si="27"/>
        <v>0</v>
      </c>
      <c r="P46" s="170"/>
      <c r="Q46" s="83"/>
      <c r="R46" s="83"/>
      <c r="S46" s="83"/>
      <c r="T46" s="83"/>
      <c r="U46" s="83"/>
      <c r="V46" s="83"/>
      <c r="W46" s="83"/>
      <c r="X46" s="83"/>
      <c r="Y46" s="240">
        <f>SUM(Y34:Y45)</f>
        <v>1280.52</v>
      </c>
      <c r="Z46" s="83"/>
      <c r="AA46" s="83"/>
      <c r="AB46" s="83"/>
      <c r="AC46" s="83"/>
    </row>
    <row r="47" spans="2:35" ht="15.75" customHeight="1">
      <c r="B47" s="83"/>
      <c r="C47" s="187"/>
      <c r="D47" s="83"/>
      <c r="E47" s="83"/>
      <c r="F47" s="191"/>
      <c r="G47" s="83"/>
      <c r="H47" s="83"/>
      <c r="I47" s="83"/>
      <c r="J47" s="170"/>
      <c r="K47" s="83"/>
      <c r="L47" s="83"/>
      <c r="M47" s="170"/>
      <c r="N47" s="162" t="s">
        <v>28</v>
      </c>
      <c r="O47" s="219">
        <f t="shared" si="27"/>
        <v>0</v>
      </c>
      <c r="P47" s="170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2:35" ht="15.75" customHeight="1">
      <c r="B48" s="83"/>
      <c r="C48" s="187"/>
      <c r="D48" s="83"/>
      <c r="E48" s="83"/>
      <c r="F48" s="191"/>
      <c r="G48" s="83"/>
      <c r="H48" s="83"/>
      <c r="I48" s="83"/>
      <c r="J48" s="170"/>
      <c r="K48" s="83"/>
      <c r="L48" s="83"/>
      <c r="M48" s="170"/>
      <c r="N48" s="162" t="s">
        <v>29</v>
      </c>
      <c r="O48" s="219">
        <f t="shared" si="27"/>
        <v>218.34400000000002</v>
      </c>
      <c r="P48" s="170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2:29" ht="15.75" customHeight="1">
      <c r="B49" s="83"/>
      <c r="C49" s="187"/>
      <c r="D49" s="83"/>
      <c r="E49" s="83"/>
      <c r="F49" s="191"/>
      <c r="G49" s="83"/>
      <c r="H49" s="83"/>
      <c r="I49" s="83"/>
      <c r="J49" s="170"/>
      <c r="K49" s="83"/>
      <c r="L49" s="83"/>
      <c r="M49" s="170"/>
      <c r="N49" s="162" t="s">
        <v>30</v>
      </c>
      <c r="O49" s="219">
        <f t="shared" si="27"/>
        <v>1422.5500000000002</v>
      </c>
      <c r="P49" s="170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2:29" ht="15.75" customHeight="1">
      <c r="B50" s="83"/>
      <c r="C50" s="187"/>
      <c r="D50" s="83"/>
      <c r="E50" s="83"/>
      <c r="F50" s="191"/>
      <c r="G50" s="83"/>
      <c r="H50" s="83"/>
      <c r="I50" s="83"/>
      <c r="J50" s="170"/>
      <c r="K50" s="83"/>
      <c r="L50" s="83"/>
      <c r="M50" s="170"/>
      <c r="N50" s="162" t="s">
        <v>340</v>
      </c>
      <c r="O50" s="219">
        <f t="shared" si="27"/>
        <v>0</v>
      </c>
      <c r="P50" s="170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2:29" ht="15.75" customHeight="1">
      <c r="B51" s="83"/>
      <c r="C51" s="187"/>
      <c r="D51" s="83"/>
      <c r="E51" s="83"/>
      <c r="F51" s="191"/>
      <c r="G51" s="83"/>
      <c r="H51" s="83"/>
      <c r="I51" s="83"/>
      <c r="J51" s="170"/>
      <c r="K51" s="83"/>
      <c r="L51" s="83"/>
      <c r="M51" s="170"/>
      <c r="N51" s="162" t="s">
        <v>341</v>
      </c>
      <c r="O51" s="219">
        <f t="shared" si="27"/>
        <v>0</v>
      </c>
      <c r="P51" s="170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2:29" ht="15.75" customHeight="1">
      <c r="B52" s="83"/>
      <c r="C52" s="187"/>
      <c r="D52" s="83"/>
      <c r="E52" s="83"/>
      <c r="F52" s="191"/>
      <c r="G52" s="83"/>
      <c r="H52" s="83"/>
      <c r="I52" s="83"/>
      <c r="J52" s="170"/>
      <c r="K52" s="83"/>
      <c r="L52" s="83"/>
      <c r="M52" s="170"/>
      <c r="N52" s="162" t="s">
        <v>31</v>
      </c>
      <c r="O52" s="219">
        <f t="shared" si="27"/>
        <v>0</v>
      </c>
      <c r="P52" s="170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2:29" ht="15.75" customHeight="1">
      <c r="B53" s="83"/>
      <c r="C53" s="187"/>
      <c r="D53" s="83"/>
      <c r="E53" s="83"/>
      <c r="F53" s="191"/>
      <c r="G53" s="83"/>
      <c r="H53" s="83"/>
      <c r="I53" s="83"/>
      <c r="J53" s="170"/>
      <c r="K53" s="83"/>
      <c r="L53" s="83"/>
      <c r="M53" s="170"/>
      <c r="N53" s="83"/>
      <c r="O53" s="270">
        <f>SUM(O34:O52)</f>
        <v>1640.8940000000002</v>
      </c>
      <c r="P53" s="170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2:29" ht="15.75" customHeight="1">
      <c r="B54" s="227" t="s">
        <v>33</v>
      </c>
      <c r="C54" s="80"/>
      <c r="D54" s="80"/>
      <c r="E54" s="80"/>
      <c r="F54" s="188"/>
      <c r="G54" s="83"/>
      <c r="H54" s="83"/>
      <c r="I54" s="83"/>
      <c r="J54" s="170"/>
      <c r="K54" s="83"/>
      <c r="L54" s="83"/>
      <c r="M54" s="170"/>
      <c r="N54" s="170"/>
      <c r="O54" s="170"/>
      <c r="P54" s="170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2:29" ht="15.75" customHeight="1">
      <c r="B55" s="83"/>
      <c r="C55" s="80"/>
      <c r="D55" s="80"/>
      <c r="E55" s="80"/>
      <c r="F55" s="188"/>
      <c r="G55" s="83"/>
      <c r="H55" s="83"/>
      <c r="I55" s="83"/>
      <c r="J55" s="170"/>
      <c r="K55" s="83"/>
      <c r="L55" s="83"/>
      <c r="M55" s="170"/>
      <c r="N55" s="170"/>
      <c r="O55" s="170"/>
      <c r="P55" s="170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2:29" ht="60" customHeight="1">
      <c r="B56" s="91" t="s">
        <v>357</v>
      </c>
      <c r="C56" s="323" t="s">
        <v>359</v>
      </c>
      <c r="D56" s="323"/>
      <c r="E56" s="323"/>
      <c r="F56" s="236">
        <f>SUMIF(T$12:T$29,B56,U$12:U$29)</f>
        <v>0</v>
      </c>
      <c r="G56" s="83"/>
      <c r="H56" s="83"/>
      <c r="I56" s="83"/>
      <c r="J56" s="170"/>
      <c r="K56" s="83"/>
      <c r="L56" s="83"/>
      <c r="M56" s="170"/>
      <c r="N56" s="170"/>
      <c r="O56" s="170"/>
      <c r="P56" s="170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2:29" ht="60" customHeight="1">
      <c r="B57" s="91" t="s">
        <v>366</v>
      </c>
      <c r="C57" s="323" t="s">
        <v>360</v>
      </c>
      <c r="D57" s="323"/>
      <c r="E57" s="323"/>
      <c r="F57" s="236">
        <f>SUMIF(T$12:T$29,B57,U$12:U$29)</f>
        <v>0</v>
      </c>
      <c r="G57" s="83"/>
      <c r="H57" s="83"/>
      <c r="I57" s="83"/>
      <c r="J57" s="170"/>
      <c r="K57" s="83"/>
      <c r="L57" s="83"/>
      <c r="M57" s="170"/>
      <c r="N57" s="170"/>
      <c r="O57" s="170"/>
      <c r="P57" s="170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2:29" ht="40.049999999999997" customHeight="1">
      <c r="B58" s="91" t="s">
        <v>358</v>
      </c>
      <c r="C58" s="323" t="s">
        <v>361</v>
      </c>
      <c r="D58" s="323"/>
      <c r="E58" s="323"/>
      <c r="F58" s="236">
        <f>SUMIF(T$12:T$29,B58,U$12:U$29)</f>
        <v>0</v>
      </c>
      <c r="G58" s="83"/>
      <c r="H58" s="83"/>
      <c r="I58" s="83"/>
      <c r="J58" s="170"/>
      <c r="K58" s="83"/>
      <c r="L58" s="83"/>
      <c r="M58" s="170"/>
      <c r="N58" s="170"/>
      <c r="O58" s="170"/>
      <c r="P58" s="170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2:29" ht="60" customHeight="1">
      <c r="B59" s="91" t="s">
        <v>356</v>
      </c>
      <c r="C59" s="323" t="s">
        <v>362</v>
      </c>
      <c r="D59" s="323"/>
      <c r="E59" s="323"/>
      <c r="F59" s="271">
        <f>U30</f>
        <v>539.17000000000007</v>
      </c>
      <c r="G59" s="83"/>
      <c r="H59" s="83"/>
      <c r="I59" s="83"/>
      <c r="J59" s="170"/>
      <c r="K59" s="83"/>
      <c r="L59" s="83"/>
      <c r="M59" s="170"/>
      <c r="N59" s="170"/>
      <c r="O59" s="170"/>
      <c r="P59" s="170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2:29" ht="15.75" customHeight="1">
      <c r="B60" s="83"/>
      <c r="C60" s="80"/>
      <c r="D60" s="80"/>
      <c r="E60" s="80"/>
      <c r="F60" s="66">
        <f>SUM(F56:F59)</f>
        <v>539.17000000000007</v>
      </c>
      <c r="G60" s="83"/>
      <c r="H60" s="83"/>
      <c r="I60" s="83"/>
      <c r="J60" s="170"/>
      <c r="K60" s="83"/>
      <c r="L60" s="83"/>
      <c r="M60" s="170"/>
      <c r="N60" s="170"/>
      <c r="O60" s="170"/>
      <c r="P60" s="170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2:29" ht="15.75" customHeight="1">
      <c r="B61" s="83"/>
      <c r="C61" s="187"/>
      <c r="D61" s="83"/>
      <c r="E61" s="83"/>
      <c r="F61" s="191"/>
      <c r="G61" s="83"/>
      <c r="H61" s="83"/>
      <c r="I61" s="83"/>
      <c r="J61" s="170"/>
      <c r="K61" s="83"/>
      <c r="L61" s="83"/>
      <c r="M61" s="170"/>
      <c r="N61" s="170"/>
      <c r="O61" s="170"/>
      <c r="P61" s="170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2:29" ht="15.75" customHeight="1">
      <c r="B62" s="83"/>
      <c r="C62" s="187"/>
      <c r="D62" s="83"/>
      <c r="E62" s="83"/>
      <c r="F62" s="191"/>
      <c r="G62" s="83"/>
      <c r="H62" s="83"/>
      <c r="I62" s="83"/>
      <c r="J62" s="170"/>
      <c r="K62" s="83"/>
      <c r="L62" s="83"/>
      <c r="M62" s="170"/>
      <c r="N62" s="170"/>
      <c r="O62" s="170"/>
      <c r="P62" s="170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2:29" ht="15.75" customHeight="1">
      <c r="B63" s="83"/>
      <c r="C63" s="187"/>
      <c r="D63" s="83"/>
      <c r="E63" s="83"/>
      <c r="F63" s="191"/>
      <c r="G63" s="83"/>
      <c r="H63" s="83"/>
      <c r="I63" s="83"/>
      <c r="J63" s="170"/>
      <c r="K63" s="83"/>
      <c r="L63" s="83"/>
      <c r="M63" s="170"/>
      <c r="N63" s="170"/>
      <c r="O63" s="170"/>
      <c r="P63" s="170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2:29" ht="15.75" customHeight="1">
      <c r="B64" s="83"/>
      <c r="C64" s="187"/>
      <c r="D64" s="83"/>
      <c r="E64" s="83"/>
      <c r="F64" s="191"/>
      <c r="G64" s="83"/>
      <c r="H64" s="83"/>
      <c r="I64" s="83"/>
      <c r="J64" s="170"/>
      <c r="K64" s="83"/>
      <c r="L64" s="83"/>
      <c r="M64" s="170"/>
      <c r="N64" s="170"/>
      <c r="O64" s="170"/>
      <c r="P64" s="170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2:29" ht="15.75" customHeight="1">
      <c r="B65" s="83"/>
      <c r="C65" s="187"/>
      <c r="D65" s="83"/>
      <c r="E65" s="83"/>
      <c r="F65" s="191"/>
      <c r="G65" s="83"/>
      <c r="H65" s="83"/>
      <c r="I65" s="83"/>
      <c r="J65" s="170"/>
      <c r="K65" s="83"/>
      <c r="L65" s="83"/>
      <c r="M65" s="170"/>
      <c r="N65" s="170"/>
      <c r="O65" s="170"/>
      <c r="P65" s="170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2:29" ht="15.75" customHeight="1">
      <c r="B66" s="83"/>
      <c r="C66" s="187"/>
      <c r="D66" s="83"/>
      <c r="E66" s="83"/>
      <c r="F66" s="191"/>
      <c r="G66" s="83"/>
      <c r="H66" s="83"/>
      <c r="I66" s="83"/>
      <c r="J66" s="170"/>
      <c r="K66" s="83"/>
      <c r="L66" s="83"/>
      <c r="M66" s="170"/>
      <c r="N66" s="170"/>
      <c r="O66" s="170"/>
      <c r="P66" s="170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2:29" ht="15.75" customHeight="1">
      <c r="B67" s="83"/>
      <c r="C67" s="187"/>
      <c r="D67" s="83"/>
      <c r="E67" s="83"/>
      <c r="F67" s="191"/>
      <c r="G67" s="83"/>
      <c r="H67" s="83"/>
      <c r="I67" s="83"/>
      <c r="J67" s="170"/>
      <c r="K67" s="83"/>
      <c r="L67" s="83"/>
      <c r="M67" s="170"/>
      <c r="N67" s="170"/>
      <c r="O67" s="170"/>
      <c r="P67" s="170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2:29" ht="15.75" customHeight="1">
      <c r="B68" s="83"/>
      <c r="C68" s="187"/>
      <c r="D68" s="170">
        <f>O53-R30</f>
        <v>0</v>
      </c>
      <c r="E68" s="83"/>
      <c r="F68" s="191"/>
      <c r="G68" s="83"/>
      <c r="H68" s="83"/>
      <c r="I68" s="83"/>
      <c r="J68" s="170"/>
      <c r="K68" s="83"/>
      <c r="L68" s="83"/>
      <c r="M68" s="170"/>
      <c r="N68" s="170"/>
      <c r="O68" s="170"/>
      <c r="P68" s="170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2:29" ht="15.75" customHeight="1">
      <c r="B69" s="83"/>
      <c r="C69" s="187"/>
      <c r="D69" s="83"/>
      <c r="E69" s="83"/>
      <c r="F69" s="191"/>
      <c r="G69" s="83"/>
      <c r="H69" s="83"/>
      <c r="I69" s="83"/>
      <c r="J69" s="170"/>
      <c r="K69" s="83"/>
      <c r="L69" s="83"/>
      <c r="M69" s="170"/>
      <c r="N69" s="170"/>
      <c r="O69" s="170"/>
      <c r="P69" s="170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2:29" ht="15.75" customHeight="1">
      <c r="B70" s="83"/>
      <c r="C70" s="187"/>
      <c r="D70" s="83"/>
      <c r="E70" s="83"/>
      <c r="F70" s="191"/>
      <c r="G70" s="83"/>
      <c r="H70" s="83"/>
      <c r="I70" s="83"/>
      <c r="J70" s="170"/>
      <c r="K70" s="83"/>
      <c r="L70" s="83"/>
      <c r="M70" s="170"/>
      <c r="N70" s="170"/>
      <c r="O70" s="170"/>
      <c r="P70" s="170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2:29" ht="15.75" customHeight="1">
      <c r="B71" s="83"/>
      <c r="C71" s="187"/>
      <c r="D71" s="83"/>
      <c r="E71" s="83"/>
      <c r="F71" s="191"/>
      <c r="G71" s="83"/>
      <c r="H71" s="83"/>
      <c r="I71" s="83"/>
      <c r="J71" s="170"/>
      <c r="K71" s="83"/>
      <c r="L71" s="83"/>
      <c r="M71" s="170"/>
      <c r="N71" s="170"/>
      <c r="O71" s="170"/>
      <c r="P71" s="170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2:29" ht="15.75" customHeight="1">
      <c r="B72" s="83"/>
      <c r="C72" s="187"/>
      <c r="D72" s="83"/>
      <c r="E72" s="83"/>
      <c r="F72" s="191"/>
      <c r="G72" s="83"/>
      <c r="H72" s="83"/>
      <c r="I72" s="83"/>
      <c r="J72" s="170"/>
      <c r="K72" s="83"/>
      <c r="L72" s="83"/>
      <c r="M72" s="170"/>
      <c r="N72" s="170"/>
      <c r="O72" s="170"/>
      <c r="P72" s="170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spans="2:29" ht="15.75" customHeight="1">
      <c r="B73" s="83"/>
      <c r="C73" s="187"/>
      <c r="D73" s="83"/>
      <c r="E73" s="83"/>
      <c r="F73" s="191"/>
      <c r="G73" s="83"/>
      <c r="H73" s="83"/>
      <c r="I73" s="83"/>
      <c r="J73" s="170"/>
      <c r="K73" s="83"/>
      <c r="L73" s="83"/>
      <c r="M73" s="170"/>
      <c r="N73" s="170"/>
      <c r="O73" s="170"/>
      <c r="P73" s="170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spans="2:29" ht="15.75" customHeight="1">
      <c r="B74" s="83"/>
      <c r="C74" s="187"/>
      <c r="D74" s="83"/>
      <c r="E74" s="83"/>
      <c r="F74" s="191"/>
      <c r="G74" s="83"/>
      <c r="H74" s="83"/>
      <c r="I74" s="83"/>
      <c r="J74" s="170"/>
      <c r="K74" s="83"/>
      <c r="L74" s="83"/>
      <c r="M74" s="170"/>
      <c r="N74" s="170"/>
      <c r="O74" s="170"/>
      <c r="P74" s="170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spans="2:29" ht="15.75" customHeight="1">
      <c r="B75" s="83"/>
      <c r="C75" s="187"/>
      <c r="D75" s="83"/>
      <c r="E75" s="83"/>
      <c r="F75" s="191"/>
      <c r="G75" s="83"/>
      <c r="H75" s="83"/>
      <c r="I75" s="83"/>
      <c r="J75" s="170"/>
      <c r="K75" s="83"/>
      <c r="L75" s="83"/>
      <c r="M75" s="170"/>
      <c r="N75" s="170"/>
      <c r="O75" s="170"/>
      <c r="P75" s="170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2:29" ht="15.75" customHeight="1">
      <c r="B76" s="83"/>
      <c r="C76" s="187"/>
      <c r="D76" s="83"/>
      <c r="E76" s="83"/>
      <c r="F76" s="191"/>
      <c r="G76" s="83"/>
      <c r="H76" s="83"/>
      <c r="I76" s="83"/>
      <c r="J76" s="170"/>
      <c r="K76" s="83"/>
      <c r="L76" s="83"/>
      <c r="M76" s="170"/>
      <c r="N76" s="170"/>
      <c r="O76" s="170"/>
      <c r="P76" s="170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spans="2:29" ht="15.75" customHeight="1">
      <c r="B77" s="83"/>
      <c r="C77" s="187"/>
      <c r="D77" s="83"/>
      <c r="E77" s="83"/>
      <c r="F77" s="191"/>
      <c r="G77" s="83"/>
      <c r="H77" s="83"/>
      <c r="I77" s="83"/>
      <c r="J77" s="170"/>
      <c r="K77" s="83"/>
      <c r="L77" s="83"/>
      <c r="M77" s="170"/>
      <c r="N77" s="170"/>
      <c r="O77" s="170"/>
      <c r="P77" s="170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spans="2:29" ht="15.75" customHeight="1">
      <c r="B78" s="83"/>
      <c r="C78" s="187"/>
      <c r="D78" s="83"/>
      <c r="E78" s="83"/>
      <c r="F78" s="191"/>
      <c r="G78" s="83"/>
      <c r="H78" s="83"/>
      <c r="I78" s="83"/>
      <c r="J78" s="170"/>
      <c r="K78" s="83"/>
      <c r="L78" s="83"/>
      <c r="M78" s="170"/>
      <c r="N78" s="170"/>
      <c r="O78" s="170"/>
      <c r="P78" s="170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spans="2:29" ht="15.75" customHeight="1">
      <c r="B79" s="83"/>
      <c r="C79" s="187"/>
      <c r="D79" s="83"/>
      <c r="E79" s="83"/>
      <c r="F79" s="191"/>
      <c r="G79" s="83"/>
      <c r="H79" s="83"/>
      <c r="I79" s="83"/>
      <c r="J79" s="170"/>
      <c r="K79" s="83"/>
      <c r="L79" s="83"/>
      <c r="M79" s="170"/>
      <c r="N79" s="170"/>
      <c r="O79" s="170"/>
      <c r="P79" s="170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spans="2:29" ht="15.75" customHeight="1">
      <c r="B80" s="83"/>
      <c r="C80" s="187"/>
      <c r="D80" s="83"/>
      <c r="E80" s="83"/>
      <c r="F80" s="191"/>
      <c r="G80" s="83"/>
      <c r="H80" s="83"/>
      <c r="I80" s="83"/>
      <c r="J80" s="170"/>
      <c r="K80" s="83"/>
      <c r="L80" s="83"/>
      <c r="M80" s="170"/>
      <c r="N80" s="170"/>
      <c r="O80" s="170"/>
      <c r="P80" s="170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spans="2:29" ht="15.75" customHeight="1">
      <c r="B81" s="83"/>
      <c r="C81" s="187"/>
      <c r="D81" s="83"/>
      <c r="E81" s="83"/>
      <c r="F81" s="191"/>
      <c r="G81" s="83"/>
      <c r="H81" s="83"/>
      <c r="I81" s="83"/>
      <c r="J81" s="170"/>
      <c r="K81" s="83"/>
      <c r="L81" s="83"/>
      <c r="M81" s="170"/>
      <c r="N81" s="170"/>
      <c r="O81" s="170"/>
      <c r="P81" s="170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spans="2:29" ht="15.75" customHeight="1">
      <c r="B82" s="83"/>
      <c r="C82" s="187"/>
      <c r="D82" s="170"/>
      <c r="E82" s="83"/>
      <c r="F82" s="191"/>
      <c r="G82" s="83"/>
      <c r="H82" s="83"/>
      <c r="I82" s="83"/>
      <c r="J82" s="170"/>
      <c r="K82" s="83"/>
      <c r="L82" s="83"/>
      <c r="M82" s="170"/>
      <c r="N82" s="170"/>
      <c r="O82" s="170"/>
      <c r="P82" s="170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spans="2:29" ht="15.75" customHeight="1"/>
    <row r="84" spans="2:29" ht="15.75" customHeight="1"/>
    <row r="85" spans="2:29" ht="15.75" customHeight="1"/>
    <row r="86" spans="2:29" ht="15.75" customHeight="1"/>
    <row r="87" spans="2:29" ht="57.75" customHeight="1"/>
    <row r="88" spans="2:29" ht="66.75" customHeight="1"/>
    <row r="89" spans="2:29" ht="34.5" customHeight="1"/>
    <row r="90" spans="2:29" ht="47.25" customHeight="1"/>
    <row r="91" spans="2:29" ht="15.75" customHeight="1"/>
    <row r="92" spans="2:29" ht="15.75" customHeight="1">
      <c r="C92" s="15"/>
      <c r="D92" s="15"/>
      <c r="E92" s="15"/>
      <c r="F92" s="10"/>
    </row>
    <row r="93" spans="2:29" ht="15.75" customHeight="1">
      <c r="B93" s="20"/>
      <c r="C93" s="15"/>
      <c r="D93" s="15"/>
      <c r="E93" s="15"/>
      <c r="F93" s="10"/>
    </row>
    <row r="94" spans="2:29" ht="15.75" customHeight="1"/>
    <row r="95" spans="2:29" ht="15.75" customHeight="1"/>
    <row r="96" spans="2:2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</sheetData>
  <mergeCells count="4">
    <mergeCell ref="C56:E56"/>
    <mergeCell ref="C57:E57"/>
    <mergeCell ref="C58:E58"/>
    <mergeCell ref="C59:E59"/>
  </mergeCells>
  <phoneticPr fontId="19" type="noConversion"/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J72"/>
  <sheetViews>
    <sheetView zoomScale="110" zoomScaleNormal="110" workbookViewId="0">
      <selection activeCell="F30" sqref="F30"/>
    </sheetView>
  </sheetViews>
  <sheetFormatPr defaultRowHeight="13.8"/>
  <cols>
    <col min="1" max="1" width="3.5" customWidth="1"/>
    <col min="2" max="2" width="17.09765625" customWidth="1"/>
    <col min="3" max="3" width="6.69921875" customWidth="1"/>
    <col min="4" max="4" width="6.59765625" customWidth="1"/>
    <col min="7" max="8" width="7.69921875" customWidth="1"/>
    <col min="9" max="9" width="8.3984375" customWidth="1"/>
    <col min="11" max="11" width="2.69921875" customWidth="1"/>
    <col min="12" max="12" width="7.69921875" customWidth="1"/>
    <col min="13" max="13" width="6.796875" customWidth="1"/>
    <col min="17" max="17" width="8.8984375" customWidth="1"/>
    <col min="19" max="19" width="4.5" customWidth="1"/>
  </cols>
  <sheetData>
    <row r="2" spans="1:29">
      <c r="A2" s="7" t="s">
        <v>281</v>
      </c>
      <c r="B2" s="14" t="s">
        <v>282</v>
      </c>
      <c r="C2" s="16"/>
      <c r="D2" s="16"/>
      <c r="E2" s="16"/>
      <c r="F2" s="28"/>
      <c r="G2" s="16"/>
      <c r="H2" s="16"/>
      <c r="I2" s="16"/>
      <c r="J2" s="16"/>
      <c r="K2" s="16"/>
      <c r="L2" s="16"/>
      <c r="M2" s="1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>
      <c r="A3" s="7" t="s">
        <v>283</v>
      </c>
      <c r="B3" s="14" t="s">
        <v>284</v>
      </c>
      <c r="C3" s="16"/>
      <c r="D3" s="16"/>
      <c r="E3" s="16"/>
      <c r="F3" s="28"/>
      <c r="G3" s="16"/>
      <c r="H3" s="16"/>
      <c r="I3" s="16"/>
      <c r="J3" s="16"/>
      <c r="K3" s="16"/>
      <c r="L3" s="16"/>
      <c r="M3" s="16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>
      <c r="A4" s="16"/>
      <c r="B4" s="17" t="s">
        <v>336</v>
      </c>
      <c r="C4" s="16"/>
      <c r="D4" s="16"/>
      <c r="E4" s="16"/>
      <c r="F4" s="28"/>
      <c r="G4" s="16"/>
      <c r="H4" s="16"/>
      <c r="I4" s="16"/>
      <c r="J4" s="16"/>
      <c r="K4" s="16"/>
      <c r="L4" s="16"/>
      <c r="M4" s="1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>
      <c r="A5" s="16"/>
      <c r="B5" s="16"/>
      <c r="C5" s="21"/>
      <c r="D5" s="16"/>
      <c r="E5" s="16"/>
      <c r="F5" s="28"/>
      <c r="G5" s="16"/>
      <c r="H5" s="16"/>
      <c r="I5" s="16"/>
      <c r="J5" s="16"/>
      <c r="K5" s="16"/>
      <c r="L5" s="16"/>
      <c r="M5" s="1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>
      <c r="A6" s="16"/>
      <c r="B6" s="16"/>
      <c r="C6" s="21"/>
      <c r="D6" s="16"/>
      <c r="E6" s="16"/>
      <c r="F6" s="28"/>
      <c r="G6" s="16"/>
      <c r="H6" s="16"/>
      <c r="I6" s="16"/>
      <c r="J6" s="16"/>
      <c r="K6" s="16"/>
      <c r="L6" s="16"/>
      <c r="M6" s="1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>
      <c r="A7" s="16"/>
      <c r="B7" s="44"/>
      <c r="C7" s="21"/>
      <c r="D7" s="16"/>
      <c r="E7" s="16"/>
      <c r="F7" s="28"/>
      <c r="G7" s="16"/>
      <c r="H7" s="16"/>
      <c r="I7" s="16"/>
      <c r="J7" s="16"/>
      <c r="K7" s="16"/>
      <c r="L7" s="44"/>
      <c r="M7" s="44"/>
      <c r="N7" s="5"/>
      <c r="O7" s="5"/>
      <c r="P7" s="5"/>
      <c r="Q7" s="5"/>
      <c r="R7" s="5"/>
      <c r="S7" s="5"/>
      <c r="T7" s="47"/>
      <c r="U7" s="47"/>
      <c r="V7" s="5"/>
      <c r="W7" s="47"/>
      <c r="X7" s="5"/>
      <c r="Y7" s="5"/>
      <c r="Z7" s="5"/>
      <c r="AA7" s="5"/>
      <c r="AB7" s="5"/>
      <c r="AC7" s="5"/>
    </row>
    <row r="8" spans="1:29">
      <c r="A8" s="85"/>
      <c r="B8" s="275" t="s">
        <v>35</v>
      </c>
      <c r="C8" s="85"/>
      <c r="D8" s="85"/>
      <c r="E8" s="85"/>
      <c r="F8" s="85"/>
      <c r="G8" s="85"/>
      <c r="H8" s="85"/>
      <c r="I8" s="85"/>
      <c r="J8" s="85"/>
      <c r="K8" s="85"/>
      <c r="L8" s="276" t="s">
        <v>36</v>
      </c>
      <c r="M8" s="275"/>
      <c r="N8" s="85"/>
      <c r="O8" s="85"/>
      <c r="P8" s="85"/>
      <c r="Q8" s="85"/>
      <c r="R8" s="85"/>
      <c r="S8" s="85"/>
      <c r="T8" s="47"/>
      <c r="U8" s="47"/>
      <c r="V8" s="5"/>
      <c r="W8" s="47"/>
      <c r="X8" s="5"/>
      <c r="Y8" s="5"/>
      <c r="Z8" s="5"/>
      <c r="AA8" s="5"/>
      <c r="AB8" s="5"/>
      <c r="AC8" s="5"/>
    </row>
    <row r="9" spans="1:29">
      <c r="A9" s="85" t="s">
        <v>353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>
      <c r="A10" s="85" t="s">
        <v>344</v>
      </c>
      <c r="B10" s="79" t="s">
        <v>38</v>
      </c>
      <c r="C10" s="79" t="s">
        <v>39</v>
      </c>
      <c r="D10" s="79" t="s">
        <v>40</v>
      </c>
      <c r="E10" s="79" t="s">
        <v>41</v>
      </c>
      <c r="F10" s="79" t="s">
        <v>42</v>
      </c>
      <c r="G10" s="79" t="s">
        <v>43</v>
      </c>
      <c r="H10" s="79" t="s">
        <v>44</v>
      </c>
      <c r="I10" s="79" t="s">
        <v>45</v>
      </c>
      <c r="J10" s="79" t="s">
        <v>46</v>
      </c>
      <c r="K10" s="85"/>
      <c r="L10" s="82" t="s">
        <v>39</v>
      </c>
      <c r="M10" s="82" t="s">
        <v>40</v>
      </c>
      <c r="N10" s="82" t="s">
        <v>47</v>
      </c>
      <c r="O10" s="82" t="s">
        <v>48</v>
      </c>
      <c r="P10" s="82" t="s">
        <v>44</v>
      </c>
      <c r="Q10" s="82" t="s">
        <v>49</v>
      </c>
      <c r="R10" s="286" t="s">
        <v>46</v>
      </c>
      <c r="S10" s="287"/>
      <c r="T10" s="75"/>
      <c r="U10" s="75"/>
      <c r="V10" s="5"/>
      <c r="W10" s="76"/>
      <c r="X10" s="76"/>
      <c r="Y10" s="76"/>
      <c r="Z10" s="76"/>
      <c r="AA10" s="76"/>
      <c r="AB10" s="76"/>
      <c r="AC10" s="76"/>
    </row>
    <row r="11" spans="1:29">
      <c r="A11" s="85"/>
      <c r="B11" s="79"/>
      <c r="C11" s="79" t="s">
        <v>50</v>
      </c>
      <c r="D11" s="79"/>
      <c r="E11" s="79" t="s">
        <v>51</v>
      </c>
      <c r="F11" s="79" t="s">
        <v>52</v>
      </c>
      <c r="G11" s="79" t="s">
        <v>51</v>
      </c>
      <c r="H11" s="79" t="s">
        <v>51</v>
      </c>
      <c r="I11" s="79" t="s">
        <v>51</v>
      </c>
      <c r="J11" s="79" t="s">
        <v>51</v>
      </c>
      <c r="K11" s="85"/>
      <c r="L11" s="82" t="s">
        <v>53</v>
      </c>
      <c r="M11" s="82"/>
      <c r="N11" s="82" t="s">
        <v>52</v>
      </c>
      <c r="O11" s="82" t="s">
        <v>51</v>
      </c>
      <c r="P11" s="82" t="s">
        <v>51</v>
      </c>
      <c r="Q11" s="82" t="s">
        <v>51</v>
      </c>
      <c r="R11" s="286" t="s">
        <v>51</v>
      </c>
      <c r="S11" s="287"/>
      <c r="T11" s="75"/>
      <c r="U11" s="75"/>
      <c r="V11" s="5"/>
      <c r="W11" s="76"/>
      <c r="X11" s="76"/>
      <c r="Y11" s="76"/>
      <c r="Z11" s="76"/>
      <c r="AA11" s="76"/>
      <c r="AB11" s="76"/>
      <c r="AC11" s="76"/>
    </row>
    <row r="12" spans="1:29">
      <c r="A12" s="103"/>
      <c r="B12" s="92" t="s">
        <v>638</v>
      </c>
      <c r="C12" s="162" t="s">
        <v>56</v>
      </c>
      <c r="D12" s="108">
        <v>1</v>
      </c>
      <c r="E12" s="108" t="s">
        <v>57</v>
      </c>
      <c r="F12" s="108" t="s">
        <v>57</v>
      </c>
      <c r="G12" s="162">
        <v>96.41</v>
      </c>
      <c r="H12" s="92"/>
      <c r="I12" s="108">
        <f t="shared" ref="I12:I15" si="0">(G12-H12)</f>
        <v>96.41</v>
      </c>
      <c r="J12" s="108">
        <f t="shared" ref="J12:J15" si="1">I12*D12</f>
        <v>96.41</v>
      </c>
      <c r="K12" s="103"/>
      <c r="L12" s="162" t="s">
        <v>30</v>
      </c>
      <c r="M12" s="108">
        <v>1</v>
      </c>
      <c r="N12" s="162">
        <v>43.56</v>
      </c>
      <c r="O12" s="108">
        <v>0.6</v>
      </c>
      <c r="P12" s="92"/>
      <c r="Q12" s="92"/>
      <c r="R12" s="104">
        <f t="shared" ref="R12:R15" si="2">(N12*O12-P12)*M12</f>
        <v>26.135999999999999</v>
      </c>
      <c r="S12" s="288"/>
      <c r="T12" s="75"/>
      <c r="U12" s="41"/>
      <c r="V12" s="5"/>
      <c r="W12" s="76"/>
      <c r="X12" s="76"/>
      <c r="Y12" s="76"/>
      <c r="Z12" s="76"/>
      <c r="AA12" s="76"/>
      <c r="AB12" s="76"/>
      <c r="AC12" s="76"/>
    </row>
    <row r="13" spans="1:29">
      <c r="A13" s="103"/>
      <c r="B13" s="92" t="s">
        <v>638</v>
      </c>
      <c r="C13" s="162" t="s">
        <v>56</v>
      </c>
      <c r="D13" s="108">
        <v>1</v>
      </c>
      <c r="E13" s="108" t="s">
        <v>57</v>
      </c>
      <c r="F13" s="108" t="s">
        <v>57</v>
      </c>
      <c r="G13" s="162">
        <v>85.77</v>
      </c>
      <c r="H13" s="92"/>
      <c r="I13" s="108">
        <f t="shared" si="0"/>
        <v>85.77</v>
      </c>
      <c r="J13" s="108">
        <f t="shared" si="1"/>
        <v>85.77</v>
      </c>
      <c r="K13" s="103"/>
      <c r="L13" s="162" t="s">
        <v>30</v>
      </c>
      <c r="M13" s="108">
        <v>1</v>
      </c>
      <c r="N13" s="162">
        <v>41.56</v>
      </c>
      <c r="O13" s="108">
        <v>0.6</v>
      </c>
      <c r="P13" s="92"/>
      <c r="Q13" s="92"/>
      <c r="R13" s="104">
        <f t="shared" si="2"/>
        <v>24.936</v>
      </c>
      <c r="S13" s="288"/>
      <c r="T13" s="75"/>
      <c r="U13" s="41"/>
      <c r="V13" s="5"/>
      <c r="W13" s="76"/>
      <c r="X13" s="76"/>
      <c r="Y13" s="76"/>
      <c r="Z13" s="76"/>
      <c r="AA13" s="76"/>
      <c r="AB13" s="76"/>
      <c r="AC13" s="76"/>
    </row>
    <row r="14" spans="1:29">
      <c r="A14" s="103"/>
      <c r="B14" s="92" t="s">
        <v>638</v>
      </c>
      <c r="C14" s="162" t="s">
        <v>56</v>
      </c>
      <c r="D14" s="108">
        <v>1</v>
      </c>
      <c r="E14" s="108" t="s">
        <v>57</v>
      </c>
      <c r="F14" s="108" t="s">
        <v>57</v>
      </c>
      <c r="G14" s="162">
        <v>87.28</v>
      </c>
      <c r="H14" s="92"/>
      <c r="I14" s="108">
        <f t="shared" si="0"/>
        <v>87.28</v>
      </c>
      <c r="J14" s="108">
        <f t="shared" si="1"/>
        <v>87.28</v>
      </c>
      <c r="K14" s="103"/>
      <c r="L14" s="162" t="s">
        <v>30</v>
      </c>
      <c r="M14" s="108">
        <v>1</v>
      </c>
      <c r="N14" s="162">
        <v>39.090000000000003</v>
      </c>
      <c r="O14" s="108">
        <v>0.6</v>
      </c>
      <c r="P14" s="92"/>
      <c r="Q14" s="92"/>
      <c r="R14" s="104">
        <f t="shared" si="2"/>
        <v>23.454000000000001</v>
      </c>
      <c r="S14" s="288"/>
      <c r="T14" s="75"/>
      <c r="U14" s="41"/>
      <c r="V14" s="5"/>
      <c r="W14" s="76"/>
      <c r="X14" s="76"/>
      <c r="Y14" s="76"/>
      <c r="Z14" s="76"/>
      <c r="AA14" s="76"/>
      <c r="AB14" s="76"/>
      <c r="AC14" s="76"/>
    </row>
    <row r="15" spans="1:29">
      <c r="A15" s="103"/>
      <c r="B15" s="92" t="s">
        <v>638</v>
      </c>
      <c r="C15" s="108" t="s">
        <v>56</v>
      </c>
      <c r="D15" s="108">
        <v>1</v>
      </c>
      <c r="E15" s="108" t="s">
        <v>57</v>
      </c>
      <c r="F15" s="108" t="s">
        <v>57</v>
      </c>
      <c r="G15" s="108">
        <v>124.42</v>
      </c>
      <c r="H15" s="92"/>
      <c r="I15" s="108">
        <f t="shared" si="0"/>
        <v>124.42</v>
      </c>
      <c r="J15" s="108">
        <f t="shared" si="1"/>
        <v>124.42</v>
      </c>
      <c r="K15" s="103"/>
      <c r="L15" s="162" t="s">
        <v>30</v>
      </c>
      <c r="M15" s="108">
        <v>1</v>
      </c>
      <c r="N15" s="108">
        <v>50.56</v>
      </c>
      <c r="O15" s="108">
        <v>0.6</v>
      </c>
      <c r="P15" s="92"/>
      <c r="Q15" s="92"/>
      <c r="R15" s="104">
        <f t="shared" si="2"/>
        <v>30.335999999999999</v>
      </c>
      <c r="S15" s="288"/>
      <c r="T15" s="75"/>
      <c r="U15" s="41"/>
      <c r="V15" s="5"/>
      <c r="W15" s="76"/>
      <c r="X15" s="76"/>
      <c r="Y15" s="76"/>
      <c r="Z15" s="76"/>
      <c r="AA15" s="76"/>
      <c r="AB15" s="76"/>
      <c r="AC15" s="76"/>
    </row>
    <row r="16" spans="1:29">
      <c r="A16" s="85"/>
      <c r="B16" s="85"/>
      <c r="C16" s="85"/>
      <c r="D16" s="85"/>
      <c r="E16" s="85"/>
      <c r="F16" s="85"/>
      <c r="G16" s="87">
        <f>SUM(G12:G15)</f>
        <v>393.88000000000005</v>
      </c>
      <c r="H16" s="85"/>
      <c r="I16" s="85"/>
      <c r="J16" s="189">
        <f>SUM(J12:J15)</f>
        <v>393.88000000000005</v>
      </c>
      <c r="K16" s="85"/>
      <c r="L16" s="85"/>
      <c r="M16" s="87"/>
      <c r="N16" s="189">
        <f>SUM(N12:N15)</f>
        <v>174.77</v>
      </c>
      <c r="O16" s="87"/>
      <c r="P16" s="87"/>
      <c r="Q16" s="85"/>
      <c r="R16" s="189">
        <f>SUM(R12:R15)</f>
        <v>104.86200000000001</v>
      </c>
      <c r="S16" s="85"/>
      <c r="T16" s="5"/>
      <c r="U16" s="77"/>
      <c r="V16" s="5"/>
      <c r="W16" s="5"/>
      <c r="X16" s="5"/>
      <c r="Y16" s="5"/>
      <c r="Z16" s="5"/>
      <c r="AA16" s="5"/>
      <c r="AB16" s="5"/>
      <c r="AC16" s="77"/>
    </row>
    <row r="17" spans="1:36">
      <c r="A17" s="85"/>
      <c r="B17" s="289" t="s">
        <v>5</v>
      </c>
      <c r="C17" s="85"/>
      <c r="D17" s="85"/>
      <c r="E17" s="85"/>
      <c r="F17" s="85"/>
      <c r="G17" s="85"/>
      <c r="H17" s="85"/>
      <c r="I17" s="85"/>
      <c r="J17" s="87"/>
      <c r="K17" s="85"/>
      <c r="L17" s="85"/>
      <c r="M17" s="87"/>
      <c r="N17" s="87"/>
      <c r="O17" s="87"/>
      <c r="P17" s="87"/>
      <c r="Q17" s="85"/>
      <c r="R17" s="85"/>
      <c r="S17" s="85"/>
      <c r="T17" s="5"/>
      <c r="U17" s="40"/>
      <c r="V17" s="5"/>
      <c r="W17" s="5"/>
      <c r="X17" s="5"/>
      <c r="Y17" s="5"/>
      <c r="Z17" s="5"/>
      <c r="AA17" s="5"/>
      <c r="AB17" s="5"/>
      <c r="AC17" s="5"/>
    </row>
    <row r="18" spans="1:36">
      <c r="A18" s="85"/>
      <c r="B18" s="289"/>
      <c r="C18" s="85"/>
      <c r="D18" s="85"/>
      <c r="E18" s="85"/>
      <c r="F18" s="85"/>
      <c r="G18" s="85"/>
      <c r="H18" s="85"/>
      <c r="I18" s="85"/>
      <c r="J18" s="87"/>
      <c r="K18" s="85"/>
      <c r="L18" s="85"/>
      <c r="M18" s="87"/>
      <c r="N18" s="87"/>
      <c r="O18" s="87"/>
      <c r="P18" s="87"/>
      <c r="Q18" s="85"/>
      <c r="R18" s="85"/>
      <c r="S18" s="8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36">
      <c r="A19" s="85"/>
      <c r="B19" s="289" t="s">
        <v>3</v>
      </c>
      <c r="C19" s="85"/>
      <c r="D19" s="85"/>
      <c r="E19" s="85"/>
      <c r="F19" s="85"/>
      <c r="G19" s="85"/>
      <c r="H19" s="85"/>
      <c r="I19" s="85"/>
      <c r="J19" s="87"/>
      <c r="K19" s="85"/>
      <c r="L19" s="85"/>
      <c r="M19" s="289" t="s">
        <v>2</v>
      </c>
      <c r="N19" s="85"/>
      <c r="O19" s="87"/>
      <c r="P19" s="87"/>
      <c r="Q19" s="85"/>
      <c r="R19" s="85"/>
      <c r="S19" s="85"/>
      <c r="T19" s="5"/>
      <c r="U19" s="5"/>
      <c r="V19" s="5"/>
      <c r="W19" s="5"/>
      <c r="X19" s="20" t="s">
        <v>4</v>
      </c>
      <c r="Y19" s="21"/>
      <c r="Z19" s="5"/>
      <c r="AA19" s="5"/>
      <c r="AB19" s="5"/>
      <c r="AC19" s="5"/>
      <c r="AF19" s="20" t="s">
        <v>34</v>
      </c>
      <c r="AG19" s="15"/>
      <c r="AH19" s="15"/>
      <c r="AI19" s="15"/>
      <c r="AJ19" s="10"/>
    </row>
    <row r="20" spans="1:36">
      <c r="A20" s="85"/>
      <c r="B20" s="162" t="s">
        <v>17</v>
      </c>
      <c r="C20" s="218"/>
      <c r="D20" s="85"/>
      <c r="E20" s="85"/>
      <c r="F20" s="85"/>
      <c r="G20" s="85"/>
      <c r="H20" s="85"/>
      <c r="I20" s="85"/>
      <c r="J20" s="87"/>
      <c r="K20" s="85"/>
      <c r="L20" s="85"/>
      <c r="M20" s="162" t="s">
        <v>17</v>
      </c>
      <c r="N20" s="219"/>
      <c r="O20" s="87"/>
      <c r="P20" s="87"/>
      <c r="Q20" s="85"/>
      <c r="R20" s="85"/>
      <c r="S20" s="85"/>
      <c r="T20" s="5"/>
      <c r="U20" s="5"/>
      <c r="V20" s="5"/>
      <c r="W20" s="5"/>
      <c r="X20" s="22" t="s">
        <v>17</v>
      </c>
      <c r="Y20" s="39">
        <f t="shared" ref="Y20:Y29" si="3">SUMIF(W$12:W$40,X20,AC$12:AC$40)</f>
        <v>0</v>
      </c>
      <c r="Z20" s="5"/>
      <c r="AA20" s="5"/>
      <c r="AB20" s="5"/>
      <c r="AC20" s="5"/>
      <c r="AF20" s="8" t="s">
        <v>39</v>
      </c>
      <c r="AG20" s="325" t="s">
        <v>364</v>
      </c>
      <c r="AH20" s="325"/>
      <c r="AI20" s="325"/>
      <c r="AJ20" s="8" t="s">
        <v>365</v>
      </c>
    </row>
    <row r="21" spans="1:36">
      <c r="A21" s="85"/>
      <c r="B21" s="162" t="s">
        <v>18</v>
      </c>
      <c r="C21" s="218"/>
      <c r="D21" s="85"/>
      <c r="E21" s="85"/>
      <c r="F21" s="85"/>
      <c r="G21" s="85"/>
      <c r="H21" s="85"/>
      <c r="I21" s="85"/>
      <c r="J21" s="87"/>
      <c r="K21" s="85"/>
      <c r="L21" s="85"/>
      <c r="M21" s="162" t="s">
        <v>18</v>
      </c>
      <c r="N21" s="219"/>
      <c r="O21" s="87"/>
      <c r="P21" s="87"/>
      <c r="Q21" s="85"/>
      <c r="R21" s="85"/>
      <c r="S21" s="85"/>
      <c r="T21" s="5"/>
      <c r="U21" s="5"/>
      <c r="V21" s="5"/>
      <c r="W21" s="5"/>
      <c r="X21" s="22" t="s">
        <v>18</v>
      </c>
      <c r="Y21" s="39">
        <f t="shared" si="3"/>
        <v>0</v>
      </c>
      <c r="Z21" s="5"/>
      <c r="AA21" s="5"/>
      <c r="AB21" s="5"/>
      <c r="AC21" s="5"/>
      <c r="AF21" s="8" t="s">
        <v>357</v>
      </c>
      <c r="AG21" s="326" t="s">
        <v>363</v>
      </c>
      <c r="AH21" s="326"/>
      <c r="AI21" s="326"/>
      <c r="AJ21" s="24"/>
    </row>
    <row r="22" spans="1:36">
      <c r="A22" s="85"/>
      <c r="B22" s="162" t="s">
        <v>19</v>
      </c>
      <c r="C22" s="218"/>
      <c r="D22" s="85"/>
      <c r="E22" s="85"/>
      <c r="F22" s="85"/>
      <c r="G22" s="85"/>
      <c r="H22" s="85"/>
      <c r="I22" s="85"/>
      <c r="J22" s="87"/>
      <c r="K22" s="85"/>
      <c r="L22" s="85"/>
      <c r="M22" s="162" t="s">
        <v>19</v>
      </c>
      <c r="N22" s="219"/>
      <c r="O22" s="87"/>
      <c r="P22" s="87"/>
      <c r="Q22" s="85"/>
      <c r="R22" s="85"/>
      <c r="S22" s="85"/>
      <c r="T22" s="5"/>
      <c r="U22" s="5"/>
      <c r="V22" s="5"/>
      <c r="W22" s="5"/>
      <c r="X22" s="22" t="s">
        <v>19</v>
      </c>
      <c r="Y22" s="39">
        <f t="shared" si="3"/>
        <v>0</v>
      </c>
      <c r="Z22" s="5"/>
      <c r="AA22" s="5"/>
      <c r="AB22" s="5"/>
      <c r="AC22" s="5"/>
    </row>
    <row r="23" spans="1:36">
      <c r="A23" s="85"/>
      <c r="B23" s="162" t="s">
        <v>20</v>
      </c>
      <c r="C23" s="218"/>
      <c r="D23" s="85"/>
      <c r="E23" s="85"/>
      <c r="F23" s="85"/>
      <c r="G23" s="85"/>
      <c r="H23" s="85"/>
      <c r="I23" s="85"/>
      <c r="J23" s="87"/>
      <c r="K23" s="85"/>
      <c r="L23" s="85"/>
      <c r="M23" s="162" t="s">
        <v>20</v>
      </c>
      <c r="N23" s="219"/>
      <c r="O23" s="87"/>
      <c r="P23" s="87"/>
      <c r="Q23" s="85"/>
      <c r="R23" s="85"/>
      <c r="S23" s="85"/>
      <c r="T23" s="5"/>
      <c r="U23" s="5"/>
      <c r="V23" s="5"/>
      <c r="W23" s="5"/>
      <c r="X23" s="23" t="s">
        <v>20</v>
      </c>
      <c r="Y23" s="39">
        <f t="shared" si="3"/>
        <v>0</v>
      </c>
      <c r="Z23" s="5"/>
      <c r="AA23" s="5"/>
      <c r="AB23" s="5"/>
      <c r="AC23" s="5"/>
    </row>
    <row r="24" spans="1:36">
      <c r="A24" s="85"/>
      <c r="B24" s="162" t="s">
        <v>21</v>
      </c>
      <c r="C24" s="218"/>
      <c r="D24" s="85"/>
      <c r="E24" s="85"/>
      <c r="F24" s="85"/>
      <c r="G24" s="85"/>
      <c r="H24" s="85"/>
      <c r="I24" s="85"/>
      <c r="J24" s="87"/>
      <c r="K24" s="85"/>
      <c r="L24" s="85"/>
      <c r="M24" s="162" t="s">
        <v>21</v>
      </c>
      <c r="N24" s="219"/>
      <c r="O24" s="87"/>
      <c r="P24" s="87"/>
      <c r="Q24" s="85"/>
      <c r="R24" s="85"/>
      <c r="S24" s="85"/>
      <c r="T24" s="5"/>
      <c r="U24" s="5"/>
      <c r="V24" s="5"/>
      <c r="W24" s="5"/>
      <c r="X24" s="23" t="s">
        <v>21</v>
      </c>
      <c r="Y24" s="39">
        <f t="shared" si="3"/>
        <v>0</v>
      </c>
      <c r="Z24" s="5"/>
      <c r="AA24" s="5"/>
      <c r="AB24" s="5"/>
      <c r="AC24" s="5"/>
    </row>
    <row r="25" spans="1:36">
      <c r="A25" s="85"/>
      <c r="B25" s="162" t="s">
        <v>22</v>
      </c>
      <c r="C25" s="218"/>
      <c r="D25" s="85"/>
      <c r="E25" s="85"/>
      <c r="F25" s="85"/>
      <c r="G25" s="85"/>
      <c r="H25" s="85"/>
      <c r="I25" s="85"/>
      <c r="J25" s="87"/>
      <c r="K25" s="85"/>
      <c r="L25" s="85"/>
      <c r="M25" s="162" t="s">
        <v>22</v>
      </c>
      <c r="N25" s="219"/>
      <c r="O25" s="87"/>
      <c r="P25" s="87"/>
      <c r="Q25" s="85"/>
      <c r="R25" s="85"/>
      <c r="S25" s="85"/>
      <c r="T25" s="5"/>
      <c r="U25" s="5"/>
      <c r="V25" s="5"/>
      <c r="W25" s="5"/>
      <c r="X25" s="23" t="s">
        <v>22</v>
      </c>
      <c r="Y25" s="39">
        <f t="shared" si="3"/>
        <v>0</v>
      </c>
      <c r="Z25" s="5"/>
      <c r="AA25" s="5"/>
      <c r="AB25" s="5"/>
      <c r="AC25" s="5"/>
    </row>
    <row r="26" spans="1:36">
      <c r="A26" s="85"/>
      <c r="B26" s="162" t="s">
        <v>23</v>
      </c>
      <c r="C26" s="218"/>
      <c r="D26" s="85"/>
      <c r="E26" s="85"/>
      <c r="F26" s="85"/>
      <c r="G26" s="85"/>
      <c r="H26" s="85"/>
      <c r="I26" s="85"/>
      <c r="J26" s="87"/>
      <c r="K26" s="85"/>
      <c r="L26" s="85"/>
      <c r="M26" s="162" t="s">
        <v>23</v>
      </c>
      <c r="N26" s="219"/>
      <c r="O26" s="87"/>
      <c r="P26" s="87"/>
      <c r="Q26" s="85"/>
      <c r="R26" s="85"/>
      <c r="S26" s="85"/>
      <c r="T26" s="5"/>
      <c r="U26" s="5"/>
      <c r="V26" s="5"/>
      <c r="W26" s="5"/>
      <c r="X26" s="23" t="s">
        <v>23</v>
      </c>
      <c r="Y26" s="39">
        <f t="shared" si="3"/>
        <v>0</v>
      </c>
      <c r="Z26" s="5"/>
      <c r="AA26" s="5"/>
      <c r="AB26" s="5"/>
      <c r="AC26" s="5"/>
    </row>
    <row r="27" spans="1:36">
      <c r="A27" s="85"/>
      <c r="B27" s="162" t="s">
        <v>56</v>
      </c>
      <c r="C27" s="218">
        <f>J16</f>
        <v>393.88000000000005</v>
      </c>
      <c r="D27" s="85"/>
      <c r="E27" s="85"/>
      <c r="F27" s="85"/>
      <c r="G27" s="85"/>
      <c r="H27" s="85"/>
      <c r="I27" s="85"/>
      <c r="J27" s="87"/>
      <c r="K27" s="85"/>
      <c r="L27" s="85"/>
      <c r="M27" s="162" t="s">
        <v>24</v>
      </c>
      <c r="N27" s="219"/>
      <c r="O27" s="87"/>
      <c r="P27" s="87"/>
      <c r="Q27" s="85"/>
      <c r="R27" s="85"/>
      <c r="S27" s="85"/>
      <c r="T27" s="5"/>
      <c r="U27" s="5"/>
      <c r="V27" s="5"/>
      <c r="W27" s="5"/>
      <c r="X27" s="23" t="s">
        <v>24</v>
      </c>
      <c r="Y27" s="39">
        <f t="shared" si="3"/>
        <v>0</v>
      </c>
      <c r="Z27" s="5"/>
      <c r="AA27" s="5"/>
      <c r="AB27" s="5"/>
      <c r="AC27" s="5"/>
    </row>
    <row r="28" spans="1:36">
      <c r="A28" s="85"/>
      <c r="B28" s="162" t="s">
        <v>25</v>
      </c>
      <c r="C28" s="218"/>
      <c r="D28" s="85"/>
      <c r="E28" s="85"/>
      <c r="F28" s="85"/>
      <c r="G28" s="85"/>
      <c r="H28" s="85"/>
      <c r="I28" s="85"/>
      <c r="J28" s="87"/>
      <c r="K28" s="85"/>
      <c r="L28" s="85"/>
      <c r="M28" s="162" t="s">
        <v>25</v>
      </c>
      <c r="N28" s="219"/>
      <c r="O28" s="87"/>
      <c r="P28" s="87"/>
      <c r="Q28" s="85"/>
      <c r="R28" s="85"/>
      <c r="S28" s="85"/>
      <c r="T28" s="5"/>
      <c r="U28" s="5"/>
      <c r="V28" s="5"/>
      <c r="W28" s="5"/>
      <c r="X28" s="23" t="s">
        <v>25</v>
      </c>
      <c r="Y28" s="39">
        <f t="shared" si="3"/>
        <v>0</v>
      </c>
      <c r="Z28" s="5"/>
      <c r="AA28" s="5"/>
      <c r="AB28" s="5"/>
      <c r="AC28" s="5"/>
    </row>
    <row r="29" spans="1:36">
      <c r="A29" s="85"/>
      <c r="B29" s="162" t="s">
        <v>26</v>
      </c>
      <c r="C29" s="218"/>
      <c r="D29" s="85"/>
      <c r="E29" s="85"/>
      <c r="F29" s="85"/>
      <c r="G29" s="85"/>
      <c r="H29" s="85"/>
      <c r="I29" s="85"/>
      <c r="J29" s="87"/>
      <c r="K29" s="85"/>
      <c r="L29" s="85"/>
      <c r="M29" s="162" t="s">
        <v>26</v>
      </c>
      <c r="N29" s="219"/>
      <c r="O29" s="87"/>
      <c r="P29" s="87"/>
      <c r="Q29" s="85"/>
      <c r="R29" s="85"/>
      <c r="S29" s="85"/>
      <c r="T29" s="5"/>
      <c r="U29" s="5"/>
      <c r="V29" s="5"/>
      <c r="W29" s="5"/>
      <c r="X29" s="23" t="s">
        <v>32</v>
      </c>
      <c r="Y29" s="39">
        <f t="shared" si="3"/>
        <v>0</v>
      </c>
      <c r="Z29" s="5"/>
      <c r="AA29" s="5"/>
      <c r="AB29" s="5"/>
      <c r="AC29" s="5"/>
    </row>
    <row r="30" spans="1:36">
      <c r="A30" s="85"/>
      <c r="B30" s="162" t="s">
        <v>27</v>
      </c>
      <c r="C30" s="218"/>
      <c r="D30" s="85"/>
      <c r="E30" s="85"/>
      <c r="F30" s="85"/>
      <c r="G30" s="85"/>
      <c r="H30" s="85"/>
      <c r="I30" s="85"/>
      <c r="J30" s="87"/>
      <c r="K30" s="85"/>
      <c r="L30" s="85"/>
      <c r="M30" s="162" t="s">
        <v>27</v>
      </c>
      <c r="N30" s="219"/>
      <c r="O30" s="87"/>
      <c r="P30" s="87"/>
      <c r="Q30" s="85"/>
      <c r="R30" s="85"/>
      <c r="S30" s="85"/>
      <c r="T30" s="5"/>
      <c r="U30" s="5"/>
      <c r="V30" s="5"/>
      <c r="W30" s="5"/>
      <c r="X30" s="16"/>
      <c r="Y30" s="42">
        <f>SUM(Y20:Y29)</f>
        <v>0</v>
      </c>
      <c r="Z30" s="5"/>
      <c r="AA30" s="5"/>
      <c r="AB30" s="5"/>
      <c r="AC30" s="5"/>
    </row>
    <row r="31" spans="1:36">
      <c r="A31" s="85"/>
      <c r="B31" s="87"/>
      <c r="C31" s="224">
        <f>SUM(C20:C30)</f>
        <v>393.88000000000005</v>
      </c>
      <c r="D31" s="87"/>
      <c r="E31" s="85"/>
      <c r="F31" s="85"/>
      <c r="G31" s="85"/>
      <c r="H31" s="85"/>
      <c r="I31" s="85"/>
      <c r="J31" s="87"/>
      <c r="K31" s="85"/>
      <c r="L31" s="85"/>
      <c r="M31" s="162" t="s">
        <v>337</v>
      </c>
      <c r="N31" s="219"/>
      <c r="O31" s="87"/>
      <c r="P31" s="87"/>
      <c r="Q31" s="85"/>
      <c r="R31" s="85"/>
      <c r="S31" s="8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36">
      <c r="A32" s="85"/>
      <c r="B32" s="85"/>
      <c r="C32" s="85"/>
      <c r="D32" s="85"/>
      <c r="E32" s="85"/>
      <c r="F32" s="85"/>
      <c r="G32" s="85"/>
      <c r="H32" s="85"/>
      <c r="I32" s="85"/>
      <c r="J32" s="87"/>
      <c r="K32" s="85"/>
      <c r="L32" s="85"/>
      <c r="M32" s="162" t="s">
        <v>338</v>
      </c>
      <c r="N32" s="219"/>
      <c r="O32" s="87"/>
      <c r="P32" s="87"/>
      <c r="Q32" s="85"/>
      <c r="R32" s="85"/>
      <c r="S32" s="8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>
      <c r="A33" s="85"/>
      <c r="B33" s="85"/>
      <c r="C33" s="85"/>
      <c r="D33" s="85"/>
      <c r="E33" s="85"/>
      <c r="F33" s="85"/>
      <c r="G33" s="85"/>
      <c r="H33" s="85"/>
      <c r="I33" s="85"/>
      <c r="J33" s="87"/>
      <c r="K33" s="85"/>
      <c r="L33" s="85"/>
      <c r="M33" s="162" t="s">
        <v>339</v>
      </c>
      <c r="N33" s="219"/>
      <c r="O33" s="87"/>
      <c r="P33" s="87"/>
      <c r="Q33" s="85"/>
      <c r="R33" s="85"/>
      <c r="S33" s="8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>
      <c r="A34" s="85"/>
      <c r="B34" s="85"/>
      <c r="C34" s="85"/>
      <c r="D34" s="85"/>
      <c r="E34" s="85"/>
      <c r="F34" s="85"/>
      <c r="G34" s="85"/>
      <c r="H34" s="85"/>
      <c r="I34" s="85"/>
      <c r="J34" s="87"/>
      <c r="K34" s="85"/>
      <c r="L34" s="85"/>
      <c r="M34" s="162" t="s">
        <v>28</v>
      </c>
      <c r="N34" s="219"/>
      <c r="O34" s="87"/>
      <c r="P34" s="87"/>
      <c r="Q34" s="85"/>
      <c r="R34" s="85"/>
      <c r="S34" s="8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>
      <c r="A35" s="85"/>
      <c r="B35" s="85"/>
      <c r="C35" s="85"/>
      <c r="D35" s="85"/>
      <c r="E35" s="85"/>
      <c r="F35" s="85"/>
      <c r="G35" s="85"/>
      <c r="H35" s="85"/>
      <c r="I35" s="85"/>
      <c r="J35" s="87"/>
      <c r="K35" s="85"/>
      <c r="L35" s="85"/>
      <c r="M35" s="162" t="s">
        <v>29</v>
      </c>
      <c r="N35" s="219"/>
      <c r="O35" s="87"/>
      <c r="P35" s="87"/>
      <c r="Q35" s="85"/>
      <c r="R35" s="85"/>
      <c r="S35" s="8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>
      <c r="A36" s="85"/>
      <c r="B36" s="85"/>
      <c r="C36" s="85"/>
      <c r="D36" s="85"/>
      <c r="E36" s="85"/>
      <c r="F36" s="85"/>
      <c r="G36" s="85"/>
      <c r="H36" s="85"/>
      <c r="I36" s="85"/>
      <c r="J36" s="87"/>
      <c r="K36" s="85"/>
      <c r="L36" s="85"/>
      <c r="M36" s="162" t="s">
        <v>30</v>
      </c>
      <c r="N36" s="219">
        <f>R16</f>
        <v>104.86200000000001</v>
      </c>
      <c r="O36" s="87"/>
      <c r="P36" s="87"/>
      <c r="Q36" s="85"/>
      <c r="R36" s="85"/>
      <c r="S36" s="8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>
      <c r="A37" s="85"/>
      <c r="B37" s="85"/>
      <c r="C37" s="85"/>
      <c r="D37" s="85"/>
      <c r="E37" s="85"/>
      <c r="F37" s="85"/>
      <c r="G37" s="85"/>
      <c r="H37" s="85"/>
      <c r="I37" s="85"/>
      <c r="J37" s="87"/>
      <c r="K37" s="85"/>
      <c r="L37" s="85"/>
      <c r="M37" s="162" t="s">
        <v>340</v>
      </c>
      <c r="N37" s="219"/>
      <c r="O37" s="87"/>
      <c r="P37" s="87"/>
      <c r="Q37" s="85"/>
      <c r="R37" s="85"/>
      <c r="S37" s="8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>
      <c r="A38" s="85"/>
      <c r="B38" s="85"/>
      <c r="C38" s="85"/>
      <c r="D38" s="85"/>
      <c r="E38" s="85"/>
      <c r="F38" s="85"/>
      <c r="G38" s="85"/>
      <c r="H38" s="85"/>
      <c r="I38" s="85"/>
      <c r="J38" s="87"/>
      <c r="K38" s="85"/>
      <c r="L38" s="85"/>
      <c r="M38" s="162" t="s">
        <v>341</v>
      </c>
      <c r="N38" s="219"/>
      <c r="O38" s="87"/>
      <c r="P38" s="87"/>
      <c r="Q38" s="85"/>
      <c r="R38" s="85"/>
      <c r="S38" s="8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>
      <c r="A39" s="85"/>
      <c r="B39" s="85"/>
      <c r="C39" s="85"/>
      <c r="D39" s="85"/>
      <c r="E39" s="85"/>
      <c r="F39" s="85"/>
      <c r="G39" s="85"/>
      <c r="H39" s="85"/>
      <c r="I39" s="85"/>
      <c r="J39" s="87"/>
      <c r="K39" s="85"/>
      <c r="L39" s="85"/>
      <c r="M39" s="162" t="s">
        <v>31</v>
      </c>
      <c r="N39" s="219"/>
      <c r="O39" s="87"/>
      <c r="P39" s="87"/>
      <c r="Q39" s="85"/>
      <c r="R39" s="85"/>
      <c r="S39" s="8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>
      <c r="A40" s="85"/>
      <c r="B40" s="85"/>
      <c r="C40" s="85"/>
      <c r="D40" s="85"/>
      <c r="E40" s="85"/>
      <c r="F40" s="85"/>
      <c r="G40" s="85"/>
      <c r="H40" s="85"/>
      <c r="I40" s="85"/>
      <c r="J40" s="87"/>
      <c r="K40" s="85"/>
      <c r="L40" s="85"/>
      <c r="M40" s="85"/>
      <c r="N40" s="189">
        <f>SUM(N20:N39)</f>
        <v>104.86200000000001</v>
      </c>
      <c r="O40" s="87"/>
      <c r="P40" s="87"/>
      <c r="Q40" s="85"/>
      <c r="R40" s="85"/>
      <c r="S40" s="8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>
      <c r="A41" s="16"/>
      <c r="D41" s="16"/>
      <c r="E41" s="16"/>
      <c r="F41" s="28"/>
      <c r="G41" s="16"/>
      <c r="H41" s="16"/>
      <c r="I41" s="16"/>
      <c r="J41" s="26"/>
      <c r="K41" s="16"/>
      <c r="L41" s="16"/>
      <c r="M41" s="26"/>
      <c r="N41" s="33"/>
      <c r="O41" s="33"/>
      <c r="P41" s="3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>
      <c r="A42" s="16"/>
      <c r="D42" s="16"/>
      <c r="E42" s="16"/>
      <c r="F42" s="28"/>
      <c r="G42" s="16"/>
      <c r="H42" s="16"/>
      <c r="I42" s="16"/>
      <c r="J42" s="26"/>
      <c r="K42" s="16"/>
      <c r="L42" s="16"/>
      <c r="M42" s="26"/>
      <c r="N42" s="33"/>
      <c r="O42" s="33"/>
      <c r="P42" s="33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>
      <c r="A43" s="16"/>
      <c r="D43" s="16"/>
      <c r="E43" s="16"/>
      <c r="F43" s="28"/>
      <c r="G43" s="16"/>
      <c r="H43" s="16"/>
      <c r="I43" s="16"/>
      <c r="J43" s="26"/>
      <c r="K43" s="16"/>
      <c r="L43" s="16"/>
      <c r="M43" s="26"/>
      <c r="N43" s="33"/>
      <c r="O43" s="33"/>
      <c r="P43" s="3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>
      <c r="A44" s="16"/>
      <c r="D44" s="16"/>
      <c r="E44" s="16"/>
      <c r="F44" s="28"/>
      <c r="G44" s="16"/>
      <c r="H44" s="16"/>
      <c r="I44" s="16"/>
      <c r="J44" s="26"/>
      <c r="K44" s="16"/>
      <c r="L44" s="16"/>
      <c r="M44" s="26"/>
      <c r="N44" s="33"/>
      <c r="O44" s="33"/>
      <c r="P44" s="3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>
      <c r="A45" s="16"/>
      <c r="D45" s="16"/>
      <c r="E45" s="16"/>
      <c r="F45" s="28"/>
      <c r="G45" s="16"/>
      <c r="H45" s="16"/>
      <c r="I45" s="16"/>
      <c r="J45" s="26"/>
      <c r="K45" s="16"/>
      <c r="L45" s="16"/>
      <c r="M45" s="26"/>
      <c r="N45" s="33"/>
      <c r="O45" s="33"/>
      <c r="P45" s="3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>
      <c r="A46" s="16"/>
      <c r="D46" s="16"/>
      <c r="E46" s="16"/>
      <c r="F46" s="28"/>
      <c r="G46" s="16"/>
      <c r="H46" s="16"/>
      <c r="I46" s="16"/>
      <c r="J46" s="26"/>
      <c r="K46" s="16"/>
      <c r="L46" s="16"/>
      <c r="M46" s="26"/>
      <c r="N46" s="33"/>
      <c r="O46" s="33"/>
      <c r="P46" s="3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>
      <c r="A47" s="16"/>
      <c r="D47" s="16"/>
      <c r="E47" s="16"/>
      <c r="F47" s="28"/>
      <c r="G47" s="16"/>
      <c r="H47" s="16"/>
      <c r="I47" s="16"/>
      <c r="J47" s="26"/>
      <c r="K47" s="16"/>
      <c r="L47" s="16"/>
      <c r="M47" s="26"/>
      <c r="N47" s="33"/>
      <c r="O47" s="33"/>
      <c r="P47" s="3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>
      <c r="A48" s="16"/>
      <c r="D48" s="26">
        <f>N40-R16</f>
        <v>0</v>
      </c>
      <c r="E48" s="16"/>
      <c r="F48" s="28"/>
      <c r="G48" s="16"/>
      <c r="H48" s="16"/>
      <c r="I48" s="16"/>
      <c r="J48" s="26"/>
      <c r="K48" s="16"/>
      <c r="L48" s="16"/>
      <c r="M48" s="26"/>
      <c r="N48" s="33"/>
      <c r="O48" s="33"/>
      <c r="P48" s="3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>
      <c r="A49" s="16"/>
      <c r="B49" s="16"/>
      <c r="C49" s="21"/>
      <c r="D49" s="16"/>
      <c r="E49" s="16"/>
      <c r="F49" s="28"/>
      <c r="G49" s="16"/>
      <c r="H49" s="16"/>
      <c r="I49" s="16"/>
      <c r="J49" s="26"/>
      <c r="K49" s="16"/>
      <c r="L49" s="16"/>
      <c r="M49" s="26"/>
      <c r="N49" s="33"/>
      <c r="O49" s="33"/>
      <c r="P49" s="3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>
      <c r="A50" s="16"/>
      <c r="B50" s="16"/>
      <c r="C50" s="21"/>
      <c r="D50" s="16"/>
      <c r="E50" s="16"/>
      <c r="F50" s="28"/>
      <c r="G50" s="16"/>
      <c r="H50" s="16"/>
      <c r="I50" s="16"/>
      <c r="J50" s="26"/>
      <c r="K50" s="16"/>
      <c r="L50" s="16"/>
      <c r="M50" s="26"/>
      <c r="N50" s="33"/>
      <c r="O50" s="33"/>
      <c r="P50" s="33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>
      <c r="A51" s="16"/>
      <c r="D51" s="16"/>
      <c r="E51" s="16"/>
      <c r="F51" s="28"/>
      <c r="G51" s="16"/>
      <c r="H51" s="16"/>
      <c r="I51" s="16"/>
      <c r="J51" s="26"/>
      <c r="K51" s="16"/>
      <c r="L51" s="16"/>
      <c r="M51" s="26"/>
      <c r="N51" s="33"/>
      <c r="O51" s="33"/>
      <c r="P51" s="3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>
      <c r="A52" s="16"/>
      <c r="D52" s="16"/>
      <c r="E52" s="16"/>
      <c r="F52" s="28"/>
      <c r="G52" s="16"/>
      <c r="H52" s="16"/>
      <c r="I52" s="16"/>
      <c r="J52" s="26"/>
      <c r="K52" s="16"/>
      <c r="L52" s="16"/>
      <c r="M52" s="26"/>
      <c r="N52" s="33"/>
      <c r="O52" s="33"/>
      <c r="P52" s="33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>
      <c r="A53" s="16"/>
      <c r="D53" s="16"/>
      <c r="E53" s="16"/>
      <c r="F53" s="28"/>
      <c r="G53" s="16"/>
      <c r="H53" s="16"/>
      <c r="I53" s="16"/>
      <c r="J53" s="26"/>
      <c r="K53" s="16"/>
      <c r="L53" s="16"/>
      <c r="M53" s="26"/>
      <c r="N53" s="33"/>
      <c r="O53" s="33"/>
      <c r="P53" s="3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>
      <c r="A54" s="16"/>
      <c r="D54" s="16"/>
      <c r="E54" s="16"/>
      <c r="F54" s="28"/>
      <c r="G54" s="16"/>
      <c r="H54" s="16"/>
      <c r="I54" s="16"/>
      <c r="J54" s="26"/>
      <c r="K54" s="16"/>
      <c r="L54" s="16"/>
      <c r="M54" s="26"/>
      <c r="N54" s="33"/>
      <c r="O54" s="33"/>
      <c r="P54" s="3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A55" s="16"/>
      <c r="D55" s="16"/>
      <c r="E55" s="16"/>
      <c r="F55" s="28"/>
      <c r="G55" s="16"/>
      <c r="H55" s="16"/>
      <c r="I55" s="16"/>
      <c r="J55" s="26"/>
      <c r="K55" s="16"/>
      <c r="L55" s="16"/>
      <c r="M55" s="26"/>
      <c r="N55" s="33"/>
      <c r="O55" s="33"/>
      <c r="P55" s="3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>
      <c r="A56" s="16"/>
      <c r="D56" s="16"/>
      <c r="E56" s="16"/>
      <c r="F56" s="28"/>
      <c r="G56" s="16"/>
      <c r="H56" s="16"/>
      <c r="I56" s="16"/>
      <c r="J56" s="26"/>
      <c r="K56" s="16"/>
      <c r="L56" s="16"/>
      <c r="M56" s="26"/>
      <c r="N56" s="33"/>
      <c r="O56" s="33"/>
      <c r="P56" s="3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>
      <c r="A57" s="16"/>
      <c r="D57" s="16"/>
      <c r="E57" s="16"/>
      <c r="F57" s="28"/>
      <c r="G57" s="16"/>
      <c r="H57" s="16"/>
      <c r="I57" s="16"/>
      <c r="J57" s="26"/>
      <c r="K57" s="16"/>
      <c r="L57" s="16"/>
      <c r="M57" s="26"/>
      <c r="N57" s="33"/>
      <c r="O57" s="33"/>
      <c r="P57" s="3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>
      <c r="A58" s="16"/>
      <c r="D58" s="16"/>
      <c r="E58" s="16"/>
      <c r="F58" s="28"/>
      <c r="G58" s="16"/>
      <c r="H58" s="16"/>
      <c r="I58" s="16"/>
      <c r="J58" s="26"/>
      <c r="K58" s="16"/>
      <c r="L58" s="16"/>
      <c r="M58" s="26"/>
      <c r="N58" s="33"/>
      <c r="O58" s="33"/>
      <c r="P58" s="3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>
      <c r="A59" s="16"/>
      <c r="D59" s="16"/>
      <c r="E59" s="16"/>
      <c r="F59" s="28"/>
      <c r="G59" s="16"/>
      <c r="H59" s="16"/>
      <c r="I59" s="16"/>
      <c r="J59" s="26"/>
      <c r="K59" s="16"/>
      <c r="L59" s="16"/>
      <c r="M59" s="26"/>
      <c r="N59" s="33"/>
      <c r="O59" s="33"/>
      <c r="P59" s="3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>
      <c r="A60" s="16"/>
      <c r="D60" s="16"/>
      <c r="E60" s="16"/>
      <c r="F60" s="28"/>
      <c r="G60" s="16"/>
      <c r="H60" s="16"/>
      <c r="I60" s="16"/>
      <c r="J60" s="26"/>
      <c r="K60" s="16"/>
      <c r="L60" s="16"/>
      <c r="M60" s="26"/>
      <c r="N60" s="33"/>
      <c r="O60" s="33"/>
      <c r="P60" s="3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>
      <c r="A61" s="16"/>
      <c r="D61" s="16"/>
      <c r="E61" s="16"/>
      <c r="F61" s="28"/>
      <c r="G61" s="16"/>
      <c r="H61" s="16"/>
      <c r="I61" s="16"/>
      <c r="J61" s="26"/>
      <c r="K61" s="16"/>
      <c r="L61" s="16"/>
      <c r="M61" s="26"/>
      <c r="N61" s="33"/>
      <c r="O61" s="33"/>
      <c r="P61" s="3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>
      <c r="A62" s="16"/>
      <c r="D62" s="26"/>
      <c r="E62" s="16"/>
      <c r="F62" s="28"/>
      <c r="G62" s="16"/>
      <c r="H62" s="16"/>
      <c r="I62" s="16"/>
      <c r="J62" s="26"/>
      <c r="K62" s="16"/>
      <c r="L62" s="16"/>
      <c r="M62" s="26"/>
      <c r="N62" s="33"/>
      <c r="O62" s="33"/>
      <c r="P62" s="3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>
      <c r="A63" s="16"/>
      <c r="B63" s="16"/>
      <c r="C63" s="21"/>
      <c r="D63" s="16"/>
      <c r="E63" s="16"/>
      <c r="F63" s="28"/>
      <c r="G63" s="16"/>
      <c r="H63" s="16"/>
      <c r="I63" s="16"/>
      <c r="J63" s="16"/>
      <c r="K63" s="16"/>
      <c r="L63" s="16"/>
      <c r="M63" s="16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>
      <c r="A64" s="16"/>
      <c r="B64" s="16"/>
      <c r="C64" s="21"/>
      <c r="D64" s="16"/>
      <c r="E64" s="16"/>
      <c r="F64" s="28"/>
      <c r="G64" s="16"/>
      <c r="H64" s="16"/>
      <c r="I64" s="16"/>
      <c r="J64" s="16"/>
      <c r="K64" s="16"/>
      <c r="L64" s="16"/>
      <c r="M64" s="16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>
      <c r="A65" s="16"/>
      <c r="G65" s="16"/>
      <c r="H65" s="16"/>
      <c r="I65" s="16"/>
      <c r="J65" s="16"/>
      <c r="K65" s="16"/>
      <c r="L65" s="16"/>
      <c r="M65" s="16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>
      <c r="A66" s="16"/>
      <c r="G66" s="16"/>
      <c r="H66" s="16"/>
      <c r="I66" s="16"/>
      <c r="J66" s="16"/>
      <c r="K66" s="16"/>
      <c r="L66" s="16"/>
      <c r="M66" s="16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>
      <c r="A67" s="16"/>
      <c r="G67" s="16"/>
      <c r="H67" s="16"/>
      <c r="I67" s="16"/>
      <c r="J67" s="16"/>
      <c r="K67" s="16"/>
      <c r="L67" s="16"/>
      <c r="M67" s="16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>
      <c r="A68" s="16"/>
      <c r="G68" s="16"/>
      <c r="H68" s="16"/>
      <c r="I68" s="16"/>
      <c r="J68" s="16"/>
      <c r="K68" s="16"/>
      <c r="L68" s="16"/>
      <c r="M68" s="16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>
      <c r="A69" s="16"/>
      <c r="G69" s="16"/>
      <c r="H69" s="16"/>
      <c r="I69" s="16"/>
      <c r="J69" s="16"/>
      <c r="K69" s="16"/>
      <c r="L69" s="16"/>
      <c r="M69" s="16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>
      <c r="A70" s="16"/>
      <c r="G70" s="16"/>
      <c r="H70" s="16"/>
      <c r="I70" s="16"/>
      <c r="J70" s="16"/>
      <c r="K70" s="16"/>
      <c r="L70" s="16"/>
      <c r="M70" s="16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>
      <c r="A71" s="16"/>
      <c r="G71" s="16"/>
      <c r="H71" s="16"/>
      <c r="I71" s="16"/>
      <c r="J71" s="16"/>
      <c r="K71" s="16"/>
      <c r="L71" s="16"/>
      <c r="M71" s="16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>
      <c r="A72" s="16"/>
      <c r="B72" s="16"/>
      <c r="C72" s="15"/>
      <c r="D72" s="15"/>
      <c r="E72" s="15"/>
      <c r="F72" s="10"/>
      <c r="G72" s="16"/>
      <c r="H72" s="16"/>
      <c r="I72" s="16"/>
      <c r="J72" s="16"/>
      <c r="K72" s="16"/>
      <c r="L72" s="16"/>
      <c r="M72" s="16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</sheetData>
  <mergeCells count="2">
    <mergeCell ref="AG20:AI20"/>
    <mergeCell ref="AG21:AI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2471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</vt:lpstr>
      <vt:lpstr>TÉRREO</vt:lpstr>
      <vt:lpstr>PAV 1</vt:lpstr>
      <vt:lpstr>PAV 2</vt:lpstr>
      <vt:lpstr>PAV 3</vt:lpstr>
      <vt:lpstr>PAV 4</vt:lpstr>
      <vt:lpstr>PAV 5</vt:lpstr>
      <vt:lpstr>PAV 6</vt:lpstr>
      <vt:lpstr>PAV7</vt:lpstr>
      <vt:lpstr>PAV 8</vt:lpstr>
      <vt:lpstr>PAV 9</vt:lpstr>
      <vt:lpstr>PAV 10</vt:lpstr>
      <vt:lpstr>PAV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>316</cp:revision>
  <cp:lastPrinted>2024-08-12T18:16:12Z</cp:lastPrinted>
  <dcterms:created xsi:type="dcterms:W3CDTF">2020-01-31T15:10:42Z</dcterms:created>
  <dcterms:modified xsi:type="dcterms:W3CDTF">2024-10-01T17:01:46Z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richtext">
    <vt:lpwstr>1</vt:lpwstr>
  </property>
</Properties>
</file>